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8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Hoja1" sheetId="211" r:id="rId35"/>
    <sheet name="  PUNTAS   DE    CHULETA   " sheetId="205" r:id="rId36"/>
    <sheet name="     CAÑA   DE    LOMO      " sheetId="117" r:id="rId37"/>
    <sheet name="PIERNA    SH      " sheetId="190" state="hidden" r:id="rId38"/>
    <sheet name="COSTILLA ESPECIAL DE CERDO  " sheetId="133" state="hidden" r:id="rId39"/>
    <sheet name="SESOS  CERDO MARQUETA   " sheetId="209" r:id="rId40"/>
    <sheet name="CABEZA DE   LOMO    " sheetId="161" r:id="rId41"/>
    <sheet name="P A V O S           " sheetId="156" state="hidden" r:id="rId42"/>
    <sheet name="CABEZA C PAPADA FRES" sheetId="210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state="hidden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E34" i="205" s="1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<sst xmlns="http://schemas.openxmlformats.org/spreadsheetml/2006/main" count="3612" uniqueCount="533">
  <si>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</si>
  <si>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</si>
  <si>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</si>
  <si>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</si>
  <si>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</si>
  <si>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</si>
  <si>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</si>
  <si>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</si>
  <si>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</si>
  <si>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</si>
  <si>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</si>
  <si>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</si>
  <si>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</si>
  <si>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</si>
  <si>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</si>
  <si>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</si>
  <si>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</si>
  <si>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</si>
  <si>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</si>
  <si>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</si>
  <si>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</si>
  <si>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</si>
  <si>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</si>
  <si>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</si>
  <si>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</si>
  <si>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</si>
  <si>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</si>
  <si>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</si>
  <si>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</si>
  <si>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</si>
  <si>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</si>
  <si>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</si>
  <si>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</si>
  <si>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</si>
  <si>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</si>
  <si>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</si>
  <si>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</si>
  <si>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</si>
  <si>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</si>
  <si>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</si>
  <si>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</si>
  <si>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</si>
  <si>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</si>
  <si>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</si>
  <si>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</si>
  <si>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</si>
  <si>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</si>
  <si>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</si>
  <si>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</si>
  <si>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</si>
  <si>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</si>
  <si>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</si>
  <si>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</si>
  <si>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</si>
  <si>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</si>
  <si>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</si>
  <si>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</si>
  <si>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</si>
  <si>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</si>
  <si>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</si>
  <si>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</si>
  <si>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</si>
  <si>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</si>
  <si>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</si>
  <si>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</si>
  <si>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</si>
  <si>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</si>
  <si>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</si>
  <si>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</si>
  <si>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</si>
  <si>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</si>
  <si>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</si>
  <si>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</si>
  <si>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</si>
  <si>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</si>
  <si>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</si>
  <si>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</si>
  <si>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</si>
  <si>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</si>
  <si>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</si>
  <si>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</si>
  <si>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</si>
  <si>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</si>
  <si>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</si>
  <si>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</si>
  <si>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</si>
  <si>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</si>
  <si>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</si>
  <si>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</si>
  <si>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</si>
  <si>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</si>
  <si>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</si>
  <si>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</si>
  <si>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</si>
  <si>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</si>
  <si>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</si>
  <si>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</si>
  <si>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</si>
  <si>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</si>
  <si>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</si>
  <si>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</si>
  <si>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</si>
  <si>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</si>
  <si>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</si>
  <si>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</si>
  <si>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</si>
  <si>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</si>
  <si>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</si>
  <si>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</si>
  <si>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</si>
  <si>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</si>
  <si>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</si>
  <si>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</si>
  <si>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</si>
  <si>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</si>
  <si>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</si>
  <si>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</si>
  <si>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</si>
  <si>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</si>
  <si>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</si>
  <si>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</si>
  <si>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</si>
  <si>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</si>
  <si>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</si>
  <si>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</si>
  <si>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</si>
  <si>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</si>
  <si>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</si>
  <si>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</si>
  <si>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</si>
  <si>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</si>
  <si>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</si>
  <si>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</si>
  <si>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</si>
  <si>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</si>
  <si>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</si>
  <si>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</si>
  <si>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</si>
  <si>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</si>
  <si>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</si>
  <si>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</si>
  <si>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</si>
  <si>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</si>
  <si>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</si>
  <si>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</si>
  <si>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</si>
  <si>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</si>
  <si>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</si>
  <si>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</si>
  <si>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</si>
  <si>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</si>
  <si>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</si>
  <si>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</si>
  <si>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</si>
  <si>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</si>
  <si>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</si>
  <si>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</si>
  <si>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</si>
  <si>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</si>
  <si>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</si>
  <si>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</si>
  <si>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</si>
  <si>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</si>
  <si>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</si>
  <si>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</si>
  <si>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</si>
  <si>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</si>
  <si>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</si>
  <si>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</si>
  <si>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</si>
  <si>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</si>
  <si>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</si>
  <si>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</si>
  <si>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</si>
  <si>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</si>
  <si>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</si>
  <si>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</si>
  <si>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</si>
  <si>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</si>
  <si>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</si>
  <si>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</si>
  <si>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</si>
  <si>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</si>
  <si>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</si>
  <si>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</si>
  <si>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</si>
  <si>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</si>
  <si>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</si>
  <si>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</si>
  <si>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</si>
  <si>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</si>
  <si>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</si>
  <si>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</si>
  <si>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</si>
  <si>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</si>
  <si>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</si>
  <si>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</si>
  <si>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</si>
  <si>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</si>
  <si>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</si>
  <si>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</si>
  <si>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</si>
  <si>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</si>
  <si>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</si>
  <si>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</si>
  <si>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</si>
  <si>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</si>
  <si>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</si>
  <si>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</si>
  <si>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</si>
  <si>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</si>
  <si>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</si>
  <si>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</si>
  <si>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</si>
  <si>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</si>
  <si>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</si>
  <si>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</si>
  <si>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</si>
  <si>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</si>
  <si>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</si>
  <si>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</si>
  <si>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</si>
  <si>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</si>
  <si>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</si>
  <si>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</si>
  <si>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</si>
  <si>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</si>
  <si>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</si>
  <si>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</si>
  <si>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</si>
  <si>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</si>
  <si>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</si>
  <si>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</si>
  <si>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</si>
  <si>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</si>
  <si>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</si>
  <si>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</si>
  <si>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</si>
  <si>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</si>
  <si>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</si>
  <si>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</si>
  <si>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</si>
  <si>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</si>
  <si>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</si>
  <si>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</si>
  <si>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</si>
  <si>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</si>
  <si>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</si>
  <si>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</si>
  <si>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</si>
  <si>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</si>
  <si>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</si>
  <si>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</si>
  <si>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</si>
  <si>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</si>
  <si>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</si>
  <si>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</si>
  <si>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</si>
  <si>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</si>
  <si>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</si>
  <si>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</si>
  <si>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</si>
  <si>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</si>
  <si>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</si>
  <si>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</si>
  <si>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</si>
  <si>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</si>
  <si>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</si>
  <si>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</si>
  <si>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</si>
  <si>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</si>
  <si>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</si>
  <si>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</si>
  <si>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</si>
  <si>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</si>
  <si>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</si>
  <si>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</si>
  <si>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</si>
  <si>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</si>
  <si>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</si>
  <si>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</si>
  <si>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</si>
  <si>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</si>
  <si>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</si>
  <si>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</si>
  <si>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</si>
  <si>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</si>
  <si>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</si>
  <si>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</si>
  <si>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</si>
  <si>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</si>
  <si>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</si>
  <si>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</si>
  <si>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</si>
  <si>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</si>
  <si>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</si>
  <si>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</si>
  <si>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</si>
  <si>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</si>
  <si>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</si>
  <si>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</si>
  <si>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</si>
  <si>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</si>
  <si>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</si>
  <si>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</si>
  <si>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</si>
  <si>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</si>
  <si>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</si>
  <si>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</si>
  <si>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</si>
  <si>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</si>
  <si>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</si>
  <si>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</si>
  <si>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</si>
  <si>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</si>
  <si>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</si>
  <si>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</si>
  <si>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</si>
  <si>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</si>
  <si>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</si>
  <si>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</si>
  <si>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</si>
  <si>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</si>
  <si>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</si>
  <si>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</si>
  <si>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</si>
  <si>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</si>
  <si>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</si>
  <si>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</si>
  <si>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</si>
  <si>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</si>
  <si>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</si>
  <si>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</si>
  <si>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</si>
  <si>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</si>
  <si>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</si>
  <si>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</si>
  <si>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</si>
  <si>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</si>
  <si>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</si>
  <si>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</si>
  <si>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</si>
  <si>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</si>
  <si>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</si>
  <si>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</si>
  <si>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</si>
  <si>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</si>
  <si>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</si>
  <si>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</si>
  <si>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</si>
  <si>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</si>
  <si>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</si>
  <si>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</si>
  <si>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</si>
  <si>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</si>
  <si>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</si>
  <si>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</si>
  <si>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</si>
  <si>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</si>
  <si>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</si>
  <si>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</si>
  <si>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</si>
  <si>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</si>
  <si>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</si>
  <si>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</si>
  <si>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</si>
  <si>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</si>
  <si>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</si>
  <si>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</si>
  <si>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</si>
  <si>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</si>
  <si>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</si>
  <si>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</si>
  <si>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</si>
  <si>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</si>
  <si>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</si>
  <si>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</si>
  <si>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</si>
  <si>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</si>
  <si>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</si>
  <si>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</si>
  <si>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</si>
  <si>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</si>
  <si>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</si>
  <si>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</si>
  <si>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</si>
  <si>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</si>
  <si>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</si>
  <si>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</si>
  <si>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</si>
  <si>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</si>
  <si>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</si>
  <si>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</si>
  <si>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</si>
  <si>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</si>
  <si>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</si>
  <si>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</si>
  <si>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</si>
  <si>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</si>
  <si>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</si>
  <si>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</si>
  <si>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</si>
  <si>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</si>
  <si>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</si>
  <si>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</si>
  <si>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</si>
  <si>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</si>
  <si>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</si>
  <si>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</si>
  <si>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</si>
  <si>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</si>
  <si>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</si>
  <si>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</si>
  <si>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</si>
  <si>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</si>
  <si>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</si>
  <si>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</si>
  <si>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</si>
  <si>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</si>
  <si>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</si>
  <si>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</si>
  <si>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</si>
  <si>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</si>
  <si>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</si>
  <si>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</si>
  <si>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</si>
  <si>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</si>
  <si>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</si>
  <si>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</si>
  <si>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</si>
  <si>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</si>
  <si>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</si>
  <si>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</si>
  <si>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</si>
  <si>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</si>
  <si>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</si>
  <si>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</si>
  <si>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</si>
  <si>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</si>
  <si>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</si>
  <si>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</si>
  <si>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</si>
  <si>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</si>
  <si>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</si>
  <si>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</si>
  <si>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</si>
  <si>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</si>
  <si>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</si>
  <si>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</si>
  <si>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</si>
  <si>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</si>
  <si>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</si>
  <si>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</si>
  <si>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</si>
  <si>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</si>
  <si>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</si>
  <si>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</si>
  <si>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</si>
  <si>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</si>
  <si>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</si>
  <si>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</si>
  <si>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</si>
  <si>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</si>
  <si>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</si>
  <si>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</si>
  <si>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</si>
  <si>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</si>
  <si>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</si>
  <si>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</si>
  <si>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</si>
  <si>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</si>
  <si>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</si>
  <si>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</si>
  <si>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</si>
  <si>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</si>
  <si>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</si>
  <si>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</si>
  <si>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</si>
  <si>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</si>
  <si>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</si>
  <si>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</si>
  <si>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</si>
  <si>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</si>
  <si>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</si>
  <si>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</si>
  <si>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</si>
  <si>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</si>
  <si>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</si>
  <si>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</si>
  <si>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</si>
  <si>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</si>
  <si>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</si>
  <si>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</si>
  <si>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</si>
  <si>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</si>
  <si>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</si>
  <si>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</si>
  <si>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</si>
  <si>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</si>
  <si>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</si>
  <si>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</si>
  <si>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</si>
  <si>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</si>
  <si>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</si>
  <si>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</si>
  <si>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</si>
  <si>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</si>
  <si>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</si>
  <si>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</si>
  <si>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</si>
  <si>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</si>
  <si>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</si>
  <si>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</si>
  <si>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</si>
  <si>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</si>
  <si>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</si>
  <si>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</si>
  <si>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</si>
  <si>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</si>
  <si>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</si>
  <si>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</si>
  <si>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</si>
  <si>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</si>
  <si>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</si>
  <si>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</si>
  <si>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</si>
  <si>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</si>
  <si>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</si>
  <si>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</si>
  <si>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</si>
  <si>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0199B1</t>
  </si>
  <si>
    <t>Traspaso 0017 B1  Dieron de baja  ( 10 Pzas )</t>
  </si>
  <si>
    <t>0200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</si>
</sst>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99FFCC"/>
      <color rgb="FF66FFFF"/>
      <color rgb="FF0000FF"/>
      <color rgb="FF00FFCC"/>
      <color rgb="FFFFCCFF"/>
      <color rgb="FF00FF00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H94" activePane="bottomRight" state="frozen"/>
      <selection pane="topRight" activeCell="B1" sqref="B1"/>
      <selection pane="bottomLeft" activeCell="A3" sqref="A3"/>
      <selection pane="bottomRight" activeCell="T103" sqref="T10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92" t="s">
        <v>26</v>
      </c>
      <c r="L1" s="685"/>
      <c r="M1" s="994" t="s">
        <v>27</v>
      </c>
      <c r="N1" s="345"/>
      <c r="P1" s="97" t="s">
        <v>38</v>
      </c>
      <c r="Q1" s="990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93"/>
      <c r="L2" s="686" t="s">
        <v>29</v>
      </c>
      <c r="M2" s="995"/>
      <c r="N2" s="346" t="s">
        <v>29</v>
      </c>
      <c r="O2" s="395" t="s">
        <v>30</v>
      </c>
      <c r="P2" s="98" t="s">
        <v>39</v>
      </c>
      <c r="Q2" s="991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4" t="str">
        <f>PIERNA!C4</f>
        <v xml:space="preserve">I B P </v>
      </c>
      <c r="D4" s="885" t="str">
        <f>PIERNA!D4</f>
        <v>PED. 88013413</v>
      </c>
      <c r="E4" s="886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3" t="s">
        <v>293</v>
      </c>
      <c r="K4" s="750">
        <v>12161</v>
      </c>
      <c r="L4" s="626" t="s">
        <v>316</v>
      </c>
      <c r="M4" s="389">
        <v>33640</v>
      </c>
      <c r="N4" s="926" t="s">
        <v>317</v>
      </c>
      <c r="O4" s="397">
        <v>1123520</v>
      </c>
      <c r="P4" s="601"/>
      <c r="Q4" s="536">
        <f>48663.8*20.04</f>
        <v>975222.55200000003</v>
      </c>
      <c r="R4" s="925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7" t="s">
        <v>294</v>
      </c>
      <c r="K5" s="760">
        <v>11151</v>
      </c>
      <c r="L5" s="858" t="s">
        <v>316</v>
      </c>
      <c r="M5" s="840">
        <v>33640</v>
      </c>
      <c r="N5" s="859" t="s">
        <v>317</v>
      </c>
      <c r="O5" s="860">
        <v>2089822</v>
      </c>
      <c r="P5" s="861"/>
      <c r="Q5" s="560">
        <f>49724.65*20.34</f>
        <v>1011399.3810000001</v>
      </c>
      <c r="R5" s="906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7" t="s">
        <v>295</v>
      </c>
      <c r="K6" s="839">
        <v>12001</v>
      </c>
      <c r="L6" s="858" t="s">
        <v>316</v>
      </c>
      <c r="M6" s="840">
        <v>33640</v>
      </c>
      <c r="N6" s="859" t="s">
        <v>317</v>
      </c>
      <c r="O6" s="863">
        <v>2089821</v>
      </c>
      <c r="P6" s="861"/>
      <c r="Q6" s="907">
        <f>49273.13*20.34</f>
        <v>1002215.4641999999</v>
      </c>
      <c r="R6" s="908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2" t="s">
        <v>296</v>
      </c>
      <c r="K7" s="839">
        <v>11151</v>
      </c>
      <c r="L7" s="873" t="s">
        <v>313</v>
      </c>
      <c r="M7" s="840">
        <v>33640</v>
      </c>
      <c r="N7" s="859" t="s">
        <v>318</v>
      </c>
      <c r="O7" s="863">
        <v>1125993</v>
      </c>
      <c r="P7" s="861"/>
      <c r="Q7" s="394">
        <f>48708.33*19.98</f>
        <v>973192.4334000001</v>
      </c>
      <c r="R7" s="862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7" t="s">
        <v>297</v>
      </c>
      <c r="K8" s="839">
        <v>11151</v>
      </c>
      <c r="L8" s="858" t="s">
        <v>314</v>
      </c>
      <c r="M8" s="840">
        <v>33640</v>
      </c>
      <c r="N8" s="865" t="s">
        <v>318</v>
      </c>
      <c r="O8" s="863">
        <v>209454</v>
      </c>
      <c r="P8" s="861"/>
      <c r="Q8" s="909">
        <f>49026.12*20.173</f>
        <v>989003.91875999991</v>
      </c>
      <c r="R8" s="910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7" t="s">
        <v>301</v>
      </c>
      <c r="K9" s="839">
        <v>10101</v>
      </c>
      <c r="L9" s="866" t="s">
        <v>314</v>
      </c>
      <c r="M9" s="840">
        <v>33640</v>
      </c>
      <c r="N9" s="865" t="s">
        <v>319</v>
      </c>
      <c r="O9" s="867">
        <v>2090791</v>
      </c>
      <c r="P9" s="861"/>
      <c r="Q9" s="560">
        <f>48894.94*20.13</f>
        <v>984255.1422</v>
      </c>
      <c r="R9" s="911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69" t="s">
        <v>334</v>
      </c>
      <c r="K10" s="839">
        <v>12151</v>
      </c>
      <c r="L10" s="866" t="s">
        <v>347</v>
      </c>
      <c r="M10" s="840">
        <v>33640</v>
      </c>
      <c r="N10" s="865" t="s">
        <v>349</v>
      </c>
      <c r="O10" s="867">
        <v>1135545</v>
      </c>
      <c r="P10" s="861"/>
      <c r="Q10" s="536">
        <f>50100.02*19.98</f>
        <v>1000998.3996</v>
      </c>
      <c r="R10" s="868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7" t="s">
        <v>335</v>
      </c>
      <c r="K11" s="839">
        <v>12001</v>
      </c>
      <c r="L11" s="866" t="s">
        <v>349</v>
      </c>
      <c r="M11" s="840">
        <v>33640</v>
      </c>
      <c r="N11" s="865" t="s">
        <v>350</v>
      </c>
      <c r="O11" s="870">
        <v>2092736</v>
      </c>
      <c r="P11" s="861"/>
      <c r="Q11" s="536">
        <f>51749.84*19.975</f>
        <v>1033703.054</v>
      </c>
      <c r="R11" s="868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7" t="s">
        <v>336</v>
      </c>
      <c r="K12" s="839">
        <v>9851</v>
      </c>
      <c r="L12" s="866" t="s">
        <v>349</v>
      </c>
      <c r="M12" s="840">
        <v>33640</v>
      </c>
      <c r="N12" s="865" t="s">
        <v>350</v>
      </c>
      <c r="O12" s="870">
        <v>2092737</v>
      </c>
      <c r="P12" s="861"/>
      <c r="Q12" s="536">
        <f>50415.94*19.975</f>
        <v>1007058.4015000002</v>
      </c>
      <c r="R12" s="868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1" t="s">
        <v>340</v>
      </c>
      <c r="K13" s="839">
        <v>10101</v>
      </c>
      <c r="L13" s="866" t="s">
        <v>350</v>
      </c>
      <c r="M13" s="840">
        <v>33640</v>
      </c>
      <c r="N13" s="865" t="s">
        <v>351</v>
      </c>
      <c r="O13" s="870">
        <v>2092738</v>
      </c>
      <c r="P13" s="861"/>
      <c r="Q13" s="394">
        <f>52511.71*20.07</f>
        <v>1053910.0197000001</v>
      </c>
      <c r="R13" s="868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69" t="s">
        <v>341</v>
      </c>
      <c r="K14" s="839">
        <v>12151</v>
      </c>
      <c r="L14" s="866" t="s">
        <v>350</v>
      </c>
      <c r="M14" s="840">
        <v>33640</v>
      </c>
      <c r="N14" s="865" t="s">
        <v>351</v>
      </c>
      <c r="O14" s="867">
        <v>2093537</v>
      </c>
      <c r="P14" s="861"/>
      <c r="Q14" s="394">
        <f>51966.07*20.05</f>
        <v>1041919.7035000001</v>
      </c>
      <c r="R14" s="872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1" t="s">
        <v>342</v>
      </c>
      <c r="K15" s="839">
        <v>11151</v>
      </c>
      <c r="L15" s="866" t="s">
        <v>351</v>
      </c>
      <c r="M15" s="840">
        <v>33640</v>
      </c>
      <c r="N15" s="873" t="s">
        <v>352</v>
      </c>
      <c r="O15" s="874">
        <v>2093538</v>
      </c>
      <c r="P15" s="861"/>
      <c r="Q15" s="394">
        <f>51862.11*19.98</f>
        <v>1036204.9578000001</v>
      </c>
      <c r="R15" s="875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6" t="s">
        <v>343</v>
      </c>
      <c r="K16" s="839">
        <v>12161</v>
      </c>
      <c r="L16" s="866" t="s">
        <v>351</v>
      </c>
      <c r="M16" s="840">
        <v>33640</v>
      </c>
      <c r="N16" s="873" t="s">
        <v>352</v>
      </c>
      <c r="O16" s="870">
        <v>1141340</v>
      </c>
      <c r="P16" s="861"/>
      <c r="Q16" s="536">
        <f>51558.69*20.01</f>
        <v>1031689.3869000002</v>
      </c>
      <c r="R16" s="868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7" t="s">
        <v>363</v>
      </c>
      <c r="K17" s="839">
        <v>12161</v>
      </c>
      <c r="L17" s="866" t="s">
        <v>405</v>
      </c>
      <c r="M17" s="840">
        <v>33640</v>
      </c>
      <c r="N17" s="873" t="s">
        <v>405</v>
      </c>
      <c r="O17" s="870">
        <v>2095479</v>
      </c>
      <c r="P17" s="861"/>
      <c r="Q17" s="536">
        <f>55544*20.05</f>
        <v>1113657.2</v>
      </c>
      <c r="R17" s="868" t="s">
        <v>401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2">
        <v>78647</v>
      </c>
      <c r="K18" s="839">
        <v>12001</v>
      </c>
      <c r="L18" s="866" t="s">
        <v>403</v>
      </c>
      <c r="M18" s="840">
        <v>33640</v>
      </c>
      <c r="N18" s="873" t="s">
        <v>404</v>
      </c>
      <c r="O18" s="860">
        <v>1145150</v>
      </c>
      <c r="P18" s="861"/>
      <c r="Q18" s="536">
        <f>54022.23*20.08</f>
        <v>1084766.3784</v>
      </c>
      <c r="R18" s="872" t="s">
        <v>397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2">
        <v>78684</v>
      </c>
      <c r="K19" s="839">
        <v>11151</v>
      </c>
      <c r="L19" s="866" t="s">
        <v>405</v>
      </c>
      <c r="M19" s="840">
        <v>33640</v>
      </c>
      <c r="N19" s="865" t="s">
        <v>405</v>
      </c>
      <c r="O19" s="867">
        <v>1145927</v>
      </c>
      <c r="P19" s="801"/>
      <c r="Q19" s="536">
        <f>54180.78*19.94</f>
        <v>1080364.7532000002</v>
      </c>
      <c r="R19" s="859" t="s">
        <v>395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7" t="s">
        <v>367</v>
      </c>
      <c r="K20" s="839">
        <v>11151</v>
      </c>
      <c r="L20" s="866" t="s">
        <v>405</v>
      </c>
      <c r="M20" s="840">
        <v>33640</v>
      </c>
      <c r="N20" s="865" t="s">
        <v>406</v>
      </c>
      <c r="O20" s="867">
        <v>2095478</v>
      </c>
      <c r="P20" s="861"/>
      <c r="Q20" s="536">
        <f>55553.29*19.985</f>
        <v>1110232.5006500001</v>
      </c>
      <c r="R20" s="859" t="s">
        <v>400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7" t="s">
        <v>368</v>
      </c>
      <c r="K21" s="839">
        <v>9851</v>
      </c>
      <c r="L21" s="866" t="s">
        <v>405</v>
      </c>
      <c r="M21" s="840">
        <v>33640</v>
      </c>
      <c r="N21" s="865" t="s">
        <v>406</v>
      </c>
      <c r="O21" s="870">
        <v>2095480</v>
      </c>
      <c r="P21" s="861"/>
      <c r="Q21" s="536">
        <f>53396.1*19.99</f>
        <v>1067388.0389999999</v>
      </c>
      <c r="R21" s="859" t="s">
        <v>402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69" t="s">
        <v>369</v>
      </c>
      <c r="K22" s="839">
        <v>9851</v>
      </c>
      <c r="L22" s="866" t="s">
        <v>406</v>
      </c>
      <c r="M22" s="840">
        <v>33640</v>
      </c>
      <c r="N22" s="865" t="s">
        <v>407</v>
      </c>
      <c r="O22" s="870">
        <v>2096816</v>
      </c>
      <c r="P22" s="879"/>
      <c r="Q22" s="536">
        <f>53350.05*20.075</f>
        <v>1071002.2537499999</v>
      </c>
      <c r="R22" s="859" t="s">
        <v>394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7" t="s">
        <v>370</v>
      </c>
      <c r="K23" s="839">
        <v>12161</v>
      </c>
      <c r="L23" s="866" t="s">
        <v>406</v>
      </c>
      <c r="M23" s="840">
        <v>27840</v>
      </c>
      <c r="N23" s="865" t="s">
        <v>411</v>
      </c>
      <c r="O23" s="860">
        <v>2096749</v>
      </c>
      <c r="P23" s="861"/>
      <c r="Q23" s="536">
        <f>52452.76*20.01</f>
        <v>1049579.7276000001</v>
      </c>
      <c r="R23" s="859" t="s">
        <v>348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2">
        <v>78673</v>
      </c>
      <c r="K24" s="839">
        <v>11151</v>
      </c>
      <c r="L24" s="866" t="s">
        <v>408</v>
      </c>
      <c r="M24" s="840">
        <v>33640</v>
      </c>
      <c r="N24" s="865" t="s">
        <v>409</v>
      </c>
      <c r="O24" s="867">
        <v>1155179</v>
      </c>
      <c r="P24" s="861"/>
      <c r="Q24" s="536">
        <f>50171*19.85</f>
        <v>995894.35000000009</v>
      </c>
      <c r="R24" s="859" t="s">
        <v>374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7" t="s">
        <v>384</v>
      </c>
      <c r="K25" s="839">
        <v>12001</v>
      </c>
      <c r="L25" s="866" t="s">
        <v>408</v>
      </c>
      <c r="M25" s="840">
        <v>33640</v>
      </c>
      <c r="N25" s="865" t="s">
        <v>409</v>
      </c>
      <c r="O25" s="867">
        <v>2098077</v>
      </c>
      <c r="P25" s="879"/>
      <c r="Q25" s="536">
        <f>51950.06*20.01</f>
        <v>1039520.7006</v>
      </c>
      <c r="R25" s="862" t="s">
        <v>396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2">
        <v>78674</v>
      </c>
      <c r="K26" s="839">
        <v>12151</v>
      </c>
      <c r="L26" s="858" t="s">
        <v>409</v>
      </c>
      <c r="M26" s="840">
        <v>33640</v>
      </c>
      <c r="N26" s="859" t="s">
        <v>410</v>
      </c>
      <c r="O26" s="867">
        <v>1156799</v>
      </c>
      <c r="P26" s="861"/>
      <c r="Q26" s="536">
        <f>49426.61*19.8256</f>
        <v>979912.19921600004</v>
      </c>
      <c r="R26" s="859" t="s">
        <v>393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7" t="s">
        <v>385</v>
      </c>
      <c r="K27" s="839">
        <v>12161</v>
      </c>
      <c r="L27" s="858" t="s">
        <v>410</v>
      </c>
      <c r="M27" s="840">
        <v>33640</v>
      </c>
      <c r="N27" s="859" t="s">
        <v>411</v>
      </c>
      <c r="O27" s="867">
        <v>2098171</v>
      </c>
      <c r="P27" s="879"/>
      <c r="Q27" s="536">
        <f>50514.62*20.08</f>
        <v>1014333.5695999999</v>
      </c>
      <c r="R27" s="859" t="s">
        <v>397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69" t="s">
        <v>386</v>
      </c>
      <c r="K28" s="839">
        <v>9851</v>
      </c>
      <c r="L28" s="858" t="s">
        <v>410</v>
      </c>
      <c r="M28" s="840">
        <v>33640</v>
      </c>
      <c r="N28" s="859" t="s">
        <v>411</v>
      </c>
      <c r="O28" s="867">
        <v>2098912</v>
      </c>
      <c r="P28" s="861"/>
      <c r="Q28" s="536">
        <f>50616.5*19.94</f>
        <v>1009293.01</v>
      </c>
      <c r="R28" s="862" t="s">
        <v>388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8" t="s">
        <v>387</v>
      </c>
      <c r="K29" s="760">
        <v>12001</v>
      </c>
      <c r="L29" s="858" t="s">
        <v>411</v>
      </c>
      <c r="M29" s="840"/>
      <c r="N29" s="859"/>
      <c r="O29" s="860">
        <v>2098911</v>
      </c>
      <c r="P29" s="861"/>
      <c r="Q29" s="536">
        <f>49823.63*20.01</f>
        <v>996970.83630000008</v>
      </c>
      <c r="R29" s="862" t="s">
        <v>398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7"/>
      <c r="K30" s="839"/>
      <c r="L30" s="858"/>
      <c r="M30" s="840"/>
      <c r="N30" s="859"/>
      <c r="O30" s="860"/>
      <c r="P30" s="861"/>
      <c r="Q30" s="536"/>
      <c r="R30" s="86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7"/>
      <c r="K31" s="839"/>
      <c r="L31" s="858"/>
      <c r="M31" s="840"/>
      <c r="N31" s="859"/>
      <c r="O31" s="860"/>
      <c r="P31" s="861"/>
      <c r="Q31" s="536"/>
      <c r="R31" s="86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7"/>
      <c r="K32" s="839"/>
      <c r="L32" s="858"/>
      <c r="M32" s="840"/>
      <c r="N32" s="859"/>
      <c r="O32" s="860"/>
      <c r="P32" s="861"/>
      <c r="Q32" s="536"/>
      <c r="R32" s="86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7"/>
      <c r="K33" s="760"/>
      <c r="L33" s="858"/>
      <c r="M33" s="840"/>
      <c r="N33" s="859"/>
      <c r="O33" s="860"/>
      <c r="P33" s="880"/>
      <c r="Q33" s="536"/>
      <c r="R33" s="86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7"/>
      <c r="K34" s="839"/>
      <c r="L34" s="858"/>
      <c r="M34" s="840"/>
      <c r="N34" s="859"/>
      <c r="O34" s="863"/>
      <c r="P34" s="861"/>
      <c r="Q34" s="537"/>
      <c r="R34" s="86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7"/>
      <c r="K35" s="839"/>
      <c r="L35" s="858"/>
      <c r="M35" s="840"/>
      <c r="N35" s="859"/>
      <c r="O35" s="863"/>
      <c r="P35" s="880"/>
      <c r="Q35" s="394"/>
      <c r="R35" s="86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7"/>
      <c r="K36" s="839"/>
      <c r="L36" s="858"/>
      <c r="M36" s="840"/>
      <c r="N36" s="865"/>
      <c r="O36" s="863"/>
      <c r="P36" s="880"/>
      <c r="Q36" s="394"/>
      <c r="R36" s="85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7"/>
      <c r="K37" s="839"/>
      <c r="L37" s="858"/>
      <c r="M37" s="840"/>
      <c r="N37" s="859"/>
      <c r="O37" s="867"/>
      <c r="P37" s="861"/>
      <c r="Q37" s="536"/>
      <c r="R37" s="85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1"/>
      <c r="K38" s="839"/>
      <c r="L38" s="882"/>
      <c r="M38" s="840"/>
      <c r="N38" s="859"/>
      <c r="O38" s="867"/>
      <c r="P38" s="861"/>
      <c r="Q38" s="536"/>
      <c r="R38" s="86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3"/>
      <c r="K39" s="394"/>
      <c r="L39" s="882"/>
      <c r="M39" s="840"/>
      <c r="N39" s="859"/>
      <c r="O39" s="860"/>
      <c r="P39" s="861"/>
      <c r="Q39" s="536"/>
      <c r="R39" s="86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0"/>
      <c r="L40" s="858"/>
      <c r="M40" s="840"/>
      <c r="N40" s="859"/>
      <c r="O40" s="860"/>
      <c r="P40" s="861"/>
      <c r="Q40" s="536"/>
      <c r="R40" s="86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8"/>
      <c r="M41" s="840"/>
      <c r="N41" s="859"/>
      <c r="O41" s="860"/>
      <c r="P41" s="861"/>
      <c r="Q41" s="536"/>
      <c r="R41" s="86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0"/>
      <c r="L42" s="858"/>
      <c r="M42" s="840"/>
      <c r="N42" s="859"/>
      <c r="O42" s="860"/>
      <c r="P42" s="861"/>
      <c r="Q42" s="536"/>
      <c r="R42" s="86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0"/>
      <c r="L43" s="858"/>
      <c r="M43" s="840"/>
      <c r="N43" s="859"/>
      <c r="O43" s="860"/>
      <c r="P43" s="861"/>
      <c r="Q43" s="536"/>
      <c r="R43" s="86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0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19"/>
      <c r="O99" s="921" t="s">
        <v>311</v>
      </c>
      <c r="P99" s="920"/>
      <c r="Q99" s="535">
        <v>7031</v>
      </c>
      <c r="R99" s="923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96" t="s">
        <v>290</v>
      </c>
      <c r="C100" s="904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98" t="s">
        <v>292</v>
      </c>
      <c r="P100" s="898"/>
      <c r="Q100" s="922">
        <v>51170.34</v>
      </c>
      <c r="R100" s="988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97"/>
      <c r="C101" s="904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99"/>
      <c r="P101" s="899"/>
      <c r="Q101" s="922">
        <v>15000</v>
      </c>
      <c r="R101" s="989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8" t="s">
        <v>306</v>
      </c>
      <c r="C102" s="904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7" t="s">
        <v>308</v>
      </c>
      <c r="P102" s="899"/>
      <c r="Q102" s="538">
        <v>12313.4</v>
      </c>
      <c r="R102" s="924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5" t="s">
        <v>298</v>
      </c>
      <c r="C103" s="887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1" t="s">
        <v>377</v>
      </c>
      <c r="P103" s="842"/>
      <c r="Q103" s="538">
        <v>51542.7</v>
      </c>
      <c r="R103" s="952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2" t="s">
        <v>288</v>
      </c>
      <c r="C104" s="891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6" t="s">
        <v>300</v>
      </c>
      <c r="P104" s="840"/>
      <c r="Q104" s="538">
        <v>172000</v>
      </c>
      <c r="R104" s="853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2" t="s">
        <v>288</v>
      </c>
      <c r="C105" s="891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6" t="s">
        <v>331</v>
      </c>
      <c r="P105" s="840"/>
      <c r="Q105" s="538">
        <v>426033.6</v>
      </c>
      <c r="R105" s="853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3" t="s">
        <v>290</v>
      </c>
      <c r="C106" s="891" t="s">
        <v>43</v>
      </c>
      <c r="D106" s="752"/>
      <c r="E106" s="835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3" t="s">
        <v>305</v>
      </c>
      <c r="P106" s="840"/>
      <c r="Q106" s="538">
        <v>102109.14</v>
      </c>
      <c r="R106" s="854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2" t="s">
        <v>63</v>
      </c>
      <c r="C107" s="888" t="s">
        <v>332</v>
      </c>
      <c r="D107" s="728"/>
      <c r="E107" s="936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3" t="s">
        <v>333</v>
      </c>
      <c r="P107" s="840"/>
      <c r="Q107" s="538">
        <v>25533.15</v>
      </c>
      <c r="R107" s="950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79" t="s">
        <v>337</v>
      </c>
      <c r="C108" s="930" t="s">
        <v>72</v>
      </c>
      <c r="D108" s="934"/>
      <c r="E108" s="982">
        <v>44846</v>
      </c>
      <c r="F108" s="935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85">
        <v>18915</v>
      </c>
      <c r="P108" s="1003" t="s">
        <v>375</v>
      </c>
      <c r="Q108" s="922">
        <v>85068.2</v>
      </c>
      <c r="R108" s="1000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80"/>
      <c r="C109" s="931" t="s">
        <v>338</v>
      </c>
      <c r="D109" s="934"/>
      <c r="E109" s="983"/>
      <c r="F109" s="935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86"/>
      <c r="P109" s="1004"/>
      <c r="Q109" s="922">
        <v>166472.88</v>
      </c>
      <c r="R109" s="1001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81"/>
      <c r="C110" s="931" t="s">
        <v>339</v>
      </c>
      <c r="D110" s="934"/>
      <c r="E110" s="984"/>
      <c r="F110" s="935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87"/>
      <c r="P110" s="1005"/>
      <c r="Q110" s="922">
        <v>182282.4</v>
      </c>
      <c r="R110" s="1002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2" t="s">
        <v>99</v>
      </c>
      <c r="C111" s="890" t="s">
        <v>362</v>
      </c>
      <c r="D111" s="728"/>
      <c r="E111" s="943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6" t="s">
        <v>373</v>
      </c>
      <c r="P111" s="948" t="s">
        <v>375</v>
      </c>
      <c r="Q111" s="538">
        <v>659818.34</v>
      </c>
      <c r="R111" s="955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1011" t="s">
        <v>364</v>
      </c>
      <c r="C112" s="931" t="s">
        <v>365</v>
      </c>
      <c r="D112" s="934"/>
      <c r="E112" s="982">
        <v>44853</v>
      </c>
      <c r="F112" s="935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1014" t="s">
        <v>366</v>
      </c>
      <c r="P112" s="944"/>
      <c r="Q112" s="954">
        <v>99333.63</v>
      </c>
      <c r="R112" s="1008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1012"/>
      <c r="C113" s="930" t="s">
        <v>332</v>
      </c>
      <c r="D113" s="934"/>
      <c r="E113" s="983"/>
      <c r="F113" s="935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1015"/>
      <c r="P113" s="945"/>
      <c r="Q113" s="954">
        <v>15894.15</v>
      </c>
      <c r="R113" s="1009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1013"/>
      <c r="C114" s="931" t="s">
        <v>64</v>
      </c>
      <c r="D114" s="934"/>
      <c r="E114" s="984"/>
      <c r="F114" s="935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1016"/>
      <c r="P114" s="945"/>
      <c r="Q114" s="954">
        <v>48543.1</v>
      </c>
      <c r="R114" s="1010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1017" t="s">
        <v>290</v>
      </c>
      <c r="C115" s="931" t="s">
        <v>43</v>
      </c>
      <c r="D115" s="947"/>
      <c r="E115" s="1020">
        <v>44862</v>
      </c>
      <c r="F115" s="935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1023" t="s">
        <v>372</v>
      </c>
      <c r="P115" s="945"/>
      <c r="Q115" s="954">
        <v>73003.199999999997</v>
      </c>
      <c r="R115" s="1006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1018"/>
      <c r="C116" s="931" t="s">
        <v>371</v>
      </c>
      <c r="D116" s="947"/>
      <c r="E116" s="1021"/>
      <c r="F116" s="935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1024"/>
      <c r="P116" s="945"/>
      <c r="Q116" s="954">
        <v>12750</v>
      </c>
      <c r="R116" s="1006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1019"/>
      <c r="C117" s="931" t="s">
        <v>291</v>
      </c>
      <c r="D117" s="947"/>
      <c r="E117" s="1022"/>
      <c r="F117" s="935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1025"/>
      <c r="P117" s="945"/>
      <c r="Q117" s="954">
        <v>9500</v>
      </c>
      <c r="R117" s="1007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3" t="s">
        <v>389</v>
      </c>
      <c r="C118" s="890" t="s">
        <v>390</v>
      </c>
      <c r="D118" s="836"/>
      <c r="E118" s="937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1" t="s">
        <v>391</v>
      </c>
      <c r="P118" s="845"/>
      <c r="Q118" s="956">
        <v>150000</v>
      </c>
      <c r="R118" s="957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0"/>
      <c r="C119" s="890"/>
      <c r="D119" s="836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6"/>
      <c r="P119" s="845"/>
      <c r="Q119" s="535"/>
      <c r="R119" s="847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0"/>
      <c r="C120" s="890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8"/>
      <c r="P120" s="845"/>
      <c r="Q120" s="535"/>
      <c r="R120" s="841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0"/>
      <c r="C121" s="890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8"/>
      <c r="P121" s="845"/>
      <c r="Q121" s="535"/>
      <c r="R121" s="841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89"/>
      <c r="C122" s="890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3"/>
      <c r="P122" s="844"/>
      <c r="Q122" s="535"/>
      <c r="R122" s="841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89"/>
      <c r="C123" s="890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3"/>
      <c r="P123" s="844"/>
      <c r="Q123" s="535"/>
      <c r="R123" s="841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2"/>
      <c r="C124" s="890"/>
      <c r="D124" s="728"/>
      <c r="E124" s="837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5"/>
      <c r="P124" s="844"/>
      <c r="Q124" s="535"/>
      <c r="R124" s="849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2"/>
      <c r="C125" s="891"/>
      <c r="D125" s="538"/>
      <c r="E125" s="837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5"/>
      <c r="P125" s="840"/>
      <c r="Q125" s="538"/>
      <c r="R125" s="841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2"/>
      <c r="C126" s="890"/>
      <c r="D126" s="379"/>
      <c r="E126" s="837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5"/>
      <c r="P126" s="845"/>
      <c r="Q126" s="535"/>
      <c r="R126" s="849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2"/>
      <c r="C127" s="889"/>
      <c r="D127" s="658"/>
      <c r="E127" s="837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5"/>
      <c r="P127" s="845"/>
      <c r="Q127" s="535"/>
      <c r="R127" s="849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0"/>
      <c r="C128" s="890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0"/>
      <c r="P128" s="844"/>
      <c r="Q128" s="535"/>
      <c r="R128" s="849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0"/>
      <c r="C129" s="890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1"/>
      <c r="P129" s="844"/>
      <c r="Q129" s="535"/>
      <c r="R129" s="849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0"/>
      <c r="C130" s="890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1"/>
      <c r="P130" s="844"/>
      <c r="Q130" s="535"/>
      <c r="R130" s="849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0"/>
      <c r="C131" s="890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0"/>
      <c r="P131" s="844"/>
      <c r="Q131" s="535"/>
      <c r="R131" s="849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0"/>
      <c r="C132" s="890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0"/>
      <c r="P132" s="844"/>
      <c r="Q132" s="535"/>
      <c r="R132" s="849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0"/>
      <c r="C133" s="890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1"/>
      <c r="P133" s="844"/>
      <c r="Q133" s="535"/>
      <c r="R133" s="849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0"/>
      <c r="C134" s="890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6"/>
      <c r="P134" s="845"/>
      <c r="Q134" s="535"/>
      <c r="R134" s="849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0"/>
      <c r="C135" s="890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1"/>
      <c r="P135" s="844"/>
      <c r="Q135" s="535"/>
      <c r="R135" s="849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0"/>
      <c r="C136" s="890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1"/>
      <c r="P136" s="845"/>
      <c r="Q136" s="535"/>
      <c r="R136" s="849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0"/>
      <c r="C137" s="890"/>
      <c r="D137" s="379"/>
      <c r="E137" s="838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6"/>
      <c r="P137" s="845"/>
      <c r="Q137" s="535"/>
      <c r="R137" s="849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0"/>
      <c r="C138" s="890"/>
      <c r="D138" s="379"/>
      <c r="E138" s="838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6"/>
      <c r="P138" s="845"/>
      <c r="Q138" s="535"/>
      <c r="R138" s="849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0"/>
      <c r="C139" s="890"/>
      <c r="D139" s="379"/>
      <c r="E139" s="838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6"/>
      <c r="P139" s="845"/>
      <c r="Q139" s="535"/>
      <c r="R139" s="849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0"/>
      <c r="C140" s="890"/>
      <c r="D140" s="379"/>
      <c r="E140" s="838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6"/>
      <c r="P140" s="845"/>
      <c r="Q140" s="535"/>
      <c r="R140" s="849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0"/>
      <c r="C141" s="890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1"/>
      <c r="P141" s="844"/>
      <c r="Q141" s="535"/>
      <c r="R141" s="849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3"/>
      <c r="C142" s="890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0"/>
      <c r="P142" s="845"/>
      <c r="Q142" s="535"/>
      <c r="R142" s="852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0"/>
      <c r="C143" s="890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1"/>
      <c r="P143" s="845"/>
      <c r="Q143" s="535"/>
      <c r="R143" s="852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0"/>
      <c r="C144" s="890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1"/>
      <c r="P144" s="845"/>
      <c r="Q144" s="535"/>
      <c r="R144" s="852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0"/>
      <c r="C145" s="890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0"/>
      <c r="C146" s="890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0"/>
      <c r="C147" s="890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4"/>
      <c r="C148" s="890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R115:R117"/>
    <mergeCell ref="R112:R114"/>
    <mergeCell ref="B112:B114"/>
    <mergeCell ref="E112:E114"/>
    <mergeCell ref="O112:O114"/>
    <mergeCell ref="B115:B117"/>
    <mergeCell ref="E115:E117"/>
    <mergeCell ref="O115:O117"/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49"/>
      <c r="B5" s="1050" t="s">
        <v>78</v>
      </c>
      <c r="C5" s="231"/>
      <c r="D5" s="134"/>
      <c r="E5" s="78"/>
      <c r="F5" s="62"/>
      <c r="G5" s="5"/>
    </row>
    <row r="6" spans="1:9" x14ac:dyDescent="0.25">
      <c r="A6" s="1049"/>
      <c r="B6" s="1050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4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39" t="s">
        <v>11</v>
      </c>
      <c r="D40" s="104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41" t="s">
        <v>159</v>
      </c>
      <c r="B1" s="1041"/>
      <c r="C1" s="1041"/>
      <c r="D1" s="1041"/>
      <c r="E1" s="1041"/>
      <c r="F1" s="1041"/>
      <c r="G1" s="104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49"/>
      <c r="B5" s="105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49"/>
      <c r="B6" s="1051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9" t="s">
        <v>11</v>
      </c>
      <c r="D40" s="104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32" sqref="B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41" t="s">
        <v>320</v>
      </c>
      <c r="B1" s="1041"/>
      <c r="C1" s="1041"/>
      <c r="D1" s="1041"/>
      <c r="E1" s="1041"/>
      <c r="F1" s="1041"/>
      <c r="G1" s="1041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52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45" t="s">
        <v>52</v>
      </c>
      <c r="B5" s="1053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45"/>
      <c r="B6" s="1053"/>
      <c r="C6" s="479"/>
      <c r="D6" s="230"/>
      <c r="E6" s="78"/>
      <c r="F6" s="62"/>
      <c r="G6" s="47">
        <f>F35</f>
        <v>129.68</v>
      </c>
      <c r="H6" s="7">
        <f>E6-G6+E7+E5-G5+E4+E8</f>
        <v>1852.1399999999999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483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496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74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1852.1399999999999</v>
      </c>
    </row>
    <row r="13" spans="1:9" x14ac:dyDescent="0.25">
      <c r="A13" s="82" t="s">
        <v>33</v>
      </c>
      <c r="B13" s="236">
        <f t="shared" si="1"/>
        <v>74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1852.1399999999999</v>
      </c>
    </row>
    <row r="14" spans="1:9" x14ac:dyDescent="0.25">
      <c r="A14" s="73"/>
      <c r="B14" s="236">
        <f t="shared" si="1"/>
        <v>74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1852.1399999999999</v>
      </c>
    </row>
    <row r="15" spans="1:9" x14ac:dyDescent="0.25">
      <c r="A15" s="73"/>
      <c r="B15" s="236">
        <f t="shared" si="1"/>
        <v>74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1852.1399999999999</v>
      </c>
    </row>
    <row r="16" spans="1:9" x14ac:dyDescent="0.25">
      <c r="B16" s="236">
        <f t="shared" si="1"/>
        <v>74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1852.1399999999999</v>
      </c>
    </row>
    <row r="17" spans="1:9" x14ac:dyDescent="0.25">
      <c r="B17" s="236">
        <f t="shared" si="1"/>
        <v>74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1852.1399999999999</v>
      </c>
    </row>
    <row r="18" spans="1:9" x14ac:dyDescent="0.25">
      <c r="A18" s="122"/>
      <c r="B18" s="236">
        <f t="shared" si="1"/>
        <v>74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1852.1399999999999</v>
      </c>
    </row>
    <row r="19" spans="1:9" x14ac:dyDescent="0.25">
      <c r="A19" s="122"/>
      <c r="B19" s="236">
        <f t="shared" si="1"/>
        <v>74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1852.1399999999999</v>
      </c>
    </row>
    <row r="20" spans="1:9" x14ac:dyDescent="0.25">
      <c r="A20" s="122"/>
      <c r="B20" s="236">
        <f t="shared" si="1"/>
        <v>74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1852.1399999999999</v>
      </c>
    </row>
    <row r="21" spans="1:9" x14ac:dyDescent="0.25">
      <c r="A21" s="122"/>
      <c r="B21" s="236">
        <f t="shared" si="1"/>
        <v>74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1852.1399999999999</v>
      </c>
    </row>
    <row r="22" spans="1:9" x14ac:dyDescent="0.25">
      <c r="A22" s="122"/>
      <c r="B22" s="236">
        <f t="shared" si="1"/>
        <v>74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1852.1399999999999</v>
      </c>
    </row>
    <row r="23" spans="1:9" x14ac:dyDescent="0.25">
      <c r="A23" s="123"/>
      <c r="B23" s="236">
        <f t="shared" si="1"/>
        <v>74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1852.1399999999999</v>
      </c>
    </row>
    <row r="24" spans="1:9" x14ac:dyDescent="0.25">
      <c r="A24" s="122"/>
      <c r="B24" s="236">
        <f t="shared" si="1"/>
        <v>74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1852.1399999999999</v>
      </c>
    </row>
    <row r="25" spans="1:9" x14ac:dyDescent="0.25">
      <c r="A25" s="122"/>
      <c r="B25" s="236">
        <f t="shared" si="1"/>
        <v>74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1852.1399999999999</v>
      </c>
    </row>
    <row r="26" spans="1:9" x14ac:dyDescent="0.25">
      <c r="A26" s="122"/>
      <c r="B26" s="236">
        <f t="shared" si="1"/>
        <v>74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1852.1399999999999</v>
      </c>
    </row>
    <row r="27" spans="1:9" x14ac:dyDescent="0.25">
      <c r="A27" s="122"/>
      <c r="B27" s="236">
        <f t="shared" si="1"/>
        <v>74</v>
      </c>
      <c r="C27" s="15"/>
      <c r="D27" s="69"/>
      <c r="E27" s="803"/>
      <c r="F27" s="771">
        <v>0</v>
      </c>
      <c r="G27" s="769"/>
      <c r="H27" s="770"/>
      <c r="I27" s="806">
        <f t="shared" si="2"/>
        <v>1852.1399999999999</v>
      </c>
    </row>
    <row r="28" spans="1:9" x14ac:dyDescent="0.25">
      <c r="A28" s="122"/>
      <c r="B28" s="236">
        <f t="shared" si="1"/>
        <v>74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1852.1399999999999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1852.1399999999999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1852.1399999999999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5</v>
      </c>
      <c r="D35" s="6">
        <f>SUM(D10:D34)</f>
        <v>129.68</v>
      </c>
      <c r="F35" s="6">
        <f>SUM(F10:F34)</f>
        <v>129.68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74</v>
      </c>
    </row>
    <row r="39" spans="1:9" ht="15.75" thickBot="1" x14ac:dyDescent="0.3"/>
    <row r="40" spans="1:9" ht="15.75" thickBot="1" x14ac:dyDescent="0.3">
      <c r="C40" s="1039" t="s">
        <v>11</v>
      </c>
      <c r="D40" s="1040"/>
      <c r="E40" s="57">
        <f>E4+E5+E6+E7-F35</f>
        <v>1852.1399999999999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45"/>
      <c r="B5" s="105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45"/>
      <c r="B6" s="1054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9" t="s">
        <v>11</v>
      </c>
      <c r="D40" s="104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G23" sqref="G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37" t="s">
        <v>265</v>
      </c>
      <c r="B1" s="1037"/>
      <c r="C1" s="1037"/>
      <c r="D1" s="1037"/>
      <c r="E1" s="1037"/>
      <c r="F1" s="1037"/>
      <c r="G1" s="103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49" t="s">
        <v>82</v>
      </c>
      <c r="B5" s="1054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698.62</v>
      </c>
      <c r="H5" s="7">
        <f>E5-G5+E4+E6</f>
        <v>269.94999999999993</v>
      </c>
    </row>
    <row r="6" spans="1:9" ht="15.75" customHeight="1" thickBot="1" x14ac:dyDescent="0.3">
      <c r="A6" s="1049"/>
      <c r="B6" s="105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69">
        <v>85.2</v>
      </c>
      <c r="E16" s="246">
        <v>44841</v>
      </c>
      <c r="F16" s="105">
        <f t="shared" ref="F16:F35" si="3">D16</f>
        <v>85.2</v>
      </c>
      <c r="G16" s="70" t="s">
        <v>441</v>
      </c>
      <c r="H16" s="71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69">
        <v>10</v>
      </c>
      <c r="E17" s="246">
        <v>44844</v>
      </c>
      <c r="F17" s="105">
        <f t="shared" si="3"/>
        <v>10</v>
      </c>
      <c r="G17" s="70" t="s">
        <v>463</v>
      </c>
      <c r="H17" s="71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69">
        <v>10</v>
      </c>
      <c r="E18" s="246">
        <v>44847</v>
      </c>
      <c r="F18" s="105">
        <f t="shared" si="3"/>
        <v>10</v>
      </c>
      <c r="G18" s="70" t="s">
        <v>479</v>
      </c>
      <c r="H18" s="71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69">
        <v>50</v>
      </c>
      <c r="E19" s="246">
        <v>44848</v>
      </c>
      <c r="F19" s="105">
        <f t="shared" si="3"/>
        <v>50</v>
      </c>
      <c r="G19" s="70" t="s">
        <v>495</v>
      </c>
      <c r="H19" s="71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69">
        <v>10</v>
      </c>
      <c r="E20" s="246">
        <v>44848</v>
      </c>
      <c r="F20" s="105">
        <f t="shared" si="3"/>
        <v>10</v>
      </c>
      <c r="G20" s="70" t="s">
        <v>437</v>
      </c>
      <c r="H20" s="71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69">
        <v>20</v>
      </c>
      <c r="E21" s="246">
        <v>44851</v>
      </c>
      <c r="F21" s="105">
        <f t="shared" si="3"/>
        <v>20</v>
      </c>
      <c r="G21" s="70" t="s">
        <v>507</v>
      </c>
      <c r="H21" s="71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69">
        <v>20</v>
      </c>
      <c r="E22" s="246">
        <v>44853</v>
      </c>
      <c r="F22" s="105">
        <f t="shared" si="3"/>
        <v>20</v>
      </c>
      <c r="G22" s="70" t="s">
        <v>518</v>
      </c>
      <c r="H22" s="71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27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269.95000000000005</v>
      </c>
    </row>
    <row r="24" spans="1:9" ht="15" customHeight="1" x14ac:dyDescent="0.25">
      <c r="B24" s="548">
        <f t="shared" si="1"/>
        <v>27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269.95000000000005</v>
      </c>
    </row>
    <row r="25" spans="1:9" ht="15" customHeight="1" x14ac:dyDescent="0.25">
      <c r="B25" s="548">
        <f t="shared" si="1"/>
        <v>27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269.95000000000005</v>
      </c>
    </row>
    <row r="26" spans="1:9" ht="15" customHeight="1" x14ac:dyDescent="0.25">
      <c r="B26" s="548">
        <f t="shared" si="1"/>
        <v>27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269.95000000000005</v>
      </c>
    </row>
    <row r="27" spans="1:9" ht="15" customHeight="1" x14ac:dyDescent="0.25">
      <c r="B27" s="548">
        <f t="shared" si="1"/>
        <v>27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269.95000000000005</v>
      </c>
    </row>
    <row r="28" spans="1:9" ht="15" customHeight="1" x14ac:dyDescent="0.25">
      <c r="A28" s="47"/>
      <c r="B28" s="548">
        <f t="shared" si="1"/>
        <v>27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269.95000000000005</v>
      </c>
    </row>
    <row r="29" spans="1:9" ht="15" customHeight="1" x14ac:dyDescent="0.25">
      <c r="A29" s="47"/>
      <c r="B29" s="548">
        <f t="shared" si="1"/>
        <v>27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269.95000000000005</v>
      </c>
    </row>
    <row r="30" spans="1:9" ht="15" customHeight="1" x14ac:dyDescent="0.25">
      <c r="A30" s="47"/>
      <c r="B30" s="548">
        <f t="shared" si="1"/>
        <v>27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269.95000000000005</v>
      </c>
    </row>
    <row r="31" spans="1:9" ht="15" customHeight="1" x14ac:dyDescent="0.25">
      <c r="A31" s="47"/>
      <c r="B31" s="548">
        <f t="shared" si="1"/>
        <v>27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269.95000000000005</v>
      </c>
    </row>
    <row r="32" spans="1:9" ht="15" customHeight="1" x14ac:dyDescent="0.25">
      <c r="A32" s="47"/>
      <c r="B32" s="548">
        <f t="shared" si="1"/>
        <v>27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269.95000000000005</v>
      </c>
    </row>
    <row r="33" spans="1:9" ht="15" customHeight="1" x14ac:dyDescent="0.25">
      <c r="A33" s="47"/>
      <c r="B33" s="548">
        <f t="shared" si="1"/>
        <v>27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269.95000000000005</v>
      </c>
    </row>
    <row r="34" spans="1:9" ht="15" customHeight="1" x14ac:dyDescent="0.25">
      <c r="A34" s="47"/>
      <c r="B34" s="548">
        <f t="shared" si="1"/>
        <v>27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269.95000000000005</v>
      </c>
    </row>
    <row r="35" spans="1:9" ht="15.75" thickBot="1" x14ac:dyDescent="0.3">
      <c r="A35" s="121"/>
      <c r="B35" s="548">
        <f t="shared" si="1"/>
        <v>27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43</v>
      </c>
      <c r="D36" s="105">
        <f>SUM(D8:D35)</f>
        <v>698.62</v>
      </c>
      <c r="E36" s="75"/>
      <c r="F36" s="105">
        <f>SUM(F8:F35)</f>
        <v>698.62</v>
      </c>
    </row>
    <row r="37" spans="1:9" ht="15.75" thickBot="1" x14ac:dyDescent="0.3">
      <c r="A37" s="47"/>
    </row>
    <row r="38" spans="1:9" x14ac:dyDescent="0.25">
      <c r="B38" s="546"/>
      <c r="D38" s="1031" t="s">
        <v>21</v>
      </c>
      <c r="E38" s="1032"/>
      <c r="F38" s="141">
        <f>E4+E5-F36+E6</f>
        <v>269.94999999999993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27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45"/>
      <c r="B5" s="105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45"/>
      <c r="B6" s="105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31" t="s">
        <v>21</v>
      </c>
      <c r="E42" s="103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45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4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8" t="s">
        <v>87</v>
      </c>
      <c r="C4" s="128"/>
      <c r="D4" s="134"/>
      <c r="E4" s="181"/>
      <c r="F4" s="137"/>
      <c r="G4" s="38"/>
    </row>
    <row r="5" spans="1:15" ht="15.75" x14ac:dyDescent="0.25">
      <c r="A5" s="1045"/>
      <c r="B5" s="105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4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6"/>
      <c r="B1" s="1026"/>
      <c r="C1" s="1026"/>
      <c r="D1" s="1026"/>
      <c r="E1" s="1026"/>
      <c r="F1" s="1026"/>
      <c r="G1" s="102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49" t="s">
        <v>97</v>
      </c>
      <c r="B5" s="106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49"/>
      <c r="B6" s="106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1" t="s">
        <v>21</v>
      </c>
      <c r="E32" s="103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R1" zoomScaleNormal="100" workbookViewId="0">
      <selection activeCell="GE5" sqref="G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28" t="s">
        <v>261</v>
      </c>
      <c r="L1" s="1028"/>
      <c r="M1" s="1028"/>
      <c r="N1" s="1028"/>
      <c r="O1" s="1028"/>
      <c r="P1" s="1028"/>
      <c r="Q1" s="1028"/>
      <c r="R1" s="270">
        <f>I1+1</f>
        <v>1</v>
      </c>
      <c r="S1" s="270"/>
      <c r="U1" s="1026" t="str">
        <f>K1</f>
        <v>ENTRADA DEL MES DE OCTUBRE 2022</v>
      </c>
      <c r="V1" s="1026"/>
      <c r="W1" s="1026"/>
      <c r="X1" s="1026"/>
      <c r="Y1" s="1026"/>
      <c r="Z1" s="1026"/>
      <c r="AA1" s="1026"/>
      <c r="AB1" s="270">
        <f>R1+1</f>
        <v>2</v>
      </c>
      <c r="AC1" s="403"/>
      <c r="AE1" s="1026" t="str">
        <f>U1</f>
        <v>ENTRADA DEL MES DE OCTUBRE 2022</v>
      </c>
      <c r="AF1" s="1026"/>
      <c r="AG1" s="1026"/>
      <c r="AH1" s="1026"/>
      <c r="AI1" s="1026"/>
      <c r="AJ1" s="1026"/>
      <c r="AK1" s="1026"/>
      <c r="AL1" s="270">
        <f>AB1+1</f>
        <v>3</v>
      </c>
      <c r="AM1" s="270"/>
      <c r="AO1" s="1026" t="str">
        <f>AE1</f>
        <v>ENTRADA DEL MES DE OCTUBRE 2022</v>
      </c>
      <c r="AP1" s="1026"/>
      <c r="AQ1" s="1026"/>
      <c r="AR1" s="1026"/>
      <c r="AS1" s="1026"/>
      <c r="AT1" s="1026"/>
      <c r="AU1" s="1026"/>
      <c r="AV1" s="270">
        <f>AL1+1</f>
        <v>4</v>
      </c>
      <c r="AW1" s="403"/>
      <c r="AY1" s="1026" t="str">
        <f>AO1</f>
        <v>ENTRADA DEL MES DE OCTUBRE 2022</v>
      </c>
      <c r="AZ1" s="1026"/>
      <c r="BA1" s="1026"/>
      <c r="BB1" s="1026"/>
      <c r="BC1" s="1026"/>
      <c r="BD1" s="1026"/>
      <c r="BE1" s="1026"/>
      <c r="BF1" s="270">
        <f>AV1+1</f>
        <v>5</v>
      </c>
      <c r="BG1" s="419"/>
      <c r="BI1" s="1026" t="str">
        <f>AY1</f>
        <v>ENTRADA DEL MES DE OCTUBRE 2022</v>
      </c>
      <c r="BJ1" s="1026"/>
      <c r="BK1" s="1026"/>
      <c r="BL1" s="1026"/>
      <c r="BM1" s="1026"/>
      <c r="BN1" s="1026"/>
      <c r="BO1" s="1026"/>
      <c r="BP1" s="270">
        <f>BF1+1</f>
        <v>6</v>
      </c>
      <c r="BQ1" s="403"/>
      <c r="BS1" s="1026" t="str">
        <f>BI1</f>
        <v>ENTRADA DEL MES DE OCTUBRE 2022</v>
      </c>
      <c r="BT1" s="1026"/>
      <c r="BU1" s="1026"/>
      <c r="BV1" s="1026"/>
      <c r="BW1" s="1026"/>
      <c r="BX1" s="1026"/>
      <c r="BY1" s="1026"/>
      <c r="BZ1" s="270">
        <f>BP1+1</f>
        <v>7</v>
      </c>
      <c r="CC1" s="1026" t="str">
        <f>BS1</f>
        <v>ENTRADA DEL MES DE OCTUBRE 2022</v>
      </c>
      <c r="CD1" s="1026"/>
      <c r="CE1" s="1026"/>
      <c r="CF1" s="1026"/>
      <c r="CG1" s="1026"/>
      <c r="CH1" s="1026"/>
      <c r="CI1" s="1026"/>
      <c r="CJ1" s="270">
        <f>BZ1+1</f>
        <v>8</v>
      </c>
      <c r="CM1" s="1026" t="str">
        <f>CC1</f>
        <v>ENTRADA DEL MES DE OCTUBRE 2022</v>
      </c>
      <c r="CN1" s="1026"/>
      <c r="CO1" s="1026"/>
      <c r="CP1" s="1026"/>
      <c r="CQ1" s="1026"/>
      <c r="CR1" s="1026"/>
      <c r="CS1" s="1026"/>
      <c r="CT1" s="270">
        <f>CJ1+1</f>
        <v>9</v>
      </c>
      <c r="CU1" s="403"/>
      <c r="CW1" s="1026" t="str">
        <f>CM1</f>
        <v>ENTRADA DEL MES DE OCTUBRE 2022</v>
      </c>
      <c r="CX1" s="1026"/>
      <c r="CY1" s="1026"/>
      <c r="CZ1" s="1026"/>
      <c r="DA1" s="1026"/>
      <c r="DB1" s="1026"/>
      <c r="DC1" s="1026"/>
      <c r="DD1" s="270">
        <f>CT1+1</f>
        <v>10</v>
      </c>
      <c r="DE1" s="403"/>
      <c r="DG1" s="1026" t="str">
        <f>CW1</f>
        <v>ENTRADA DEL MES DE OCTUBRE 2022</v>
      </c>
      <c r="DH1" s="1026"/>
      <c r="DI1" s="1026"/>
      <c r="DJ1" s="1026"/>
      <c r="DK1" s="1026"/>
      <c r="DL1" s="1026"/>
      <c r="DM1" s="1026"/>
      <c r="DN1" s="270">
        <f>DD1+1</f>
        <v>11</v>
      </c>
      <c r="DO1" s="403"/>
      <c r="DQ1" s="1026" t="str">
        <f>DG1</f>
        <v>ENTRADA DEL MES DE OCTUBRE 2022</v>
      </c>
      <c r="DR1" s="1026"/>
      <c r="DS1" s="1026"/>
      <c r="DT1" s="1026"/>
      <c r="DU1" s="1026"/>
      <c r="DV1" s="1026"/>
      <c r="DW1" s="1026"/>
      <c r="DX1" s="270">
        <f>DN1+1</f>
        <v>12</v>
      </c>
      <c r="EA1" s="1026" t="str">
        <f>DQ1</f>
        <v>ENTRADA DEL MES DE OCTUBRE 2022</v>
      </c>
      <c r="EB1" s="1026"/>
      <c r="EC1" s="1026"/>
      <c r="ED1" s="1026"/>
      <c r="EE1" s="1026"/>
      <c r="EF1" s="1026"/>
      <c r="EG1" s="1026"/>
      <c r="EH1" s="270">
        <f>DX1+1</f>
        <v>13</v>
      </c>
      <c r="EI1" s="403"/>
      <c r="EK1" s="1026" t="str">
        <f>EA1</f>
        <v>ENTRADA DEL MES DE OCTUBRE 2022</v>
      </c>
      <c r="EL1" s="1026"/>
      <c r="EM1" s="1026"/>
      <c r="EN1" s="1026"/>
      <c r="EO1" s="1026"/>
      <c r="EP1" s="1026"/>
      <c r="EQ1" s="1026"/>
      <c r="ER1" s="270">
        <f>EH1+1</f>
        <v>14</v>
      </c>
      <c r="ES1" s="403"/>
      <c r="EU1" s="1026" t="str">
        <f>EK1</f>
        <v>ENTRADA DEL MES DE OCTUBRE 2022</v>
      </c>
      <c r="EV1" s="1026"/>
      <c r="EW1" s="1026"/>
      <c r="EX1" s="1026"/>
      <c r="EY1" s="1026"/>
      <c r="EZ1" s="1026"/>
      <c r="FA1" s="1026"/>
      <c r="FB1" s="270">
        <f>ER1+1</f>
        <v>15</v>
      </c>
      <c r="FC1" s="403"/>
      <c r="FE1" s="1026" t="str">
        <f>EU1</f>
        <v>ENTRADA DEL MES DE OCTUBRE 2022</v>
      </c>
      <c r="FF1" s="1026"/>
      <c r="FG1" s="1026"/>
      <c r="FH1" s="1026"/>
      <c r="FI1" s="1026"/>
      <c r="FJ1" s="1026"/>
      <c r="FK1" s="1026"/>
      <c r="FL1" s="270">
        <f>FB1+1</f>
        <v>16</v>
      </c>
      <c r="FM1" s="403"/>
      <c r="FO1" s="1026" t="str">
        <f>FE1</f>
        <v>ENTRADA DEL MES DE OCTUBRE 2022</v>
      </c>
      <c r="FP1" s="1026"/>
      <c r="FQ1" s="1026"/>
      <c r="FR1" s="1026"/>
      <c r="FS1" s="1026"/>
      <c r="FT1" s="1026"/>
      <c r="FU1" s="1026"/>
      <c r="FV1" s="270">
        <f>FL1+1</f>
        <v>17</v>
      </c>
      <c r="FW1" s="403"/>
      <c r="FY1" s="1026" t="str">
        <f>FO1</f>
        <v>ENTRADA DEL MES DE OCTUBRE 2022</v>
      </c>
      <c r="FZ1" s="1026"/>
      <c r="GA1" s="1026"/>
      <c r="GB1" s="1026"/>
      <c r="GC1" s="1026"/>
      <c r="GD1" s="1026"/>
      <c r="GE1" s="1026"/>
      <c r="GF1" s="270">
        <f>FV1+1</f>
        <v>18</v>
      </c>
      <c r="GG1" s="403"/>
      <c r="GH1" s="75" t="s">
        <v>37</v>
      </c>
      <c r="GI1" s="1026" t="str">
        <f>FY1</f>
        <v>ENTRADA DEL MES DE OCTUBRE 2022</v>
      </c>
      <c r="GJ1" s="1026"/>
      <c r="GK1" s="1026"/>
      <c r="GL1" s="1026"/>
      <c r="GM1" s="1026"/>
      <c r="GN1" s="1026"/>
      <c r="GO1" s="1026"/>
      <c r="GP1" s="270">
        <f>GF1+1</f>
        <v>19</v>
      </c>
      <c r="GQ1" s="403"/>
      <c r="GS1" s="1026" t="str">
        <f>GI1</f>
        <v>ENTRADA DEL MES DE OCTUBRE 2022</v>
      </c>
      <c r="GT1" s="1026"/>
      <c r="GU1" s="1026"/>
      <c r="GV1" s="1026"/>
      <c r="GW1" s="1026"/>
      <c r="GX1" s="1026"/>
      <c r="GY1" s="1026"/>
      <c r="GZ1" s="270">
        <f>GP1+1</f>
        <v>20</v>
      </c>
      <c r="HA1" s="403"/>
      <c r="HC1" s="1026" t="str">
        <f>GS1</f>
        <v>ENTRADA DEL MES DE OCTUBRE 2022</v>
      </c>
      <c r="HD1" s="1026"/>
      <c r="HE1" s="1026"/>
      <c r="HF1" s="1026"/>
      <c r="HG1" s="1026"/>
      <c r="HH1" s="1026"/>
      <c r="HI1" s="1026"/>
      <c r="HJ1" s="270">
        <f>GZ1+1</f>
        <v>21</v>
      </c>
      <c r="HK1" s="403"/>
      <c r="HM1" s="1026" t="str">
        <f>HC1</f>
        <v>ENTRADA DEL MES DE OCTUBRE 2022</v>
      </c>
      <c r="HN1" s="1026"/>
      <c r="HO1" s="1026"/>
      <c r="HP1" s="1026"/>
      <c r="HQ1" s="1026"/>
      <c r="HR1" s="1026"/>
      <c r="HS1" s="1026"/>
      <c r="HT1" s="270">
        <f>HJ1+1</f>
        <v>22</v>
      </c>
      <c r="HU1" s="403"/>
      <c r="HW1" s="1026" t="str">
        <f>HM1</f>
        <v>ENTRADA DEL MES DE OCTUBRE 2022</v>
      </c>
      <c r="HX1" s="1026"/>
      <c r="HY1" s="1026"/>
      <c r="HZ1" s="1026"/>
      <c r="IA1" s="1026"/>
      <c r="IB1" s="1026"/>
      <c r="IC1" s="1026"/>
      <c r="ID1" s="270">
        <f>HT1+1</f>
        <v>23</v>
      </c>
      <c r="IE1" s="403"/>
      <c r="IG1" s="1026" t="str">
        <f>HW1</f>
        <v>ENTRADA DEL MES DE OCTUBRE 2022</v>
      </c>
      <c r="IH1" s="1026"/>
      <c r="II1" s="1026"/>
      <c r="IJ1" s="1026"/>
      <c r="IK1" s="1026"/>
      <c r="IL1" s="1026"/>
      <c r="IM1" s="1026"/>
      <c r="IN1" s="270">
        <f>ID1+1</f>
        <v>24</v>
      </c>
      <c r="IO1" s="403"/>
      <c r="IQ1" s="1026" t="str">
        <f>IG1</f>
        <v>ENTRADA DEL MES DE OCTUBRE 2022</v>
      </c>
      <c r="IR1" s="1026"/>
      <c r="IS1" s="1026"/>
      <c r="IT1" s="1026"/>
      <c r="IU1" s="1026"/>
      <c r="IV1" s="1026"/>
      <c r="IW1" s="1026"/>
      <c r="IX1" s="270">
        <f>IN1+1</f>
        <v>25</v>
      </c>
      <c r="IY1" s="403"/>
      <c r="JA1" s="1026" t="str">
        <f>IQ1</f>
        <v>ENTRADA DEL MES DE OCTUBRE 2022</v>
      </c>
      <c r="JB1" s="1026"/>
      <c r="JC1" s="1026"/>
      <c r="JD1" s="1026"/>
      <c r="JE1" s="1026"/>
      <c r="JF1" s="1026"/>
      <c r="JG1" s="1026"/>
      <c r="JH1" s="270">
        <f>IX1+1</f>
        <v>26</v>
      </c>
      <c r="JI1" s="403"/>
      <c r="JK1" s="1036" t="str">
        <f>JA1</f>
        <v>ENTRADA DEL MES DE OCTUBRE 2022</v>
      </c>
      <c r="JL1" s="1036"/>
      <c r="JM1" s="1036"/>
      <c r="JN1" s="1036"/>
      <c r="JO1" s="1036"/>
      <c r="JP1" s="1036"/>
      <c r="JQ1" s="1036"/>
      <c r="JR1" s="270">
        <f>JH1+1</f>
        <v>27</v>
      </c>
      <c r="JS1" s="403"/>
      <c r="JU1" s="1026" t="str">
        <f>JK1</f>
        <v>ENTRADA DEL MES DE OCTUBRE 2022</v>
      </c>
      <c r="JV1" s="1026"/>
      <c r="JW1" s="1026"/>
      <c r="JX1" s="1026"/>
      <c r="JY1" s="1026"/>
      <c r="JZ1" s="1026"/>
      <c r="KA1" s="1026"/>
      <c r="KB1" s="270">
        <f>JR1+1</f>
        <v>28</v>
      </c>
      <c r="KC1" s="403"/>
      <c r="KE1" s="1026" t="str">
        <f>JU1</f>
        <v>ENTRADA DEL MES DE OCTUBRE 2022</v>
      </c>
      <c r="KF1" s="1026"/>
      <c r="KG1" s="1026"/>
      <c r="KH1" s="1026"/>
      <c r="KI1" s="1026"/>
      <c r="KJ1" s="1026"/>
      <c r="KK1" s="1026"/>
      <c r="KL1" s="270">
        <f>KB1+1</f>
        <v>29</v>
      </c>
      <c r="KM1" s="403"/>
      <c r="KO1" s="1026" t="str">
        <f>KE1</f>
        <v>ENTRADA DEL MES DE OCTUBRE 2022</v>
      </c>
      <c r="KP1" s="1026"/>
      <c r="KQ1" s="1026"/>
      <c r="KR1" s="1026"/>
      <c r="KS1" s="1026"/>
      <c r="KT1" s="1026"/>
      <c r="KU1" s="1026"/>
      <c r="KV1" s="270">
        <f>KL1+1</f>
        <v>30</v>
      </c>
      <c r="KW1" s="403"/>
      <c r="KY1" s="1026" t="str">
        <f>KO1</f>
        <v>ENTRADA DEL MES DE OCTUBRE 2022</v>
      </c>
      <c r="KZ1" s="1026"/>
      <c r="LA1" s="1026"/>
      <c r="LB1" s="1026"/>
      <c r="LC1" s="1026"/>
      <c r="LD1" s="1026"/>
      <c r="LE1" s="1026"/>
      <c r="LF1" s="270">
        <f>KV1+1</f>
        <v>31</v>
      </c>
      <c r="LG1" s="403"/>
      <c r="LI1" s="1026" t="str">
        <f>KY1</f>
        <v>ENTRADA DEL MES DE OCTUBRE 2022</v>
      </c>
      <c r="LJ1" s="1026"/>
      <c r="LK1" s="1026"/>
      <c r="LL1" s="1026"/>
      <c r="LM1" s="1026"/>
      <c r="LN1" s="1026"/>
      <c r="LO1" s="1026"/>
      <c r="LP1" s="270">
        <f>LF1+1</f>
        <v>32</v>
      </c>
      <c r="LQ1" s="403"/>
      <c r="LS1" s="1026" t="str">
        <f>LI1</f>
        <v>ENTRADA DEL MES DE OCTUBRE 2022</v>
      </c>
      <c r="LT1" s="1026"/>
      <c r="LU1" s="1026"/>
      <c r="LV1" s="1026"/>
      <c r="LW1" s="1026"/>
      <c r="LX1" s="1026"/>
      <c r="LY1" s="1026"/>
      <c r="LZ1" s="270">
        <f>LP1+1</f>
        <v>33</v>
      </c>
      <c r="MC1" s="1026" t="str">
        <f>LS1</f>
        <v>ENTRADA DEL MES DE OCTUBRE 2022</v>
      </c>
      <c r="MD1" s="1026"/>
      <c r="ME1" s="1026"/>
      <c r="MF1" s="1026"/>
      <c r="MG1" s="1026"/>
      <c r="MH1" s="1026"/>
      <c r="MI1" s="1026"/>
      <c r="MJ1" s="270">
        <f>LZ1+1</f>
        <v>34</v>
      </c>
      <c r="MK1" s="270"/>
      <c r="MM1" s="1026" t="str">
        <f>MC1</f>
        <v>ENTRADA DEL MES DE OCTUBRE 2022</v>
      </c>
      <c r="MN1" s="1026"/>
      <c r="MO1" s="1026"/>
      <c r="MP1" s="1026"/>
      <c r="MQ1" s="1026"/>
      <c r="MR1" s="1026"/>
      <c r="MS1" s="1026"/>
      <c r="MT1" s="270">
        <f>MJ1+1</f>
        <v>35</v>
      </c>
      <c r="MU1" s="270"/>
      <c r="MW1" s="1026" t="str">
        <f>MM1</f>
        <v>ENTRADA DEL MES DE OCTUBRE 2022</v>
      </c>
      <c r="MX1" s="1026"/>
      <c r="MY1" s="1026"/>
      <c r="MZ1" s="1026"/>
      <c r="NA1" s="1026"/>
      <c r="NB1" s="1026"/>
      <c r="NC1" s="1026"/>
      <c r="ND1" s="270">
        <f>MT1+1</f>
        <v>36</v>
      </c>
      <c r="NE1" s="270"/>
      <c r="NG1" s="1026" t="str">
        <f>MW1</f>
        <v>ENTRADA DEL MES DE OCTUBRE 2022</v>
      </c>
      <c r="NH1" s="1026"/>
      <c r="NI1" s="1026"/>
      <c r="NJ1" s="1026"/>
      <c r="NK1" s="1026"/>
      <c r="NL1" s="1026"/>
      <c r="NM1" s="1026"/>
      <c r="NN1" s="270">
        <f>ND1+1</f>
        <v>37</v>
      </c>
      <c r="NO1" s="270"/>
      <c r="NQ1" s="1026" t="str">
        <f>NG1</f>
        <v>ENTRADA DEL MES DE OCTUBRE 2022</v>
      </c>
      <c r="NR1" s="1026"/>
      <c r="NS1" s="1026"/>
      <c r="NT1" s="1026"/>
      <c r="NU1" s="1026"/>
      <c r="NV1" s="1026"/>
      <c r="NW1" s="1026"/>
      <c r="NX1" s="270">
        <f>NN1+1</f>
        <v>38</v>
      </c>
      <c r="NY1" s="270"/>
      <c r="OA1" s="1026" t="str">
        <f>NQ1</f>
        <v>ENTRADA DEL MES DE OCTUBRE 2022</v>
      </c>
      <c r="OB1" s="1026"/>
      <c r="OC1" s="1026"/>
      <c r="OD1" s="1026"/>
      <c r="OE1" s="1026"/>
      <c r="OF1" s="1026"/>
      <c r="OG1" s="1026"/>
      <c r="OH1" s="270">
        <f>NX1+1</f>
        <v>39</v>
      </c>
      <c r="OI1" s="270"/>
      <c r="OK1" s="1026" t="str">
        <f>OA1</f>
        <v>ENTRADA DEL MES DE OCTUBRE 2022</v>
      </c>
      <c r="OL1" s="1026"/>
      <c r="OM1" s="1026"/>
      <c r="ON1" s="1026"/>
      <c r="OO1" s="1026"/>
      <c r="OP1" s="1026"/>
      <c r="OQ1" s="1026"/>
      <c r="OR1" s="270">
        <f>OH1+1</f>
        <v>40</v>
      </c>
      <c r="OS1" s="270"/>
      <c r="OU1" s="1026" t="str">
        <f>OK1</f>
        <v>ENTRADA DEL MES DE OCTUBRE 2022</v>
      </c>
      <c r="OV1" s="1026"/>
      <c r="OW1" s="1026"/>
      <c r="OX1" s="1026"/>
      <c r="OY1" s="1026"/>
      <c r="OZ1" s="1026"/>
      <c r="PA1" s="1026"/>
      <c r="PB1" s="270">
        <f>OR1+1</f>
        <v>41</v>
      </c>
      <c r="PC1" s="270"/>
      <c r="PE1" s="1026" t="str">
        <f>OU1</f>
        <v>ENTRADA DEL MES DE OCTUBRE 2022</v>
      </c>
      <c r="PF1" s="1026"/>
      <c r="PG1" s="1026"/>
      <c r="PH1" s="1026"/>
      <c r="PI1" s="1026"/>
      <c r="PJ1" s="1026"/>
      <c r="PK1" s="1026"/>
      <c r="PL1" s="270">
        <f>PB1+1</f>
        <v>42</v>
      </c>
      <c r="PM1" s="270"/>
      <c r="PO1" s="1026" t="str">
        <f>PE1</f>
        <v>ENTRADA DEL MES DE OCTUBRE 2022</v>
      </c>
      <c r="PP1" s="1026"/>
      <c r="PQ1" s="1026"/>
      <c r="PR1" s="1026"/>
      <c r="PS1" s="1026"/>
      <c r="PT1" s="1026"/>
      <c r="PU1" s="1026"/>
      <c r="PV1" s="270">
        <f>PL1+1</f>
        <v>43</v>
      </c>
      <c r="PX1" s="1026" t="str">
        <f>PO1</f>
        <v>ENTRADA DEL MES DE OCTUBRE 2022</v>
      </c>
      <c r="PY1" s="1026"/>
      <c r="PZ1" s="1026"/>
      <c r="QA1" s="1026"/>
      <c r="QB1" s="1026"/>
      <c r="QC1" s="1026"/>
      <c r="QD1" s="1026"/>
      <c r="QE1" s="270">
        <f>PV1+1</f>
        <v>44</v>
      </c>
      <c r="QG1" s="1026" t="str">
        <f>PX1</f>
        <v>ENTRADA DEL MES DE OCTUBRE 2022</v>
      </c>
      <c r="QH1" s="1026"/>
      <c r="QI1" s="1026"/>
      <c r="QJ1" s="1026"/>
      <c r="QK1" s="1026"/>
      <c r="QL1" s="1026"/>
      <c r="QM1" s="1026"/>
      <c r="QN1" s="270">
        <f>QE1+1</f>
        <v>45</v>
      </c>
      <c r="QP1" s="1026" t="str">
        <f>QG1</f>
        <v>ENTRADA DEL MES DE OCTUBRE 2022</v>
      </c>
      <c r="QQ1" s="1026"/>
      <c r="QR1" s="1026"/>
      <c r="QS1" s="1026"/>
      <c r="QT1" s="1026"/>
      <c r="QU1" s="1026"/>
      <c r="QV1" s="1026"/>
      <c r="QW1" s="270">
        <f>QN1+1</f>
        <v>46</v>
      </c>
      <c r="QY1" s="1026" t="str">
        <f>QP1</f>
        <v>ENTRADA DEL MES DE OCTUBRE 2022</v>
      </c>
      <c r="QZ1" s="1026"/>
      <c r="RA1" s="1026"/>
      <c r="RB1" s="1026"/>
      <c r="RC1" s="1026"/>
      <c r="RD1" s="1026"/>
      <c r="RE1" s="1026"/>
      <c r="RF1" s="270">
        <f>QW1+1</f>
        <v>47</v>
      </c>
      <c r="RH1" s="1026" t="str">
        <f>QY1</f>
        <v>ENTRADA DEL MES DE OCTUBRE 2022</v>
      </c>
      <c r="RI1" s="1026"/>
      <c r="RJ1" s="1026"/>
      <c r="RK1" s="1026"/>
      <c r="RL1" s="1026"/>
      <c r="RM1" s="1026"/>
      <c r="RN1" s="1026"/>
      <c r="RO1" s="270">
        <f>RF1+1</f>
        <v>48</v>
      </c>
      <c r="RQ1" s="1026" t="str">
        <f>RH1</f>
        <v>ENTRADA DEL MES DE OCTUBRE 2022</v>
      </c>
      <c r="RR1" s="1026"/>
      <c r="RS1" s="1026"/>
      <c r="RT1" s="1026"/>
      <c r="RU1" s="1026"/>
      <c r="RV1" s="1026"/>
      <c r="RW1" s="1026"/>
      <c r="RX1" s="270">
        <f>RO1+1</f>
        <v>49</v>
      </c>
      <c r="RZ1" s="1026" t="str">
        <f>RQ1</f>
        <v>ENTRADA DEL MES DE OCTUBRE 2022</v>
      </c>
      <c r="SA1" s="1026"/>
      <c r="SB1" s="1026"/>
      <c r="SC1" s="1026"/>
      <c r="SD1" s="1026"/>
      <c r="SE1" s="1026"/>
      <c r="SF1" s="1026"/>
      <c r="SG1" s="270">
        <f>RX1+1</f>
        <v>50</v>
      </c>
      <c r="SI1" s="1026" t="str">
        <f>RZ1</f>
        <v>ENTRADA DEL MES DE OCTUBRE 2022</v>
      </c>
      <c r="SJ1" s="1026"/>
      <c r="SK1" s="1026"/>
      <c r="SL1" s="1026"/>
      <c r="SM1" s="1026"/>
      <c r="SN1" s="1026"/>
      <c r="SO1" s="1026"/>
      <c r="SP1" s="270">
        <f>SG1+1</f>
        <v>51</v>
      </c>
      <c r="SR1" s="1026" t="str">
        <f>SI1</f>
        <v>ENTRADA DEL MES DE OCTUBRE 2022</v>
      </c>
      <c r="SS1" s="1026"/>
      <c r="ST1" s="1026"/>
      <c r="SU1" s="1026"/>
      <c r="SV1" s="1026"/>
      <c r="SW1" s="1026"/>
      <c r="SX1" s="1026"/>
      <c r="SY1" s="270">
        <f>SP1+1</f>
        <v>52</v>
      </c>
      <c r="TA1" s="1026" t="str">
        <f>SR1</f>
        <v>ENTRADA DEL MES DE OCTUBRE 2022</v>
      </c>
      <c r="TB1" s="1026"/>
      <c r="TC1" s="1026"/>
      <c r="TD1" s="1026"/>
      <c r="TE1" s="1026"/>
      <c r="TF1" s="1026"/>
      <c r="TG1" s="1026"/>
      <c r="TH1" s="270">
        <f>SY1+1</f>
        <v>53</v>
      </c>
      <c r="TJ1" s="1026" t="str">
        <f>TA1</f>
        <v>ENTRADA DEL MES DE OCTUBRE 2022</v>
      </c>
      <c r="TK1" s="1026"/>
      <c r="TL1" s="1026"/>
      <c r="TM1" s="1026"/>
      <c r="TN1" s="1026"/>
      <c r="TO1" s="1026"/>
      <c r="TP1" s="1026"/>
      <c r="TQ1" s="270">
        <f>TH1+1</f>
        <v>54</v>
      </c>
      <c r="TS1" s="1026" t="str">
        <f>TJ1</f>
        <v>ENTRADA DEL MES DE OCTUBRE 2022</v>
      </c>
      <c r="TT1" s="1026"/>
      <c r="TU1" s="1026"/>
      <c r="TV1" s="1026"/>
      <c r="TW1" s="1026"/>
      <c r="TX1" s="1026"/>
      <c r="TY1" s="1026"/>
      <c r="TZ1" s="270">
        <f>TQ1+1</f>
        <v>55</v>
      </c>
      <c r="UB1" s="1026" t="str">
        <f>TS1</f>
        <v>ENTRADA DEL MES DE OCTUBRE 2022</v>
      </c>
      <c r="UC1" s="1026"/>
      <c r="UD1" s="1026"/>
      <c r="UE1" s="1026"/>
      <c r="UF1" s="1026"/>
      <c r="UG1" s="1026"/>
      <c r="UH1" s="1026"/>
      <c r="UI1" s="270">
        <f>TZ1+1</f>
        <v>56</v>
      </c>
      <c r="UK1" s="1026" t="str">
        <f>UB1</f>
        <v>ENTRADA DEL MES DE OCTUBRE 2022</v>
      </c>
      <c r="UL1" s="1026"/>
      <c r="UM1" s="1026"/>
      <c r="UN1" s="1026"/>
      <c r="UO1" s="1026"/>
      <c r="UP1" s="1026"/>
      <c r="UQ1" s="1026"/>
      <c r="UR1" s="270">
        <f>UI1+1</f>
        <v>57</v>
      </c>
      <c r="UT1" s="1026" t="str">
        <f>UK1</f>
        <v>ENTRADA DEL MES DE OCTUBRE 2022</v>
      </c>
      <c r="UU1" s="1026"/>
      <c r="UV1" s="1026"/>
      <c r="UW1" s="1026"/>
      <c r="UX1" s="1026"/>
      <c r="UY1" s="1026"/>
      <c r="UZ1" s="1026"/>
      <c r="VA1" s="270">
        <f>UR1+1</f>
        <v>58</v>
      </c>
      <c r="VC1" s="1026" t="str">
        <f>UT1</f>
        <v>ENTRADA DEL MES DE OCTUBRE 2022</v>
      </c>
      <c r="VD1" s="1026"/>
      <c r="VE1" s="1026"/>
      <c r="VF1" s="1026"/>
      <c r="VG1" s="1026"/>
      <c r="VH1" s="1026"/>
      <c r="VI1" s="1026"/>
      <c r="VJ1" s="270">
        <f>VA1+1</f>
        <v>59</v>
      </c>
      <c r="VL1" s="1026" t="str">
        <f>VC1</f>
        <v>ENTRADA DEL MES DE OCTUBRE 2022</v>
      </c>
      <c r="VM1" s="1026"/>
      <c r="VN1" s="1026"/>
      <c r="VO1" s="1026"/>
      <c r="VP1" s="1026"/>
      <c r="VQ1" s="1026"/>
      <c r="VR1" s="1026"/>
      <c r="VS1" s="270">
        <f>VJ1+1</f>
        <v>60</v>
      </c>
      <c r="VU1" s="1026" t="str">
        <f>VL1</f>
        <v>ENTRADA DEL MES DE OCTUBRE 2022</v>
      </c>
      <c r="VV1" s="1026"/>
      <c r="VW1" s="1026"/>
      <c r="VX1" s="1026"/>
      <c r="VY1" s="1026"/>
      <c r="VZ1" s="1026"/>
      <c r="WA1" s="1026"/>
      <c r="WB1" s="270">
        <f>VS1+1</f>
        <v>61</v>
      </c>
      <c r="WD1" s="1026" t="str">
        <f>VU1</f>
        <v>ENTRADA DEL MES DE OCTUBRE 2022</v>
      </c>
      <c r="WE1" s="1026"/>
      <c r="WF1" s="1026"/>
      <c r="WG1" s="1026"/>
      <c r="WH1" s="1026"/>
      <c r="WI1" s="1026"/>
      <c r="WJ1" s="1026"/>
      <c r="WK1" s="270">
        <f>WB1+1</f>
        <v>62</v>
      </c>
      <c r="WM1" s="1026" t="str">
        <f>WD1</f>
        <v>ENTRADA DEL MES DE OCTUBRE 2022</v>
      </c>
      <c r="WN1" s="1026"/>
      <c r="WO1" s="1026"/>
      <c r="WP1" s="1026"/>
      <c r="WQ1" s="1026"/>
      <c r="WR1" s="1026"/>
      <c r="WS1" s="1026"/>
      <c r="WT1" s="270">
        <f>WK1+1</f>
        <v>63</v>
      </c>
      <c r="WV1" s="1026" t="str">
        <f>WM1</f>
        <v>ENTRADA DEL MES DE OCTUBRE 2022</v>
      </c>
      <c r="WW1" s="1026"/>
      <c r="WX1" s="1026"/>
      <c r="WY1" s="1026"/>
      <c r="WZ1" s="1026"/>
      <c r="XA1" s="1026"/>
      <c r="XB1" s="1026"/>
      <c r="XC1" s="270">
        <f>WT1+1</f>
        <v>64</v>
      </c>
      <c r="XE1" s="1026" t="str">
        <f>WV1</f>
        <v>ENTRADA DEL MES DE OCTUBRE 2022</v>
      </c>
      <c r="XF1" s="1026"/>
      <c r="XG1" s="1026"/>
      <c r="XH1" s="1026"/>
      <c r="XI1" s="1026"/>
      <c r="XJ1" s="1026"/>
      <c r="XK1" s="1026"/>
      <c r="XL1" s="270">
        <f>XC1+1</f>
        <v>65</v>
      </c>
      <c r="XN1" s="1026" t="str">
        <f>XE1</f>
        <v>ENTRADA DEL MES DE OCTUBRE 2022</v>
      </c>
      <c r="XO1" s="1026"/>
      <c r="XP1" s="1026"/>
      <c r="XQ1" s="1026"/>
      <c r="XR1" s="1026"/>
      <c r="XS1" s="1026"/>
      <c r="XT1" s="1026"/>
      <c r="XU1" s="270">
        <f>XL1+1</f>
        <v>66</v>
      </c>
      <c r="XW1" s="1026" t="str">
        <f>XN1</f>
        <v>ENTRADA DEL MES DE OCTUBRE 2022</v>
      </c>
      <c r="XX1" s="1026"/>
      <c r="XY1" s="1026"/>
      <c r="XZ1" s="1026"/>
      <c r="YA1" s="1026"/>
      <c r="YB1" s="1026"/>
      <c r="YC1" s="1026"/>
      <c r="YD1" s="270">
        <f>XU1+1</f>
        <v>67</v>
      </c>
      <c r="YF1" s="1026" t="str">
        <f>XW1</f>
        <v>ENTRADA DEL MES DE OCTUBRE 2022</v>
      </c>
      <c r="YG1" s="1026"/>
      <c r="YH1" s="1026"/>
      <c r="YI1" s="1026"/>
      <c r="YJ1" s="1026"/>
      <c r="YK1" s="1026"/>
      <c r="YL1" s="1026"/>
      <c r="YM1" s="270">
        <f>YD1+1</f>
        <v>68</v>
      </c>
      <c r="YO1" s="1026" t="str">
        <f>YF1</f>
        <v>ENTRADA DEL MES DE OCTUBRE 2022</v>
      </c>
      <c r="YP1" s="1026"/>
      <c r="YQ1" s="1026"/>
      <c r="YR1" s="1026"/>
      <c r="YS1" s="1026"/>
      <c r="YT1" s="1026"/>
      <c r="YU1" s="1026"/>
      <c r="YV1" s="270">
        <f>YM1+1</f>
        <v>69</v>
      </c>
      <c r="YX1" s="1026" t="str">
        <f>YO1</f>
        <v>ENTRADA DEL MES DE OCTUBRE 2022</v>
      </c>
      <c r="YY1" s="1026"/>
      <c r="YZ1" s="1026"/>
      <c r="ZA1" s="1026"/>
      <c r="ZB1" s="1026"/>
      <c r="ZC1" s="1026"/>
      <c r="ZD1" s="1026"/>
      <c r="ZE1" s="270">
        <f>YV1+1</f>
        <v>70</v>
      </c>
      <c r="ZG1" s="1026" t="str">
        <f>YX1</f>
        <v>ENTRADA DEL MES DE OCTUBRE 2022</v>
      </c>
      <c r="ZH1" s="1026"/>
      <c r="ZI1" s="1026"/>
      <c r="ZJ1" s="1026"/>
      <c r="ZK1" s="1026"/>
      <c r="ZL1" s="1026"/>
      <c r="ZM1" s="1026"/>
      <c r="ZN1" s="270">
        <f>ZE1+1</f>
        <v>71</v>
      </c>
      <c r="ZP1" s="1026" t="str">
        <f>ZG1</f>
        <v>ENTRADA DEL MES DE OCTUBRE 2022</v>
      </c>
      <c r="ZQ1" s="1026"/>
      <c r="ZR1" s="1026"/>
      <c r="ZS1" s="1026"/>
      <c r="ZT1" s="1026"/>
      <c r="ZU1" s="1026"/>
      <c r="ZV1" s="1026"/>
      <c r="ZW1" s="270">
        <f>ZN1+1</f>
        <v>72</v>
      </c>
      <c r="ZY1" s="1026" t="str">
        <f>ZP1</f>
        <v>ENTRADA DEL MES DE OCTUBRE 2022</v>
      </c>
      <c r="ZZ1" s="1026"/>
      <c r="AAA1" s="1026"/>
      <c r="AAB1" s="1026"/>
      <c r="AAC1" s="1026"/>
      <c r="AAD1" s="1026"/>
      <c r="AAE1" s="1026"/>
      <c r="AAF1" s="270">
        <f>ZW1+1</f>
        <v>73</v>
      </c>
      <c r="AAH1" s="1026" t="str">
        <f>ZY1</f>
        <v>ENTRADA DEL MES DE OCTUBRE 2022</v>
      </c>
      <c r="AAI1" s="1026"/>
      <c r="AAJ1" s="1026"/>
      <c r="AAK1" s="1026"/>
      <c r="AAL1" s="1026"/>
      <c r="AAM1" s="1026"/>
      <c r="AAN1" s="1026"/>
      <c r="AAO1" s="270">
        <f>AAF1+1</f>
        <v>74</v>
      </c>
      <c r="AAQ1" s="1026" t="str">
        <f>AAH1</f>
        <v>ENTRADA DEL MES DE OCTUBRE 2022</v>
      </c>
      <c r="AAR1" s="1026"/>
      <c r="AAS1" s="1026"/>
      <c r="AAT1" s="1026"/>
      <c r="AAU1" s="1026"/>
      <c r="AAV1" s="1026"/>
      <c r="AAW1" s="1026"/>
      <c r="AAX1" s="270">
        <f>AAO1+1</f>
        <v>75</v>
      </c>
      <c r="AAZ1" s="1026" t="str">
        <f>AAQ1</f>
        <v>ENTRADA DEL MES DE OCTUBRE 2022</v>
      </c>
      <c r="ABA1" s="1026"/>
      <c r="ABB1" s="1026"/>
      <c r="ABC1" s="1026"/>
      <c r="ABD1" s="1026"/>
      <c r="ABE1" s="1026"/>
      <c r="ABF1" s="1026"/>
      <c r="ABG1" s="270">
        <f>AAX1+1</f>
        <v>76</v>
      </c>
      <c r="ABI1" s="1026" t="str">
        <f>AAZ1</f>
        <v>ENTRADA DEL MES DE OCTUBRE 2022</v>
      </c>
      <c r="ABJ1" s="1026"/>
      <c r="ABK1" s="1026"/>
      <c r="ABL1" s="1026"/>
      <c r="ABM1" s="1026"/>
      <c r="ABN1" s="1026"/>
      <c r="ABO1" s="1026"/>
      <c r="ABP1" s="270">
        <f>ABG1+1</f>
        <v>77</v>
      </c>
      <c r="ABR1" s="1026" t="str">
        <f>ABI1</f>
        <v>ENTRADA DEL MES DE OCTUBRE 2022</v>
      </c>
      <c r="ABS1" s="1026"/>
      <c r="ABT1" s="1026"/>
      <c r="ABU1" s="1026"/>
      <c r="ABV1" s="1026"/>
      <c r="ABW1" s="1026"/>
      <c r="ABX1" s="1026"/>
      <c r="ABY1" s="270">
        <f>ABP1+1</f>
        <v>78</v>
      </c>
      <c r="ACA1" s="1026" t="str">
        <f>ABR1</f>
        <v>ENTRADA DEL MES DE OCTUBRE 2022</v>
      </c>
      <c r="ACB1" s="1026"/>
      <c r="ACC1" s="1026"/>
      <c r="ACD1" s="1026"/>
      <c r="ACE1" s="1026"/>
      <c r="ACF1" s="1026"/>
      <c r="ACG1" s="1026"/>
      <c r="ACH1" s="270">
        <f>ABY1+1</f>
        <v>79</v>
      </c>
      <c r="ACJ1" s="1026" t="str">
        <f>ACA1</f>
        <v>ENTRADA DEL MES DE OCTUBRE 2022</v>
      </c>
      <c r="ACK1" s="1026"/>
      <c r="ACL1" s="1026"/>
      <c r="ACM1" s="1026"/>
      <c r="ACN1" s="1026"/>
      <c r="ACO1" s="1026"/>
      <c r="ACP1" s="1026"/>
      <c r="ACQ1" s="270">
        <f>ACH1+1</f>
        <v>80</v>
      </c>
      <c r="ACS1" s="1026" t="str">
        <f>ACJ1</f>
        <v>ENTRADA DEL MES DE OCTUBRE 2022</v>
      </c>
      <c r="ACT1" s="1026"/>
      <c r="ACU1" s="1026"/>
      <c r="ACV1" s="1026"/>
      <c r="ACW1" s="1026"/>
      <c r="ACX1" s="1026"/>
      <c r="ACY1" s="1026"/>
      <c r="ACZ1" s="270">
        <f>ACQ1+1</f>
        <v>81</v>
      </c>
      <c r="ADB1" s="1026" t="str">
        <f>ACS1</f>
        <v>ENTRADA DEL MES DE OCTUBRE 2022</v>
      </c>
      <c r="ADC1" s="1026"/>
      <c r="ADD1" s="1026"/>
      <c r="ADE1" s="1026"/>
      <c r="ADF1" s="1026"/>
      <c r="ADG1" s="1026"/>
      <c r="ADH1" s="1026"/>
      <c r="ADI1" s="270">
        <f>ACZ1+1</f>
        <v>82</v>
      </c>
      <c r="ADK1" s="1026" t="str">
        <f>ADB1</f>
        <v>ENTRADA DEL MES DE OCTUBRE 2022</v>
      </c>
      <c r="ADL1" s="1026"/>
      <c r="ADM1" s="1026"/>
      <c r="ADN1" s="1026"/>
      <c r="ADO1" s="1026"/>
      <c r="ADP1" s="1026"/>
      <c r="ADQ1" s="1026"/>
      <c r="ADR1" s="270">
        <f>ADI1+1</f>
        <v>83</v>
      </c>
      <c r="ADT1" s="1026" t="str">
        <f>ADK1</f>
        <v>ENTRADA DEL MES DE OCTUBRE 2022</v>
      </c>
      <c r="ADU1" s="1026"/>
      <c r="ADV1" s="1026"/>
      <c r="ADW1" s="1026"/>
      <c r="ADX1" s="1026"/>
      <c r="ADY1" s="1026"/>
      <c r="ADZ1" s="1026"/>
      <c r="AEA1" s="270">
        <f>ADR1+1</f>
        <v>84</v>
      </c>
      <c r="AEC1" s="1026" t="str">
        <f>ADT1</f>
        <v>ENTRADA DEL MES DE OCTUBRE 2022</v>
      </c>
      <c r="AED1" s="1026"/>
      <c r="AEE1" s="1026"/>
      <c r="AEF1" s="1026"/>
      <c r="AEG1" s="1026"/>
      <c r="AEH1" s="1026"/>
      <c r="AEI1" s="1026"/>
      <c r="AEJ1" s="270">
        <f>AEA1+1</f>
        <v>85</v>
      </c>
      <c r="AEL1" s="1026" t="str">
        <f>AEC1</f>
        <v>ENTRADA DEL MES DE OCTUBRE 2022</v>
      </c>
      <c r="AEM1" s="1026"/>
      <c r="AEN1" s="1026"/>
      <c r="AEO1" s="1026"/>
      <c r="AEP1" s="1026"/>
      <c r="AEQ1" s="1026"/>
      <c r="AER1" s="1026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5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553">
        <v>18730.080000000002</v>
      </c>
      <c r="R5" s="138">
        <f>O5-Q5</f>
        <v>-33.600000000002183</v>
      </c>
      <c r="S5" s="405"/>
      <c r="U5" s="783" t="s">
        <v>280</v>
      </c>
      <c r="V5" s="896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553">
        <v>18882</v>
      </c>
      <c r="AB5" s="138">
        <f>Y5-AA5</f>
        <v>-53.479999999999563</v>
      </c>
      <c r="AC5" s="405"/>
      <c r="AE5" s="783" t="s">
        <v>280</v>
      </c>
      <c r="AF5" s="896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5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553">
        <v>18457.490000000002</v>
      </c>
      <c r="AV5" s="138">
        <f>AS5-AU5</f>
        <v>-71.25</v>
      </c>
      <c r="AW5" s="405"/>
      <c r="AY5" s="790" t="s">
        <v>280</v>
      </c>
      <c r="AZ5" s="896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553">
        <v>19065.3</v>
      </c>
      <c r="BF5" s="138">
        <f>BC5-BE5</f>
        <v>-74.680000000000291</v>
      </c>
      <c r="BG5" s="405"/>
      <c r="BI5" s="1027" t="s">
        <v>280</v>
      </c>
      <c r="BJ5" s="897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553">
        <v>18643.5</v>
      </c>
      <c r="BP5" s="138">
        <f>BM5-BO5</f>
        <v>-14.700000000000728</v>
      </c>
      <c r="BQ5" s="405"/>
      <c r="BS5" s="1030" t="s">
        <v>277</v>
      </c>
      <c r="BT5" s="928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553">
        <v>18514.62</v>
      </c>
      <c r="BZ5" s="138">
        <f>BW5-BY5</f>
        <v>-73.639999999999418</v>
      </c>
      <c r="CA5" s="245"/>
      <c r="CB5" s="245"/>
      <c r="CC5" s="783" t="s">
        <v>280</v>
      </c>
      <c r="CD5" s="927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553">
        <v>19233.900000000001</v>
      </c>
      <c r="CJ5" s="138">
        <f>CG5-CI5</f>
        <v>-133.36000000000058</v>
      </c>
      <c r="CK5" s="245"/>
      <c r="CL5" s="245"/>
      <c r="CM5" s="1027" t="s">
        <v>280</v>
      </c>
      <c r="CN5" s="929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553">
        <v>18738.099999999999</v>
      </c>
      <c r="CT5" s="138">
        <f>CQ5-CS5</f>
        <v>-70.669999999998254</v>
      </c>
      <c r="CU5" s="405"/>
      <c r="CW5" s="783" t="s">
        <v>280</v>
      </c>
      <c r="CX5" s="896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7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553">
        <v>19045.099999999999</v>
      </c>
      <c r="DN5" s="138">
        <f>DK5-DM5</f>
        <v>-76.039999999997235</v>
      </c>
      <c r="DO5" s="405"/>
      <c r="DQ5" s="1029" t="s">
        <v>280</v>
      </c>
      <c r="DR5" s="927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553">
        <v>19005.400000000001</v>
      </c>
      <c r="DX5" s="138">
        <f>DU5-DW5</f>
        <v>-56.220000000001164</v>
      </c>
      <c r="DY5" s="245"/>
      <c r="EA5" s="790" t="s">
        <v>327</v>
      </c>
      <c r="EB5" s="895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6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5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969">
        <v>18721.02</v>
      </c>
      <c r="FB5" s="138">
        <f>EY5-FA5</f>
        <v>-15.900000000001455</v>
      </c>
      <c r="FC5" s="405"/>
      <c r="FE5" s="790" t="s">
        <v>356</v>
      </c>
      <c r="FF5" s="895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6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553">
        <v>18971.8</v>
      </c>
      <c r="FV5" s="138">
        <f>FS5-FU5</f>
        <v>46.770000000000437</v>
      </c>
      <c r="FW5" s="405"/>
      <c r="FY5" s="783" t="s">
        <v>280</v>
      </c>
      <c r="FZ5" s="896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553">
        <v>18714.2</v>
      </c>
      <c r="GF5" s="138">
        <f>GC5-GE5</f>
        <v>12.569999999999709</v>
      </c>
      <c r="GG5" s="405"/>
      <c r="GI5" s="939" t="s">
        <v>280</v>
      </c>
      <c r="GJ5" s="896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27" t="s">
        <v>280</v>
      </c>
      <c r="GT5" s="896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30" t="s">
        <v>327</v>
      </c>
      <c r="HD5" s="895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6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27" t="s">
        <v>327</v>
      </c>
      <c r="HX5" s="895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27" t="s">
        <v>280</v>
      </c>
      <c r="IH5" s="896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27" t="s">
        <v>280</v>
      </c>
      <c r="IR5" s="949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6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29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35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27"/>
      <c r="BJ6" s="793"/>
      <c r="BK6" s="790"/>
      <c r="BL6" s="790"/>
      <c r="BM6" s="790"/>
      <c r="BN6" s="790"/>
      <c r="BO6" s="784"/>
      <c r="BQ6" s="245"/>
      <c r="BS6" s="1030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27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29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0"/>
      <c r="GJ6" s="941"/>
      <c r="GK6" s="790"/>
      <c r="GL6" s="790"/>
      <c r="GM6" s="790"/>
      <c r="GN6" s="790"/>
      <c r="GO6" s="784"/>
      <c r="GQ6" s="245"/>
      <c r="GS6" s="1027"/>
      <c r="GT6" s="800"/>
      <c r="GU6" s="790"/>
      <c r="GV6" s="790"/>
      <c r="GW6" s="790"/>
      <c r="GX6" s="790"/>
      <c r="GY6" s="784"/>
      <c r="HA6" s="245"/>
      <c r="HC6" s="1030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27"/>
      <c r="HX6" s="790"/>
      <c r="HY6" s="790"/>
      <c r="HZ6" s="790"/>
      <c r="IA6" s="790"/>
      <c r="IB6" s="790"/>
      <c r="IC6" s="784"/>
      <c r="IE6" s="245"/>
      <c r="IG6" s="1027"/>
      <c r="IH6" s="790"/>
      <c r="II6" s="790"/>
      <c r="IJ6" s="790"/>
      <c r="IK6" s="790"/>
      <c r="IL6" s="790"/>
      <c r="IM6" s="784"/>
      <c r="IO6" s="245"/>
      <c r="IQ6" s="1027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29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35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433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420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417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424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450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459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7" t="s">
        <v>469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476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492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489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8">
        <v>896.3</v>
      </c>
      <c r="DK8" s="796">
        <v>44849</v>
      </c>
      <c r="DL8" s="768">
        <v>896.3</v>
      </c>
      <c r="DM8" s="797" t="s">
        <v>502</v>
      </c>
      <c r="DN8" s="798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504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498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519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514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522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526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433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420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417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424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450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459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7" t="s">
        <v>469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476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492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489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8">
        <v>920.8</v>
      </c>
      <c r="DK9" s="796">
        <v>44849</v>
      </c>
      <c r="DL9" s="768">
        <v>920.8</v>
      </c>
      <c r="DM9" s="797" t="s">
        <v>502</v>
      </c>
      <c r="DN9" s="798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504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498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519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514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522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526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438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420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417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424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450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435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7" t="s">
        <v>469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476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492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489</v>
      </c>
      <c r="DD10" s="71">
        <v>58</v>
      </c>
      <c r="DE10" s="402">
        <f t="shared" si="15"/>
        <v>51933.2</v>
      </c>
      <c r="DH10" s="94"/>
      <c r="DI10" s="15">
        <v>3</v>
      </c>
      <c r="DJ10" s="768">
        <v>880.9</v>
      </c>
      <c r="DK10" s="796">
        <v>44849</v>
      </c>
      <c r="DL10" s="768">
        <v>880.9</v>
      </c>
      <c r="DM10" s="797" t="s">
        <v>502</v>
      </c>
      <c r="DN10" s="798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504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498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519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514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522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526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433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420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417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424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450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435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7" t="s">
        <v>469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476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492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489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8">
        <v>865.9</v>
      </c>
      <c r="DK11" s="796">
        <v>44849</v>
      </c>
      <c r="DL11" s="768">
        <v>865.9</v>
      </c>
      <c r="DM11" s="797" t="s">
        <v>504</v>
      </c>
      <c r="DN11" s="798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504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498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519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514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522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526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438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420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417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424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456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459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7" t="s">
        <v>469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476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479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489</v>
      </c>
      <c r="DD12" s="71">
        <v>58</v>
      </c>
      <c r="DE12" s="402">
        <f t="shared" si="15"/>
        <v>53012</v>
      </c>
      <c r="DH12" s="106"/>
      <c r="DI12" s="15">
        <v>5</v>
      </c>
      <c r="DJ12" s="768">
        <v>940.7</v>
      </c>
      <c r="DK12" s="796">
        <v>44849</v>
      </c>
      <c r="DL12" s="768">
        <v>940.7</v>
      </c>
      <c r="DM12" s="797" t="s">
        <v>502</v>
      </c>
      <c r="DN12" s="798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505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498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519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514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522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526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433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420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417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424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457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435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7" t="s">
        <v>469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476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492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489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8">
        <v>911.7</v>
      </c>
      <c r="DK13" s="796">
        <v>44848</v>
      </c>
      <c r="DL13" s="768">
        <v>911.7</v>
      </c>
      <c r="DM13" s="797" t="s">
        <v>498</v>
      </c>
      <c r="DN13" s="798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504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498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519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514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522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526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433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420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417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424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457</v>
      </c>
      <c r="BF14" s="71">
        <v>57</v>
      </c>
      <c r="BG14" s="402">
        <f t="shared" si="11"/>
        <v>52383</v>
      </c>
      <c r="BJ14" s="712"/>
      <c r="BK14" s="15">
        <v>7</v>
      </c>
      <c r="BL14" s="92">
        <v>879.1</v>
      </c>
      <c r="BM14" s="135">
        <v>44842</v>
      </c>
      <c r="BN14" s="92">
        <v>879.1</v>
      </c>
      <c r="BO14" s="95" t="s">
        <v>459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7" t="s">
        <v>469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476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492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489</v>
      </c>
      <c r="DD14" s="71">
        <v>58</v>
      </c>
      <c r="DE14" s="402">
        <f t="shared" si="15"/>
        <v>52350.8</v>
      </c>
      <c r="DH14" s="106"/>
      <c r="DI14" s="15">
        <v>7</v>
      </c>
      <c r="DJ14" s="768">
        <v>866.4</v>
      </c>
      <c r="DK14" s="796">
        <v>44848</v>
      </c>
      <c r="DL14" s="768">
        <v>866.4</v>
      </c>
      <c r="DM14" s="797" t="s">
        <v>498</v>
      </c>
      <c r="DN14" s="798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504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498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519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514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524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522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526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438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420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417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424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450</v>
      </c>
      <c r="BF15" s="71">
        <v>57</v>
      </c>
      <c r="BG15" s="402">
        <f t="shared" si="11"/>
        <v>51966.9</v>
      </c>
      <c r="BJ15" s="712"/>
      <c r="BK15" s="15">
        <v>8</v>
      </c>
      <c r="BL15" s="92">
        <v>881.8</v>
      </c>
      <c r="BM15" s="135">
        <v>44842</v>
      </c>
      <c r="BN15" s="92">
        <v>881.8</v>
      </c>
      <c r="BO15" s="95" t="s">
        <v>459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7" t="s">
        <v>469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476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492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489</v>
      </c>
      <c r="DD15" s="71">
        <v>58</v>
      </c>
      <c r="DE15" s="402">
        <f t="shared" si="15"/>
        <v>50721</v>
      </c>
      <c r="DH15" s="106"/>
      <c r="DI15" s="15">
        <v>8</v>
      </c>
      <c r="DJ15" s="768">
        <v>908.1</v>
      </c>
      <c r="DK15" s="796">
        <v>44849</v>
      </c>
      <c r="DL15" s="768">
        <v>908.1</v>
      </c>
      <c r="DM15" s="797" t="s">
        <v>502</v>
      </c>
      <c r="DN15" s="798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505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437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519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514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522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526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438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420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417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424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450</v>
      </c>
      <c r="BF16" s="71">
        <v>57</v>
      </c>
      <c r="BG16" s="402">
        <f t="shared" si="11"/>
        <v>52229.1</v>
      </c>
      <c r="BJ16" s="712"/>
      <c r="BK16" s="15">
        <v>9</v>
      </c>
      <c r="BL16" s="92">
        <v>884.5</v>
      </c>
      <c r="BM16" s="135">
        <v>44842</v>
      </c>
      <c r="BN16" s="92">
        <v>884.5</v>
      </c>
      <c r="BO16" s="95" t="s">
        <v>459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7" t="s">
        <v>469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476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492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489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8">
        <v>932.6</v>
      </c>
      <c r="DK16" s="796">
        <v>44849</v>
      </c>
      <c r="DL16" s="768">
        <v>932.6</v>
      </c>
      <c r="DM16" s="797" t="s">
        <v>502</v>
      </c>
      <c r="DN16" s="798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504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437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519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514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522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526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433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420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417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424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450</v>
      </c>
      <c r="BF17" s="71">
        <v>57</v>
      </c>
      <c r="BG17" s="402">
        <f t="shared" si="11"/>
        <v>52229.1</v>
      </c>
      <c r="BJ17" s="712"/>
      <c r="BK17" s="15">
        <v>10</v>
      </c>
      <c r="BL17" s="92">
        <v>902.6</v>
      </c>
      <c r="BM17" s="135">
        <v>44842</v>
      </c>
      <c r="BN17" s="92">
        <v>902.6</v>
      </c>
      <c r="BO17" s="95" t="s">
        <v>459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7" t="s">
        <v>469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476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492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489</v>
      </c>
      <c r="DD17" s="71">
        <v>58</v>
      </c>
      <c r="DE17" s="402">
        <f t="shared" si="15"/>
        <v>50773.2</v>
      </c>
      <c r="DH17" s="106"/>
      <c r="DI17" s="15">
        <v>10</v>
      </c>
      <c r="DJ17" s="771">
        <v>939.8</v>
      </c>
      <c r="DK17" s="796">
        <v>44849</v>
      </c>
      <c r="DL17" s="771">
        <v>939.8</v>
      </c>
      <c r="DM17" s="797" t="s">
        <v>502</v>
      </c>
      <c r="DN17" s="798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505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437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519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514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522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526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433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421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417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427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446</v>
      </c>
      <c r="BF18" s="71">
        <v>57</v>
      </c>
      <c r="BG18" s="402">
        <f t="shared" si="11"/>
        <v>50416.5</v>
      </c>
      <c r="BJ18" s="712"/>
      <c r="BK18" s="15">
        <v>11</v>
      </c>
      <c r="BL18" s="92">
        <v>870.9</v>
      </c>
      <c r="BM18" s="135">
        <v>44842</v>
      </c>
      <c r="BN18" s="92">
        <v>870.9</v>
      </c>
      <c r="BO18" s="95" t="s">
        <v>459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7" t="s">
        <v>470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448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492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488</v>
      </c>
      <c r="DD18" s="71">
        <v>58</v>
      </c>
      <c r="DE18" s="402">
        <f t="shared" si="15"/>
        <v>53853</v>
      </c>
      <c r="DH18" s="106"/>
      <c r="DI18" s="15">
        <v>11</v>
      </c>
      <c r="DJ18" s="768">
        <v>916.3</v>
      </c>
      <c r="DK18" s="796">
        <v>44849</v>
      </c>
      <c r="DL18" s="768">
        <v>916.3</v>
      </c>
      <c r="DM18" s="797" t="s">
        <v>502</v>
      </c>
      <c r="DN18" s="798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504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449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520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515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524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523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527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433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421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419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427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453</v>
      </c>
      <c r="BF19" s="71">
        <v>57</v>
      </c>
      <c r="BG19" s="402">
        <f t="shared" si="11"/>
        <v>52536.9</v>
      </c>
      <c r="BJ19" s="712"/>
      <c r="BK19" s="15">
        <v>12</v>
      </c>
      <c r="BL19" s="92">
        <v>890.9</v>
      </c>
      <c r="BM19" s="135">
        <v>44844</v>
      </c>
      <c r="BN19" s="92">
        <v>890.9</v>
      </c>
      <c r="BO19" s="95" t="s">
        <v>435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7" t="s">
        <v>470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448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492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488</v>
      </c>
      <c r="DD19" s="71">
        <v>58</v>
      </c>
      <c r="DE19" s="402">
        <f t="shared" si="15"/>
        <v>52432</v>
      </c>
      <c r="DH19" s="106"/>
      <c r="DI19" s="15">
        <v>12</v>
      </c>
      <c r="DJ19" s="768">
        <v>891.8</v>
      </c>
      <c r="DK19" s="796">
        <v>44849</v>
      </c>
      <c r="DL19" s="768">
        <v>891.8</v>
      </c>
      <c r="DM19" s="797" t="s">
        <v>502</v>
      </c>
      <c r="DN19" s="798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505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449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520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515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523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527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438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421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419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427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446</v>
      </c>
      <c r="BF20" s="71">
        <v>57</v>
      </c>
      <c r="BG20" s="402">
        <f t="shared" si="11"/>
        <v>53209.5</v>
      </c>
      <c r="BJ20" s="712"/>
      <c r="BK20" s="15">
        <v>13</v>
      </c>
      <c r="BL20" s="69">
        <v>881.8</v>
      </c>
      <c r="BM20" s="135">
        <v>44842</v>
      </c>
      <c r="BN20" s="69">
        <v>881.8</v>
      </c>
      <c r="BO20" s="95" t="s">
        <v>459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7" t="s">
        <v>470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448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492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488</v>
      </c>
      <c r="DD20" s="71">
        <v>58</v>
      </c>
      <c r="DE20" s="402">
        <f t="shared" si="15"/>
        <v>51382.2</v>
      </c>
      <c r="DH20" s="106"/>
      <c r="DI20" s="15">
        <v>13</v>
      </c>
      <c r="DJ20" s="768">
        <v>940.7</v>
      </c>
      <c r="DK20" s="796">
        <v>44849</v>
      </c>
      <c r="DL20" s="768">
        <v>940.7</v>
      </c>
      <c r="DM20" s="797" t="s">
        <v>502</v>
      </c>
      <c r="DN20" s="798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505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449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520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515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524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523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527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433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421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419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427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455</v>
      </c>
      <c r="BF21" s="71">
        <v>57</v>
      </c>
      <c r="BG21" s="402">
        <f t="shared" si="11"/>
        <v>51191.700000000004</v>
      </c>
      <c r="BJ21" s="712"/>
      <c r="BK21" s="15">
        <v>14</v>
      </c>
      <c r="BL21" s="92">
        <v>912.6</v>
      </c>
      <c r="BM21" s="135">
        <v>44844</v>
      </c>
      <c r="BN21" s="92">
        <v>912.6</v>
      </c>
      <c r="BO21" s="95" t="s">
        <v>435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7" t="s">
        <v>470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448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492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488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8">
        <v>904.5</v>
      </c>
      <c r="DK21" s="796">
        <v>44848</v>
      </c>
      <c r="DL21" s="768">
        <v>904.5</v>
      </c>
      <c r="DM21" s="797" t="s">
        <v>498</v>
      </c>
      <c r="DN21" s="798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505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449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520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515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524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523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527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433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421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419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427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445</v>
      </c>
      <c r="BF22" s="71">
        <v>57</v>
      </c>
      <c r="BG22" s="402">
        <f t="shared" si="11"/>
        <v>51396.9</v>
      </c>
      <c r="BJ22" s="712"/>
      <c r="BK22" s="15">
        <v>15</v>
      </c>
      <c r="BL22" s="92">
        <v>876.3</v>
      </c>
      <c r="BM22" s="135">
        <v>44844</v>
      </c>
      <c r="BN22" s="92">
        <v>876.3</v>
      </c>
      <c r="BO22" s="95" t="s">
        <v>435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7" t="s">
        <v>470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448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492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488</v>
      </c>
      <c r="DD22" s="71">
        <v>58</v>
      </c>
      <c r="DE22" s="402">
        <f t="shared" si="15"/>
        <v>52513.2</v>
      </c>
      <c r="DH22" s="106"/>
      <c r="DI22" s="15">
        <v>15</v>
      </c>
      <c r="DJ22" s="768">
        <v>921.7</v>
      </c>
      <c r="DK22" s="796">
        <v>44849</v>
      </c>
      <c r="DL22" s="768">
        <v>921.7</v>
      </c>
      <c r="DM22" s="797" t="s">
        <v>504</v>
      </c>
      <c r="DN22" s="798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505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449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520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515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524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523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527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438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421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419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427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451</v>
      </c>
      <c r="BF23" s="71">
        <v>57</v>
      </c>
      <c r="BG23" s="402">
        <f t="shared" si="11"/>
        <v>50935.200000000004</v>
      </c>
      <c r="BJ23" s="712"/>
      <c r="BK23" s="15">
        <v>16</v>
      </c>
      <c r="BL23" s="92">
        <v>929.9</v>
      </c>
      <c r="BM23" s="135">
        <v>44844</v>
      </c>
      <c r="BN23" s="92">
        <v>929.9</v>
      </c>
      <c r="BO23" s="95" t="s">
        <v>435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7" t="s">
        <v>470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448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491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488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8">
        <v>893.6</v>
      </c>
      <c r="DK23" s="796">
        <v>44849</v>
      </c>
      <c r="DL23" s="768">
        <v>893.6</v>
      </c>
      <c r="DM23" s="797" t="s">
        <v>502</v>
      </c>
      <c r="DN23" s="798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503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449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520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515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524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523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527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438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421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419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427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450</v>
      </c>
      <c r="BF24" s="71">
        <v>57</v>
      </c>
      <c r="BG24" s="402">
        <f t="shared" si="11"/>
        <v>52485.599999999999</v>
      </c>
      <c r="BJ24" s="713"/>
      <c r="BK24" s="15">
        <v>17</v>
      </c>
      <c r="BL24" s="92">
        <v>892.7</v>
      </c>
      <c r="BM24" s="135">
        <v>44844</v>
      </c>
      <c r="BN24" s="92">
        <v>892.7</v>
      </c>
      <c r="BO24" s="95" t="s">
        <v>435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7" t="s">
        <v>470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448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479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488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8">
        <v>893.6</v>
      </c>
      <c r="DK24" s="796">
        <v>44849</v>
      </c>
      <c r="DL24" s="768">
        <v>893.6</v>
      </c>
      <c r="DM24" s="797" t="s">
        <v>502</v>
      </c>
      <c r="DN24" s="798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505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449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520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515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524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523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527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433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421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419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427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450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435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7" t="s">
        <v>470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448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481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488</v>
      </c>
      <c r="DD25" s="71">
        <v>58</v>
      </c>
      <c r="DE25" s="402">
        <f t="shared" si="15"/>
        <v>53510.8</v>
      </c>
      <c r="DH25" s="94"/>
      <c r="DI25" s="15">
        <v>18</v>
      </c>
      <c r="DJ25" s="768">
        <v>922.6</v>
      </c>
      <c r="DK25" s="796">
        <v>44848</v>
      </c>
      <c r="DL25" s="768">
        <v>922.6</v>
      </c>
      <c r="DM25" s="797" t="s">
        <v>494</v>
      </c>
      <c r="DN25" s="798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505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449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520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515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524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523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527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433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421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419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427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453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459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7" t="s">
        <v>470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448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481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488</v>
      </c>
      <c r="DD26" s="71">
        <v>58</v>
      </c>
      <c r="DE26" s="402">
        <f t="shared" si="15"/>
        <v>50117.8</v>
      </c>
      <c r="DH26" s="106"/>
      <c r="DI26" s="15">
        <v>19</v>
      </c>
      <c r="DJ26" s="768">
        <v>929</v>
      </c>
      <c r="DK26" s="796">
        <v>44849</v>
      </c>
      <c r="DL26" s="768">
        <v>929</v>
      </c>
      <c r="DM26" s="797" t="s">
        <v>502</v>
      </c>
      <c r="DN26" s="798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503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449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520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515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524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523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527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442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421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419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427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457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435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7" t="s">
        <v>470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448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490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488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8">
        <v>870</v>
      </c>
      <c r="DK27" s="796">
        <v>44848</v>
      </c>
      <c r="DL27" s="768">
        <v>870</v>
      </c>
      <c r="DM27" s="797" t="s">
        <v>493</v>
      </c>
      <c r="DN27" s="798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505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449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520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515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524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523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527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420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419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455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435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448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492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488</v>
      </c>
      <c r="DD28" s="71">
        <v>58</v>
      </c>
      <c r="DE28" s="402">
        <f t="shared" si="15"/>
        <v>52930.8</v>
      </c>
      <c r="DH28" s="106"/>
      <c r="DI28" s="15">
        <v>21</v>
      </c>
      <c r="DJ28" s="768">
        <v>898.1</v>
      </c>
      <c r="DK28" s="796">
        <v>44848</v>
      </c>
      <c r="DL28" s="768">
        <v>898.1</v>
      </c>
      <c r="DM28" s="797" t="s">
        <v>493</v>
      </c>
      <c r="DN28" s="798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503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520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523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527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503892.6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9284.5199999999986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9183.840000000002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31" t="s">
        <v>21</v>
      </c>
      <c r="RU33" s="1032"/>
      <c r="RV33" s="141">
        <f>SUM(RW5-RV32)</f>
        <v>0</v>
      </c>
      <c r="SC33" s="1031" t="s">
        <v>21</v>
      </c>
      <c r="SD33" s="1032"/>
      <c r="SE33" s="141">
        <f>SUM(SF5-SE32)</f>
        <v>0</v>
      </c>
      <c r="SL33" s="1031" t="s">
        <v>21</v>
      </c>
      <c r="SM33" s="1032"/>
      <c r="SN33" s="218">
        <f>SUM(SO5-SN32)</f>
        <v>0</v>
      </c>
      <c r="SU33" s="1031" t="s">
        <v>21</v>
      </c>
      <c r="SV33" s="1032"/>
      <c r="SW33" s="141">
        <f>SUM(SX5-SW32)</f>
        <v>0</v>
      </c>
      <c r="TD33" s="1031" t="s">
        <v>21</v>
      </c>
      <c r="TE33" s="1032"/>
      <c r="TF33" s="141">
        <f>SUM(TG5-TF32)</f>
        <v>0</v>
      </c>
      <c r="TM33" s="1031" t="s">
        <v>21</v>
      </c>
      <c r="TN33" s="1032"/>
      <c r="TO33" s="141">
        <f>SUM(TP5-TO32)</f>
        <v>0</v>
      </c>
      <c r="TV33" s="1031" t="s">
        <v>21</v>
      </c>
      <c r="TW33" s="1032"/>
      <c r="TX33" s="141">
        <f>SUM(TY5-TX32)</f>
        <v>0</v>
      </c>
      <c r="UE33" s="1031" t="s">
        <v>21</v>
      </c>
      <c r="UF33" s="1032"/>
      <c r="UG33" s="141">
        <f>SUM(UH5-UG32)</f>
        <v>0</v>
      </c>
      <c r="UN33" s="1031" t="s">
        <v>21</v>
      </c>
      <c r="UO33" s="103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31" t="s">
        <v>21</v>
      </c>
      <c r="VP33" s="1032"/>
      <c r="VQ33" s="141">
        <f>VR5-VQ32</f>
        <v>-22</v>
      </c>
      <c r="VX33" s="1031" t="s">
        <v>21</v>
      </c>
      <c r="VY33" s="1032"/>
      <c r="VZ33" s="141">
        <f>WA5-VZ32</f>
        <v>-22</v>
      </c>
      <c r="WG33" s="1031" t="s">
        <v>21</v>
      </c>
      <c r="WH33" s="1032"/>
      <c r="WI33" s="141">
        <f>WJ5-WI32</f>
        <v>-22</v>
      </c>
      <c r="WP33" s="1031" t="s">
        <v>21</v>
      </c>
      <c r="WQ33" s="1032"/>
      <c r="WR33" s="141">
        <f>WS5-WR32</f>
        <v>-22</v>
      </c>
      <c r="WY33" s="1031" t="s">
        <v>21</v>
      </c>
      <c r="WZ33" s="1032"/>
      <c r="XA33" s="141">
        <f>XB5-XA32</f>
        <v>-22</v>
      </c>
      <c r="XH33" s="1031" t="s">
        <v>21</v>
      </c>
      <c r="XI33" s="1032"/>
      <c r="XJ33" s="141">
        <f>XK5-XJ32</f>
        <v>-22</v>
      </c>
      <c r="XQ33" s="1031" t="s">
        <v>21</v>
      </c>
      <c r="XR33" s="1032"/>
      <c r="XS33" s="141">
        <f>XT5-XS32</f>
        <v>-22</v>
      </c>
      <c r="XZ33" s="1031" t="s">
        <v>21</v>
      </c>
      <c r="YA33" s="1032"/>
      <c r="YB33" s="141">
        <f>YC5-YB32</f>
        <v>-22</v>
      </c>
      <c r="YI33" s="1031" t="s">
        <v>21</v>
      </c>
      <c r="YJ33" s="1032"/>
      <c r="YK33" s="141">
        <f>YL5-YK32</f>
        <v>-22</v>
      </c>
      <c r="YR33" s="1031" t="s">
        <v>21</v>
      </c>
      <c r="YS33" s="1032"/>
      <c r="YT33" s="141">
        <f>YU5-YT32</f>
        <v>-22</v>
      </c>
      <c r="ZA33" s="1031" t="s">
        <v>21</v>
      </c>
      <c r="ZB33" s="1032"/>
      <c r="ZC33" s="141">
        <f>ZD5-ZC32</f>
        <v>-22</v>
      </c>
      <c r="ZJ33" s="1031" t="s">
        <v>21</v>
      </c>
      <c r="ZK33" s="1032"/>
      <c r="ZL33" s="141">
        <f>ZM5-ZL32</f>
        <v>-22</v>
      </c>
      <c r="ZS33" s="1031" t="s">
        <v>21</v>
      </c>
      <c r="ZT33" s="1032"/>
      <c r="ZU33" s="141">
        <f>ZV5-ZU32</f>
        <v>-22</v>
      </c>
      <c r="AAB33" s="1031" t="s">
        <v>21</v>
      </c>
      <c r="AAC33" s="1032"/>
      <c r="AAD33" s="141">
        <f>AAE5-AAD32</f>
        <v>-22</v>
      </c>
      <c r="AAK33" s="1031" t="s">
        <v>21</v>
      </c>
      <c r="AAL33" s="1032"/>
      <c r="AAM33" s="141">
        <f>AAN5-AAM32</f>
        <v>-22</v>
      </c>
      <c r="AAT33" s="1031" t="s">
        <v>21</v>
      </c>
      <c r="AAU33" s="1032"/>
      <c r="AAV33" s="141">
        <f>AAV32-AAT32</f>
        <v>22</v>
      </c>
      <c r="ABC33" s="1031" t="s">
        <v>21</v>
      </c>
      <c r="ABD33" s="1032"/>
      <c r="ABE33" s="141">
        <f>ABF5-ABE32</f>
        <v>-22</v>
      </c>
      <c r="ABL33" s="1031" t="s">
        <v>21</v>
      </c>
      <c r="ABM33" s="1032"/>
      <c r="ABN33" s="141">
        <f>ABO5-ABN32</f>
        <v>-22</v>
      </c>
      <c r="ABU33" s="1031" t="s">
        <v>21</v>
      </c>
      <c r="ABV33" s="1032"/>
      <c r="ABW33" s="141">
        <f>ABX5-ABW32</f>
        <v>-22</v>
      </c>
      <c r="ACD33" s="1031" t="s">
        <v>21</v>
      </c>
      <c r="ACE33" s="1032"/>
      <c r="ACF33" s="141">
        <f>ACG5-ACF32</f>
        <v>-22</v>
      </c>
      <c r="ACM33" s="1031" t="s">
        <v>21</v>
      </c>
      <c r="ACN33" s="1032"/>
      <c r="ACO33" s="141">
        <f>ACP5-ACO32</f>
        <v>-22</v>
      </c>
      <c r="ACV33" s="1031" t="s">
        <v>21</v>
      </c>
      <c r="ACW33" s="1032"/>
      <c r="ACX33" s="141">
        <f>ACY5-ACX32</f>
        <v>-22</v>
      </c>
      <c r="ADE33" s="1031" t="s">
        <v>21</v>
      </c>
      <c r="ADF33" s="1032"/>
      <c r="ADG33" s="141">
        <f>ADH5-ADG32</f>
        <v>-22</v>
      </c>
      <c r="ADN33" s="1031" t="s">
        <v>21</v>
      </c>
      <c r="ADO33" s="1032"/>
      <c r="ADP33" s="141">
        <f>ADQ5-ADP32</f>
        <v>-22</v>
      </c>
      <c r="ADW33" s="1031" t="s">
        <v>21</v>
      </c>
      <c r="ADX33" s="1032"/>
      <c r="ADY33" s="141">
        <f>ADZ5-ADY32</f>
        <v>-22</v>
      </c>
      <c r="AEF33" s="1031" t="s">
        <v>21</v>
      </c>
      <c r="AEG33" s="1032"/>
      <c r="AEH33" s="141">
        <f>AEI5-AEH32</f>
        <v>-22</v>
      </c>
      <c r="AEO33" s="1031" t="s">
        <v>21</v>
      </c>
      <c r="AEP33" s="103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33" t="s">
        <v>4</v>
      </c>
      <c r="RU34" s="1034"/>
      <c r="RV34" s="49"/>
      <c r="SC34" s="1033" t="s">
        <v>4</v>
      </c>
      <c r="SD34" s="1034"/>
      <c r="SE34" s="49"/>
      <c r="SL34" s="1033" t="s">
        <v>4</v>
      </c>
      <c r="SM34" s="1034"/>
      <c r="SN34" s="49"/>
      <c r="SU34" s="1033" t="s">
        <v>4</v>
      </c>
      <c r="SV34" s="1034"/>
      <c r="SW34" s="49"/>
      <c r="TD34" s="1033" t="s">
        <v>4</v>
      </c>
      <c r="TE34" s="1034"/>
      <c r="TF34" s="49"/>
      <c r="TM34" s="1033" t="s">
        <v>4</v>
      </c>
      <c r="TN34" s="1034"/>
      <c r="TO34" s="49"/>
      <c r="TV34" s="1033" t="s">
        <v>4</v>
      </c>
      <c r="TW34" s="1034"/>
      <c r="TX34" s="49"/>
      <c r="UE34" s="1033" t="s">
        <v>4</v>
      </c>
      <c r="UF34" s="1034"/>
      <c r="UG34" s="49"/>
      <c r="UN34" s="1033" t="s">
        <v>4</v>
      </c>
      <c r="UO34" s="103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33" t="s">
        <v>4</v>
      </c>
      <c r="VP34" s="1034"/>
      <c r="VQ34" s="49"/>
      <c r="VX34" s="1033" t="s">
        <v>4</v>
      </c>
      <c r="VY34" s="1034"/>
      <c r="VZ34" s="49"/>
      <c r="WG34" s="1033" t="s">
        <v>4</v>
      </c>
      <c r="WH34" s="1034"/>
      <c r="WI34" s="49"/>
      <c r="WP34" s="1033" t="s">
        <v>4</v>
      </c>
      <c r="WQ34" s="1034"/>
      <c r="WR34" s="49"/>
      <c r="WY34" s="1033" t="s">
        <v>4</v>
      </c>
      <c r="WZ34" s="1034"/>
      <c r="XA34" s="49"/>
      <c r="XH34" s="1033" t="s">
        <v>4</v>
      </c>
      <c r="XI34" s="1034"/>
      <c r="XJ34" s="49"/>
      <c r="XQ34" s="1033" t="s">
        <v>4</v>
      </c>
      <c r="XR34" s="1034"/>
      <c r="XS34" s="49"/>
      <c r="XZ34" s="1033" t="s">
        <v>4</v>
      </c>
      <c r="YA34" s="1034"/>
      <c r="YB34" s="49"/>
      <c r="YI34" s="1033" t="s">
        <v>4</v>
      </c>
      <c r="YJ34" s="1034"/>
      <c r="YK34" s="49"/>
      <c r="YR34" s="1033" t="s">
        <v>4</v>
      </c>
      <c r="YS34" s="1034"/>
      <c r="YT34" s="49"/>
      <c r="ZA34" s="1033" t="s">
        <v>4</v>
      </c>
      <c r="ZB34" s="1034"/>
      <c r="ZC34" s="49"/>
      <c r="ZJ34" s="1033" t="s">
        <v>4</v>
      </c>
      <c r="ZK34" s="1034"/>
      <c r="ZL34" s="49"/>
      <c r="ZS34" s="1033" t="s">
        <v>4</v>
      </c>
      <c r="ZT34" s="1034"/>
      <c r="ZU34" s="49"/>
      <c r="AAB34" s="1033" t="s">
        <v>4</v>
      </c>
      <c r="AAC34" s="1034"/>
      <c r="AAD34" s="49"/>
      <c r="AAK34" s="1033" t="s">
        <v>4</v>
      </c>
      <c r="AAL34" s="1034"/>
      <c r="AAM34" s="49"/>
      <c r="AAT34" s="1033" t="s">
        <v>4</v>
      </c>
      <c r="AAU34" s="1034"/>
      <c r="AAV34" s="49"/>
      <c r="ABC34" s="1033" t="s">
        <v>4</v>
      </c>
      <c r="ABD34" s="1034"/>
      <c r="ABE34" s="49"/>
      <c r="ABL34" s="1033" t="s">
        <v>4</v>
      </c>
      <c r="ABM34" s="1034"/>
      <c r="ABN34" s="49"/>
      <c r="ABU34" s="1033" t="s">
        <v>4</v>
      </c>
      <c r="ABV34" s="1034"/>
      <c r="ABW34" s="49"/>
      <c r="ACD34" s="1033" t="s">
        <v>4</v>
      </c>
      <c r="ACE34" s="1034"/>
      <c r="ACF34" s="49"/>
      <c r="ACM34" s="1033" t="s">
        <v>4</v>
      </c>
      <c r="ACN34" s="1034"/>
      <c r="ACO34" s="49"/>
      <c r="ACV34" s="1033" t="s">
        <v>4</v>
      </c>
      <c r="ACW34" s="1034"/>
      <c r="ACX34" s="49"/>
      <c r="ADE34" s="1033" t="s">
        <v>4</v>
      </c>
      <c r="ADF34" s="1034"/>
      <c r="ADG34" s="49"/>
      <c r="ADN34" s="1033" t="s">
        <v>4</v>
      </c>
      <c r="ADO34" s="1034"/>
      <c r="ADP34" s="49"/>
      <c r="ADW34" s="1033" t="s">
        <v>4</v>
      </c>
      <c r="ADX34" s="1034"/>
      <c r="ADY34" s="49"/>
      <c r="AEF34" s="1033" t="s">
        <v>4</v>
      </c>
      <c r="AEG34" s="1034"/>
      <c r="AEH34" s="49"/>
      <c r="AEO34" s="1033" t="s">
        <v>4</v>
      </c>
      <c r="AEP34" s="103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6"/>
      <c r="B1" s="1026"/>
      <c r="C1" s="1026"/>
      <c r="D1" s="1026"/>
      <c r="E1" s="1026"/>
      <c r="F1" s="1026"/>
      <c r="G1" s="102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49"/>
      <c r="B5" s="106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49"/>
      <c r="B6" s="106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1" t="s">
        <v>21</v>
      </c>
      <c r="E32" s="103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1" t="s">
        <v>21</v>
      </c>
      <c r="E29" s="103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31" t="s">
        <v>21</v>
      </c>
      <c r="E32" s="103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37" t="s">
        <v>266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49" t="s">
        <v>99</v>
      </c>
      <c r="B5" s="105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49"/>
      <c r="B6" s="1051"/>
      <c r="C6" s="66"/>
      <c r="D6" s="134"/>
      <c r="E6" s="105"/>
      <c r="F6" s="73"/>
      <c r="G6" s="88">
        <f>F27</f>
        <v>515.54999999999995</v>
      </c>
      <c r="H6" s="7">
        <f>E6-G6+E5+E7+E4</f>
        <v>503.88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11">
        <v>44837</v>
      </c>
      <c r="F16" s="812">
        <f t="shared" si="0"/>
        <v>88.2</v>
      </c>
      <c r="G16" s="331" t="s">
        <v>413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11">
        <v>44844</v>
      </c>
      <c r="F17" s="812">
        <f t="shared" si="0"/>
        <v>32.49</v>
      </c>
      <c r="G17" s="331" t="s">
        <v>460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16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503.87999999999977</v>
      </c>
    </row>
    <row r="19" spans="1:9" x14ac:dyDescent="0.25">
      <c r="B19" s="425">
        <f t="shared" si="3"/>
        <v>16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503.87999999999977</v>
      </c>
    </row>
    <row r="20" spans="1:9" x14ac:dyDescent="0.25">
      <c r="B20" s="425">
        <f t="shared" si="3"/>
        <v>16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503.87999999999977</v>
      </c>
    </row>
    <row r="21" spans="1:9" x14ac:dyDescent="0.25">
      <c r="B21" s="425">
        <f t="shared" si="3"/>
        <v>16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503.87999999999977</v>
      </c>
    </row>
    <row r="22" spans="1:9" x14ac:dyDescent="0.25">
      <c r="B22" s="425">
        <f t="shared" si="3"/>
        <v>16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503.87999999999977</v>
      </c>
    </row>
    <row r="23" spans="1:9" x14ac:dyDescent="0.25">
      <c r="B23" s="425">
        <f t="shared" si="3"/>
        <v>16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503.87999999999977</v>
      </c>
    </row>
    <row r="24" spans="1:9" x14ac:dyDescent="0.25">
      <c r="B24" s="425">
        <f t="shared" si="3"/>
        <v>16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503.87999999999977</v>
      </c>
    </row>
    <row r="25" spans="1:9" x14ac:dyDescent="0.25">
      <c r="B25" s="425">
        <f t="shared" si="3"/>
        <v>16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503.87999999999977</v>
      </c>
    </row>
    <row r="26" spans="1:9" ht="15.75" thickBot="1" x14ac:dyDescent="0.3">
      <c r="A26" s="121"/>
      <c r="B26" s="425">
        <f t="shared" si="3"/>
        <v>16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503.87999999999977</v>
      </c>
    </row>
    <row r="27" spans="1:9" ht="15.75" thickTop="1" x14ac:dyDescent="0.25">
      <c r="A27" s="47">
        <f>SUM(A26:A26)</f>
        <v>0</v>
      </c>
      <c r="C27" s="73">
        <f>SUM(C9:C26)</f>
        <v>17</v>
      </c>
      <c r="D27" s="105">
        <f>SUM(D9:D26)</f>
        <v>515.54999999999995</v>
      </c>
      <c r="E27" s="75"/>
      <c r="F27" s="105">
        <f>SUM(F9:F26)</f>
        <v>515.54999999999995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1" t="s">
        <v>21</v>
      </c>
      <c r="E29" s="1032"/>
      <c r="F29" s="141">
        <f>E5+E6-F27+E7+E4</f>
        <v>503.88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45"/>
      <c r="B6" s="106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45"/>
      <c r="B7" s="1062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31" t="s">
        <v>21</v>
      </c>
      <c r="E30" s="103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24" activePane="bottomLeft" state="frozen"/>
      <selection pane="bottomLeft" activeCell="C36" sqref="C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63" t="s">
        <v>267</v>
      </c>
      <c r="B1" s="1063"/>
      <c r="C1" s="1063"/>
      <c r="D1" s="1063"/>
      <c r="E1" s="1063"/>
      <c r="F1" s="1063"/>
      <c r="G1" s="1063"/>
      <c r="H1" s="1063"/>
      <c r="I1" s="1063"/>
      <c r="J1" s="1063"/>
      <c r="K1" s="489">
        <v>1</v>
      </c>
      <c r="M1" s="1066" t="s">
        <v>261</v>
      </c>
      <c r="N1" s="1066"/>
      <c r="O1" s="1066"/>
      <c r="P1" s="1066"/>
      <c r="Q1" s="1066"/>
      <c r="R1" s="1066"/>
      <c r="S1" s="1066"/>
      <c r="T1" s="1066"/>
      <c r="U1" s="1066"/>
      <c r="V1" s="1066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64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10588.580000000002</v>
      </c>
      <c r="H5" s="154">
        <f>E5+E6-G5+E4</f>
        <v>8002.6799999999967</v>
      </c>
      <c r="M5" s="1064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65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65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3" t="s">
        <v>60</v>
      </c>
      <c r="V8" s="913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13">
        <f t="shared" ref="D11:D72" si="2">C11*B11</f>
        <v>27.22</v>
      </c>
      <c r="E11" s="811">
        <v>44837</v>
      </c>
      <c r="F11" s="549">
        <f t="shared" ref="F11:F72" si="3">D11</f>
        <v>27.22</v>
      </c>
      <c r="G11" s="331" t="s">
        <v>412</v>
      </c>
      <c r="H11" s="332">
        <v>79</v>
      </c>
      <c r="I11" s="446">
        <f t="shared" ref="I11:I74" si="4">I10-F11</f>
        <v>16604.199999999997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13">
        <f t="shared" si="2"/>
        <v>653.28</v>
      </c>
      <c r="E12" s="811">
        <v>44839</v>
      </c>
      <c r="F12" s="549">
        <f t="shared" si="3"/>
        <v>653.28</v>
      </c>
      <c r="G12" s="331" t="s">
        <v>423</v>
      </c>
      <c r="H12" s="332">
        <v>79</v>
      </c>
      <c r="I12" s="446">
        <f t="shared" si="4"/>
        <v>15950.919999999996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13">
        <f t="shared" si="2"/>
        <v>653.28</v>
      </c>
      <c r="E13" s="811">
        <v>44840</v>
      </c>
      <c r="F13" s="549">
        <f t="shared" si="3"/>
        <v>653.28</v>
      </c>
      <c r="G13" s="331" t="s">
        <v>432</v>
      </c>
      <c r="H13" s="332">
        <v>79</v>
      </c>
      <c r="I13" s="446">
        <f t="shared" si="4"/>
        <v>15297.639999999996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13">
        <f t="shared" si="2"/>
        <v>163.32</v>
      </c>
      <c r="E14" s="811">
        <v>44842</v>
      </c>
      <c r="F14" s="549">
        <f t="shared" si="3"/>
        <v>163.32</v>
      </c>
      <c r="G14" s="331" t="s">
        <v>445</v>
      </c>
      <c r="H14" s="332">
        <v>87</v>
      </c>
      <c r="I14" s="446">
        <f t="shared" si="4"/>
        <v>15134.319999999996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13">
        <f t="shared" si="2"/>
        <v>27.22</v>
      </c>
      <c r="E15" s="811">
        <v>44842</v>
      </c>
      <c r="F15" s="549">
        <f t="shared" si="3"/>
        <v>27.22</v>
      </c>
      <c r="G15" s="331" t="s">
        <v>446</v>
      </c>
      <c r="H15" s="332">
        <v>87</v>
      </c>
      <c r="I15" s="446">
        <f t="shared" si="4"/>
        <v>15107.099999999997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13">
        <f t="shared" si="2"/>
        <v>136.1</v>
      </c>
      <c r="E16" s="811">
        <v>44842</v>
      </c>
      <c r="F16" s="549">
        <f t="shared" si="3"/>
        <v>136.1</v>
      </c>
      <c r="G16" s="331" t="s">
        <v>455</v>
      </c>
      <c r="H16" s="332">
        <v>87</v>
      </c>
      <c r="I16" s="446">
        <f t="shared" si="4"/>
        <v>14970.999999999996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13">
        <f t="shared" si="2"/>
        <v>979.92</v>
      </c>
      <c r="E17" s="811">
        <v>44842</v>
      </c>
      <c r="F17" s="549">
        <f t="shared" si="3"/>
        <v>979.92</v>
      </c>
      <c r="G17" s="331" t="s">
        <v>454</v>
      </c>
      <c r="H17" s="332">
        <v>87</v>
      </c>
      <c r="I17" s="446">
        <f t="shared" si="4"/>
        <v>13991.079999999996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13">
        <f t="shared" si="2"/>
        <v>272.2</v>
      </c>
      <c r="E18" s="811">
        <v>44844</v>
      </c>
      <c r="F18" s="549">
        <f t="shared" si="3"/>
        <v>272.2</v>
      </c>
      <c r="G18" s="331" t="s">
        <v>463</v>
      </c>
      <c r="H18" s="332">
        <v>87</v>
      </c>
      <c r="I18" s="446">
        <f t="shared" si="4"/>
        <v>13718.879999999996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13">
        <f t="shared" si="2"/>
        <v>979.92</v>
      </c>
      <c r="E19" s="811">
        <v>44845</v>
      </c>
      <c r="F19" s="549">
        <f t="shared" si="3"/>
        <v>979.92</v>
      </c>
      <c r="G19" s="331" t="s">
        <v>465</v>
      </c>
      <c r="H19" s="332">
        <v>87</v>
      </c>
      <c r="I19" s="446">
        <f t="shared" si="4"/>
        <v>12738.959999999995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13">
        <f t="shared" si="2"/>
        <v>27.22</v>
      </c>
      <c r="E20" s="811">
        <v>44846</v>
      </c>
      <c r="F20" s="549">
        <f t="shared" si="3"/>
        <v>27.22</v>
      </c>
      <c r="G20" s="331" t="s">
        <v>471</v>
      </c>
      <c r="H20" s="332">
        <v>87</v>
      </c>
      <c r="I20" s="446">
        <f t="shared" si="4"/>
        <v>12711.739999999996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13">
        <f t="shared" si="2"/>
        <v>979.92</v>
      </c>
      <c r="E21" s="811">
        <v>44847</v>
      </c>
      <c r="F21" s="549">
        <f t="shared" si="3"/>
        <v>979.92</v>
      </c>
      <c r="G21" s="331" t="s">
        <v>485</v>
      </c>
      <c r="H21" s="332">
        <v>87</v>
      </c>
      <c r="I21" s="446">
        <f t="shared" si="4"/>
        <v>11731.819999999996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13">
        <f t="shared" si="2"/>
        <v>27.22</v>
      </c>
      <c r="E22" s="811">
        <v>44849</v>
      </c>
      <c r="F22" s="549">
        <f t="shared" si="3"/>
        <v>27.22</v>
      </c>
      <c r="G22" s="331" t="s">
        <v>499</v>
      </c>
      <c r="H22" s="332">
        <v>91</v>
      </c>
      <c r="I22" s="446">
        <f t="shared" si="4"/>
        <v>11704.599999999997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13">
        <f t="shared" si="2"/>
        <v>1088.8</v>
      </c>
      <c r="E23" s="811">
        <v>44849</v>
      </c>
      <c r="F23" s="549">
        <f t="shared" si="3"/>
        <v>1088.8</v>
      </c>
      <c r="G23" s="331" t="s">
        <v>500</v>
      </c>
      <c r="H23" s="332">
        <v>91</v>
      </c>
      <c r="I23" s="446">
        <f t="shared" si="4"/>
        <v>10615.799999999997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13">
        <f t="shared" si="2"/>
        <v>136.1</v>
      </c>
      <c r="E24" s="811">
        <v>44849</v>
      </c>
      <c r="F24" s="549">
        <f t="shared" si="3"/>
        <v>136.1</v>
      </c>
      <c r="G24" s="331" t="s">
        <v>503</v>
      </c>
      <c r="H24" s="332">
        <v>91</v>
      </c>
      <c r="I24" s="446">
        <f t="shared" si="4"/>
        <v>10479.699999999997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13">
        <f t="shared" si="2"/>
        <v>27.22</v>
      </c>
      <c r="E25" s="811">
        <v>44852</v>
      </c>
      <c r="F25" s="549">
        <f t="shared" si="3"/>
        <v>27.22</v>
      </c>
      <c r="G25" s="331" t="s">
        <v>510</v>
      </c>
      <c r="H25" s="332">
        <v>91</v>
      </c>
      <c r="I25" s="446">
        <f t="shared" si="4"/>
        <v>10452.479999999998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13">
        <f t="shared" si="2"/>
        <v>54.44</v>
      </c>
      <c r="E26" s="811">
        <v>44852</v>
      </c>
      <c r="F26" s="549">
        <f t="shared" si="3"/>
        <v>54.44</v>
      </c>
      <c r="G26" s="331" t="s">
        <v>511</v>
      </c>
      <c r="H26" s="332">
        <v>91</v>
      </c>
      <c r="I26" s="446">
        <f t="shared" si="4"/>
        <v>10398.039999999997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13">
        <f t="shared" si="2"/>
        <v>979.92</v>
      </c>
      <c r="E27" s="811">
        <v>44852</v>
      </c>
      <c r="F27" s="549">
        <f t="shared" si="3"/>
        <v>979.92</v>
      </c>
      <c r="G27" s="331" t="s">
        <v>513</v>
      </c>
      <c r="H27" s="332">
        <v>91</v>
      </c>
      <c r="I27" s="446">
        <f t="shared" si="4"/>
        <v>9418.1199999999972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13">
        <f t="shared" si="2"/>
        <v>27.22</v>
      </c>
      <c r="E28" s="811">
        <v>44853</v>
      </c>
      <c r="F28" s="549">
        <f t="shared" si="3"/>
        <v>27.22</v>
      </c>
      <c r="G28" s="331" t="s">
        <v>516</v>
      </c>
      <c r="H28" s="332">
        <v>91</v>
      </c>
      <c r="I28" s="446">
        <f t="shared" si="4"/>
        <v>9390.8999999999978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13">
        <f t="shared" si="2"/>
        <v>136.1</v>
      </c>
      <c r="E29" s="811">
        <v>44853</v>
      </c>
      <c r="F29" s="549">
        <f t="shared" si="3"/>
        <v>136.1</v>
      </c>
      <c r="G29" s="331" t="s">
        <v>517</v>
      </c>
      <c r="H29" s="332">
        <v>91</v>
      </c>
      <c r="I29" s="446">
        <f t="shared" si="4"/>
        <v>9254.7999999999975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13">
        <f t="shared" si="2"/>
        <v>272.2</v>
      </c>
      <c r="E30" s="811">
        <v>44854</v>
      </c>
      <c r="F30" s="549">
        <f t="shared" si="3"/>
        <v>272.2</v>
      </c>
      <c r="G30" s="331" t="s">
        <v>528</v>
      </c>
      <c r="H30" s="332">
        <v>91</v>
      </c>
      <c r="I30" s="446">
        <f t="shared" si="4"/>
        <v>8982.5999999999967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13">
        <f t="shared" si="2"/>
        <v>979.92</v>
      </c>
      <c r="E31" s="811">
        <v>44854</v>
      </c>
      <c r="F31" s="549">
        <f t="shared" si="3"/>
        <v>979.92</v>
      </c>
      <c r="G31" s="331" t="s">
        <v>529</v>
      </c>
      <c r="H31" s="332">
        <v>91</v>
      </c>
      <c r="I31" s="446">
        <f t="shared" si="4"/>
        <v>8002.6799999999967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8002.6799999999967</v>
      </c>
      <c r="J32" s="447">
        <f t="shared" si="10"/>
        <v>294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8002.6799999999967</v>
      </c>
      <c r="J33" s="447">
        <f t="shared" si="10"/>
        <v>294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8002.6799999999967</v>
      </c>
      <c r="J34" s="447">
        <f t="shared" si="10"/>
        <v>294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8002.6799999999967</v>
      </c>
      <c r="J35" s="447">
        <f t="shared" si="10"/>
        <v>294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8002.6799999999967</v>
      </c>
      <c r="J36" s="447">
        <f t="shared" si="10"/>
        <v>294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8002.6799999999967</v>
      </c>
      <c r="J37" s="447">
        <f t="shared" si="10"/>
        <v>294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8002.6799999999967</v>
      </c>
      <c r="J38" s="447">
        <f t="shared" si="10"/>
        <v>294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8002.6799999999967</v>
      </c>
      <c r="J39" s="447">
        <f t="shared" si="10"/>
        <v>294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8002.6799999999967</v>
      </c>
      <c r="J40" s="447">
        <f t="shared" si="10"/>
        <v>294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8002.6799999999967</v>
      </c>
      <c r="J41" s="447">
        <f t="shared" si="10"/>
        <v>294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8002.6799999999967</v>
      </c>
      <c r="J42" s="447">
        <f t="shared" si="10"/>
        <v>294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8002.6799999999967</v>
      </c>
      <c r="J43" s="447">
        <f t="shared" si="10"/>
        <v>294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8002.6799999999967</v>
      </c>
      <c r="J44" s="447">
        <f t="shared" si="10"/>
        <v>294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8002.6799999999967</v>
      </c>
      <c r="J45" s="447">
        <f t="shared" si="10"/>
        <v>294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8002.6799999999967</v>
      </c>
      <c r="J46" s="447">
        <f t="shared" si="10"/>
        <v>294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8002.6799999999967</v>
      </c>
      <c r="J47" s="447">
        <f t="shared" si="10"/>
        <v>294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8002.6799999999967</v>
      </c>
      <c r="J48" s="447">
        <f t="shared" si="10"/>
        <v>294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8002.6799999999967</v>
      </c>
      <c r="J49" s="447">
        <f t="shared" si="10"/>
        <v>294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8002.6799999999967</v>
      </c>
      <c r="J50" s="447">
        <f t="shared" si="10"/>
        <v>294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8002.6799999999967</v>
      </c>
      <c r="J51" s="447">
        <f t="shared" si="10"/>
        <v>294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8002.6799999999967</v>
      </c>
      <c r="J52" s="447">
        <f t="shared" si="10"/>
        <v>294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8002.6799999999967</v>
      </c>
      <c r="J53" s="447">
        <f t="shared" si="10"/>
        <v>294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8002.6799999999967</v>
      </c>
      <c r="J54" s="447">
        <f t="shared" si="10"/>
        <v>294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8002.6799999999967</v>
      </c>
      <c r="J55" s="447">
        <f t="shared" si="10"/>
        <v>294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8002.6799999999967</v>
      </c>
      <c r="J56" s="447">
        <f t="shared" si="10"/>
        <v>294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8002.6799999999967</v>
      </c>
      <c r="J57" s="447">
        <f t="shared" si="10"/>
        <v>294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8002.6799999999967</v>
      </c>
      <c r="J58" s="447">
        <f t="shared" si="10"/>
        <v>294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8002.6799999999967</v>
      </c>
      <c r="J59" s="447">
        <f t="shared" si="10"/>
        <v>294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8002.6799999999967</v>
      </c>
      <c r="J60" s="447">
        <f t="shared" si="10"/>
        <v>294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8002.6799999999967</v>
      </c>
      <c r="J61" s="447">
        <f t="shared" si="10"/>
        <v>294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8002.6799999999967</v>
      </c>
      <c r="J62" s="447">
        <f t="shared" si="10"/>
        <v>294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8002.6799999999967</v>
      </c>
      <c r="J63" s="447">
        <f t="shared" si="10"/>
        <v>294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8002.6799999999967</v>
      </c>
      <c r="J64" s="447">
        <f t="shared" si="10"/>
        <v>294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8002.6799999999967</v>
      </c>
      <c r="J65" s="447">
        <f t="shared" si="10"/>
        <v>294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8002.6799999999967</v>
      </c>
      <c r="J66" s="447">
        <f t="shared" si="10"/>
        <v>294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8002.6799999999967</v>
      </c>
      <c r="J67" s="447">
        <f t="shared" si="10"/>
        <v>294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8002.6799999999967</v>
      </c>
      <c r="J68" s="447">
        <f t="shared" si="10"/>
        <v>294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8002.6799999999967</v>
      </c>
      <c r="J69" s="447">
        <f t="shared" si="10"/>
        <v>294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8002.6799999999967</v>
      </c>
      <c r="J70" s="447">
        <f t="shared" si="10"/>
        <v>294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8002.6799999999967</v>
      </c>
      <c r="J71" s="447">
        <f t="shared" si="10"/>
        <v>294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8002.6799999999967</v>
      </c>
      <c r="J72" s="447">
        <f t="shared" si="10"/>
        <v>294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8002.6799999999967</v>
      </c>
      <c r="J73" s="447">
        <f t="shared" si="10"/>
        <v>294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8002.6799999999967</v>
      </c>
      <c r="J74" s="447">
        <f t="shared" si="10"/>
        <v>294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8002.6799999999967</v>
      </c>
      <c r="J75" s="447">
        <f t="shared" si="10"/>
        <v>294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8002.6799999999967</v>
      </c>
      <c r="J76" s="447">
        <f t="shared" si="10"/>
        <v>294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8002.6799999999967</v>
      </c>
      <c r="J77" s="447">
        <f t="shared" ref="J77:J113" si="20">J76-C77</f>
        <v>294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8002.6799999999967</v>
      </c>
      <c r="J78" s="447">
        <f t="shared" si="20"/>
        <v>294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8002.6799999999967</v>
      </c>
      <c r="J79" s="447">
        <f t="shared" si="20"/>
        <v>294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8002.6799999999967</v>
      </c>
      <c r="J80" s="447">
        <f t="shared" si="20"/>
        <v>294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8002.6799999999967</v>
      </c>
      <c r="J81" s="447">
        <f t="shared" si="20"/>
        <v>294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8002.6799999999967</v>
      </c>
      <c r="J82" s="447">
        <f t="shared" si="20"/>
        <v>294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8002.6799999999967</v>
      </c>
      <c r="J83" s="447">
        <f t="shared" si="20"/>
        <v>294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8002.6799999999967</v>
      </c>
      <c r="J84" s="447">
        <f t="shared" si="20"/>
        <v>294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8002.6799999999967</v>
      </c>
      <c r="J85" s="447">
        <f t="shared" si="20"/>
        <v>294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8002.6799999999967</v>
      </c>
      <c r="J86" s="447">
        <f t="shared" si="20"/>
        <v>294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8002.6799999999967</v>
      </c>
      <c r="J87" s="447">
        <f t="shared" si="20"/>
        <v>294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8002.6799999999967</v>
      </c>
      <c r="J88" s="447">
        <f t="shared" si="20"/>
        <v>294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8002.6799999999967</v>
      </c>
      <c r="J89" s="447">
        <f t="shared" si="20"/>
        <v>294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8002.6799999999967</v>
      </c>
      <c r="J90" s="447">
        <f t="shared" si="20"/>
        <v>294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8002.6799999999967</v>
      </c>
      <c r="J91" s="447">
        <f t="shared" si="20"/>
        <v>294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8002.6799999999967</v>
      </c>
      <c r="J92" s="447">
        <f t="shared" si="20"/>
        <v>294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8002.6799999999967</v>
      </c>
      <c r="J93" s="447">
        <f t="shared" si="20"/>
        <v>294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8002.6799999999967</v>
      </c>
      <c r="J94" s="447">
        <f t="shared" si="20"/>
        <v>294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8002.6799999999967</v>
      </c>
      <c r="J95" s="447">
        <f t="shared" si="20"/>
        <v>294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8002.6799999999967</v>
      </c>
      <c r="J96" s="447">
        <f t="shared" si="20"/>
        <v>294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8002.6799999999967</v>
      </c>
      <c r="J97" s="447">
        <f t="shared" si="20"/>
        <v>294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8002.6799999999967</v>
      </c>
      <c r="J98" s="447">
        <f t="shared" si="20"/>
        <v>294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8002.6799999999967</v>
      </c>
      <c r="J99" s="447">
        <f t="shared" si="20"/>
        <v>294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8002.6799999999967</v>
      </c>
      <c r="J100" s="447">
        <f t="shared" si="20"/>
        <v>294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8002.6799999999967</v>
      </c>
      <c r="J101" s="447">
        <f t="shared" si="20"/>
        <v>294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8002.6799999999967</v>
      </c>
      <c r="J102" s="447">
        <f t="shared" si="20"/>
        <v>294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8002.6799999999967</v>
      </c>
      <c r="J103" s="447">
        <f t="shared" si="20"/>
        <v>294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8002.6799999999967</v>
      </c>
      <c r="J104" s="447">
        <f t="shared" si="20"/>
        <v>294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8002.6799999999967</v>
      </c>
      <c r="J105" s="447">
        <f t="shared" si="20"/>
        <v>294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8002.6799999999967</v>
      </c>
      <c r="J106" s="447">
        <f t="shared" si="20"/>
        <v>294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8002.6799999999967</v>
      </c>
      <c r="J107" s="447">
        <f t="shared" si="20"/>
        <v>294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8002.6799999999967</v>
      </c>
      <c r="J108" s="447">
        <f t="shared" si="20"/>
        <v>294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8002.6799999999967</v>
      </c>
      <c r="J109" s="447">
        <f t="shared" si="20"/>
        <v>294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8002.6799999999967</v>
      </c>
      <c r="J110" s="447">
        <f t="shared" si="20"/>
        <v>294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8002.6799999999967</v>
      </c>
      <c r="J111" s="447">
        <f t="shared" si="20"/>
        <v>294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8002.6799999999967</v>
      </c>
      <c r="J112" s="447">
        <f t="shared" si="20"/>
        <v>294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8002.6799999999967</v>
      </c>
      <c r="J113" s="447">
        <f t="shared" si="20"/>
        <v>294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389</v>
      </c>
      <c r="D115" s="6">
        <f>SUM(D9:D114)</f>
        <v>10588.580000000002</v>
      </c>
      <c r="F115" s="6">
        <f>SUM(F9:F114)</f>
        <v>10588.580000000002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294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39" t="s">
        <v>11</v>
      </c>
      <c r="D120" s="1040"/>
      <c r="E120" s="57">
        <f>E4+E5+E6-F115</f>
        <v>8002.6799999999967</v>
      </c>
      <c r="G120" s="47"/>
      <c r="H120" s="91"/>
      <c r="O120" s="1039" t="s">
        <v>11</v>
      </c>
      <c r="P120" s="1040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G17" sqref="G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7" t="s">
        <v>268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4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620.86999999999989</v>
      </c>
      <c r="H5" s="7">
        <f>E5-G5+E4+E6+E7</f>
        <v>359.21000000000009</v>
      </c>
    </row>
    <row r="6" spans="1:9" ht="15" customHeight="1" x14ac:dyDescent="0.25">
      <c r="A6" s="1045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41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412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33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415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31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428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30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463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22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485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21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437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16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499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359.21000000000009</v>
      </c>
    </row>
    <row r="18" spans="2:9" x14ac:dyDescent="0.25">
      <c r="B18" s="183">
        <f t="shared" si="1"/>
        <v>16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359.21000000000009</v>
      </c>
    </row>
    <row r="19" spans="2:9" x14ac:dyDescent="0.25">
      <c r="B19" s="183">
        <f t="shared" si="1"/>
        <v>16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359.21000000000009</v>
      </c>
    </row>
    <row r="20" spans="2:9" x14ac:dyDescent="0.25">
      <c r="B20" s="183">
        <f t="shared" si="1"/>
        <v>16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359.21000000000009</v>
      </c>
    </row>
    <row r="21" spans="2:9" x14ac:dyDescent="0.25">
      <c r="B21" s="183">
        <f t="shared" si="1"/>
        <v>16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359.21000000000009</v>
      </c>
    </row>
    <row r="22" spans="2:9" x14ac:dyDescent="0.25">
      <c r="B22" s="183">
        <f t="shared" si="1"/>
        <v>16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359.21000000000009</v>
      </c>
    </row>
    <row r="23" spans="2:9" x14ac:dyDescent="0.25">
      <c r="B23" s="183">
        <f t="shared" si="1"/>
        <v>16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359.21000000000009</v>
      </c>
    </row>
    <row r="24" spans="2:9" x14ac:dyDescent="0.25">
      <c r="B24" s="183">
        <f t="shared" si="1"/>
        <v>16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359.21000000000009</v>
      </c>
    </row>
    <row r="25" spans="2:9" x14ac:dyDescent="0.25">
      <c r="B25" s="183">
        <f t="shared" si="1"/>
        <v>16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359.21000000000009</v>
      </c>
    </row>
    <row r="26" spans="2:9" x14ac:dyDescent="0.25">
      <c r="B26" s="183">
        <f t="shared" si="1"/>
        <v>16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359.21000000000009</v>
      </c>
    </row>
    <row r="27" spans="2:9" x14ac:dyDescent="0.25">
      <c r="B27" s="183">
        <f t="shared" si="1"/>
        <v>16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359.21000000000009</v>
      </c>
    </row>
    <row r="28" spans="2:9" x14ac:dyDescent="0.25">
      <c r="B28" s="183">
        <f t="shared" si="1"/>
        <v>16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359.21000000000009</v>
      </c>
    </row>
    <row r="29" spans="2:9" x14ac:dyDescent="0.25">
      <c r="B29" s="183">
        <f t="shared" si="1"/>
        <v>16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359.21000000000009</v>
      </c>
    </row>
    <row r="30" spans="2:9" x14ac:dyDescent="0.25">
      <c r="B30" s="183">
        <f t="shared" si="1"/>
        <v>16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359.21000000000009</v>
      </c>
    </row>
    <row r="31" spans="2:9" x14ac:dyDescent="0.25">
      <c r="B31" s="183">
        <f t="shared" si="1"/>
        <v>16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359.21000000000009</v>
      </c>
    </row>
    <row r="32" spans="2:9" x14ac:dyDescent="0.25">
      <c r="B32" s="183">
        <f t="shared" si="1"/>
        <v>16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359.21000000000009</v>
      </c>
    </row>
    <row r="33" spans="2:9" x14ac:dyDescent="0.25">
      <c r="B33" s="183">
        <f t="shared" si="1"/>
        <v>16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359.21000000000009</v>
      </c>
    </row>
    <row r="34" spans="2:9" x14ac:dyDescent="0.25">
      <c r="B34" s="183">
        <f t="shared" si="1"/>
        <v>16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359.21000000000009</v>
      </c>
    </row>
    <row r="35" spans="2:9" x14ac:dyDescent="0.25">
      <c r="B35" s="183">
        <f t="shared" si="1"/>
        <v>16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359.21000000000009</v>
      </c>
    </row>
    <row r="36" spans="2:9" x14ac:dyDescent="0.25">
      <c r="B36" s="183">
        <f t="shared" si="1"/>
        <v>16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359.21000000000009</v>
      </c>
    </row>
    <row r="37" spans="2:9" x14ac:dyDescent="0.25">
      <c r="B37" s="183">
        <f t="shared" si="1"/>
        <v>16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359.21000000000009</v>
      </c>
    </row>
    <row r="38" spans="2:9" x14ac:dyDescent="0.25">
      <c r="B38" s="183">
        <f t="shared" si="1"/>
        <v>16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359.21000000000009</v>
      </c>
    </row>
    <row r="39" spans="2:9" x14ac:dyDescent="0.25">
      <c r="B39" s="183">
        <f t="shared" si="1"/>
        <v>16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359.21000000000009</v>
      </c>
    </row>
    <row r="40" spans="2:9" x14ac:dyDescent="0.25">
      <c r="B40" s="183">
        <f t="shared" si="1"/>
        <v>16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359.21000000000009</v>
      </c>
    </row>
    <row r="41" spans="2:9" x14ac:dyDescent="0.25">
      <c r="B41" s="183">
        <f t="shared" si="1"/>
        <v>16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359.21000000000009</v>
      </c>
    </row>
    <row r="42" spans="2:9" x14ac:dyDescent="0.25">
      <c r="B42" s="183">
        <f t="shared" si="1"/>
        <v>16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359.21000000000009</v>
      </c>
    </row>
    <row r="43" spans="2:9" x14ac:dyDescent="0.25">
      <c r="B43" s="183">
        <f t="shared" si="1"/>
        <v>16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359.21000000000009</v>
      </c>
    </row>
    <row r="44" spans="2:9" x14ac:dyDescent="0.25">
      <c r="B44" s="183">
        <f t="shared" si="1"/>
        <v>16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359.21000000000009</v>
      </c>
    </row>
    <row r="45" spans="2:9" x14ac:dyDescent="0.25">
      <c r="B45" s="183">
        <f t="shared" si="1"/>
        <v>16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359.21000000000009</v>
      </c>
    </row>
    <row r="46" spans="2:9" x14ac:dyDescent="0.25">
      <c r="B46" s="183">
        <f t="shared" si="1"/>
        <v>16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359.21000000000009</v>
      </c>
    </row>
    <row r="47" spans="2:9" x14ac:dyDescent="0.25">
      <c r="B47" s="183">
        <f t="shared" si="1"/>
        <v>16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359.21000000000009</v>
      </c>
    </row>
    <row r="48" spans="2:9" x14ac:dyDescent="0.25">
      <c r="B48" s="183">
        <f t="shared" si="1"/>
        <v>16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359.21000000000009</v>
      </c>
    </row>
    <row r="49" spans="2:9" x14ac:dyDescent="0.25">
      <c r="B49" s="183">
        <f t="shared" si="1"/>
        <v>16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359.21000000000009</v>
      </c>
    </row>
    <row r="50" spans="2:9" x14ac:dyDescent="0.25">
      <c r="B50" s="183">
        <f t="shared" si="1"/>
        <v>16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359.21000000000009</v>
      </c>
    </row>
    <row r="51" spans="2:9" x14ac:dyDescent="0.25">
      <c r="B51" s="183">
        <f t="shared" si="1"/>
        <v>16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359.21000000000009</v>
      </c>
    </row>
    <row r="52" spans="2:9" x14ac:dyDescent="0.25">
      <c r="B52" s="183">
        <f t="shared" si="1"/>
        <v>16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359.21000000000009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359.21000000000009</v>
      </c>
    </row>
    <row r="68" spans="2:9" x14ac:dyDescent="0.25">
      <c r="C68" s="53">
        <f>SUM(C9:C67)</f>
        <v>31</v>
      </c>
      <c r="D68" s="124">
        <f>SUM(D9:D67)</f>
        <v>620.86999999999989</v>
      </c>
      <c r="E68" s="165"/>
      <c r="F68" s="124">
        <f>SUM(F9:F67)</f>
        <v>620.86999999999989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16</v>
      </c>
    </row>
    <row r="72" spans="2:9" ht="15.75" thickBot="1" x14ac:dyDescent="0.3">
      <c r="B72" s="125"/>
    </row>
    <row r="73" spans="2:9" ht="15.75" thickBot="1" x14ac:dyDescent="0.3">
      <c r="B73" s="91"/>
      <c r="C73" s="1039" t="s">
        <v>11</v>
      </c>
      <c r="D73" s="1040"/>
      <c r="E73" s="57">
        <f>E5-F68+E4+E6+E7</f>
        <v>359.21000000000009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45"/>
      <c r="B5" s="1067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45"/>
      <c r="B6" s="1067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9" t="s">
        <v>11</v>
      </c>
      <c r="D60" s="104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7" t="s">
        <v>269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45"/>
      <c r="B4" s="1068" t="s">
        <v>93</v>
      </c>
      <c r="C4" s="128"/>
      <c r="D4" s="134"/>
      <c r="E4" s="124"/>
      <c r="F4" s="73"/>
      <c r="G4" s="47">
        <f>F56</f>
        <v>978.63000000000011</v>
      </c>
      <c r="H4" s="7">
        <f>E4-G4+E5+E6+E7+E8</f>
        <v>331.02</v>
      </c>
    </row>
    <row r="5" spans="1:9" ht="15" customHeight="1" x14ac:dyDescent="0.25">
      <c r="A5" s="1045"/>
      <c r="B5" s="1069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69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499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508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509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517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13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331.02000000000004</v>
      </c>
    </row>
    <row r="15" spans="1:9" x14ac:dyDescent="0.25">
      <c r="A15" s="12"/>
      <c r="B15" s="183">
        <f t="shared" si="1"/>
        <v>13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331.02000000000004</v>
      </c>
    </row>
    <row r="16" spans="1:9" x14ac:dyDescent="0.25">
      <c r="B16" s="183">
        <f t="shared" si="1"/>
        <v>13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331.02000000000004</v>
      </c>
    </row>
    <row r="17" spans="2:9" x14ac:dyDescent="0.25">
      <c r="B17" s="183">
        <f t="shared" si="1"/>
        <v>13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331.02000000000004</v>
      </c>
    </row>
    <row r="18" spans="2:9" x14ac:dyDescent="0.25">
      <c r="B18" s="183">
        <f t="shared" si="1"/>
        <v>13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331.02000000000004</v>
      </c>
    </row>
    <row r="19" spans="2:9" x14ac:dyDescent="0.25">
      <c r="B19" s="183">
        <f t="shared" si="1"/>
        <v>13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331.02000000000004</v>
      </c>
    </row>
    <row r="20" spans="2:9" x14ac:dyDescent="0.25">
      <c r="B20" s="183">
        <f t="shared" si="1"/>
        <v>13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331.02000000000004</v>
      </c>
    </row>
    <row r="21" spans="2:9" x14ac:dyDescent="0.25">
      <c r="B21" s="183">
        <f t="shared" si="1"/>
        <v>13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331.02000000000004</v>
      </c>
    </row>
    <row r="22" spans="2:9" x14ac:dyDescent="0.25">
      <c r="B22" s="183">
        <f t="shared" si="1"/>
        <v>13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331.02000000000004</v>
      </c>
    </row>
    <row r="23" spans="2:9" x14ac:dyDescent="0.25">
      <c r="B23" s="183">
        <f t="shared" si="1"/>
        <v>13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331.02000000000004</v>
      </c>
    </row>
    <row r="24" spans="2:9" x14ac:dyDescent="0.25">
      <c r="B24" s="183">
        <f t="shared" si="1"/>
        <v>13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331.02000000000004</v>
      </c>
    </row>
    <row r="25" spans="2:9" x14ac:dyDescent="0.25">
      <c r="B25" s="183">
        <f t="shared" si="1"/>
        <v>13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331.02000000000004</v>
      </c>
    </row>
    <row r="26" spans="2:9" x14ac:dyDescent="0.25">
      <c r="B26" s="183">
        <f t="shared" si="1"/>
        <v>13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331.02000000000004</v>
      </c>
    </row>
    <row r="27" spans="2:9" x14ac:dyDescent="0.25">
      <c r="B27" s="183">
        <f t="shared" si="1"/>
        <v>13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331.02000000000004</v>
      </c>
    </row>
    <row r="28" spans="2:9" x14ac:dyDescent="0.25">
      <c r="B28" s="183">
        <f t="shared" si="1"/>
        <v>13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331.02000000000004</v>
      </c>
    </row>
    <row r="29" spans="2:9" x14ac:dyDescent="0.25">
      <c r="B29" s="183">
        <f t="shared" si="1"/>
        <v>13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331.02000000000004</v>
      </c>
    </row>
    <row r="30" spans="2:9" x14ac:dyDescent="0.25">
      <c r="B30" s="183">
        <f t="shared" si="1"/>
        <v>13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331.02000000000004</v>
      </c>
    </row>
    <row r="31" spans="2:9" x14ac:dyDescent="0.25">
      <c r="B31" s="183">
        <f t="shared" si="1"/>
        <v>13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331.02000000000004</v>
      </c>
    </row>
    <row r="32" spans="2:9" x14ac:dyDescent="0.25">
      <c r="B32" s="183">
        <f t="shared" si="1"/>
        <v>13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331.02000000000004</v>
      </c>
    </row>
    <row r="33" spans="2:9" x14ac:dyDescent="0.25">
      <c r="B33" s="183">
        <f t="shared" si="1"/>
        <v>13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331.02000000000004</v>
      </c>
    </row>
    <row r="34" spans="2:9" x14ac:dyDescent="0.25">
      <c r="B34" s="183">
        <f t="shared" si="1"/>
        <v>13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331.02000000000004</v>
      </c>
    </row>
    <row r="35" spans="2:9" x14ac:dyDescent="0.25">
      <c r="B35" s="183">
        <f t="shared" si="1"/>
        <v>13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331.02000000000004</v>
      </c>
    </row>
    <row r="36" spans="2:9" x14ac:dyDescent="0.25">
      <c r="B36" s="183">
        <f t="shared" si="1"/>
        <v>13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331.02000000000004</v>
      </c>
    </row>
    <row r="37" spans="2:9" x14ac:dyDescent="0.25">
      <c r="B37" s="183">
        <f t="shared" si="1"/>
        <v>13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331.02000000000004</v>
      </c>
    </row>
    <row r="38" spans="2:9" x14ac:dyDescent="0.25">
      <c r="B38" s="183">
        <f t="shared" si="1"/>
        <v>13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331.02000000000004</v>
      </c>
    </row>
    <row r="39" spans="2:9" x14ac:dyDescent="0.25">
      <c r="B39" s="183">
        <f t="shared" si="1"/>
        <v>13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331.02000000000004</v>
      </c>
    </row>
    <row r="40" spans="2:9" x14ac:dyDescent="0.25">
      <c r="B40" s="183">
        <f t="shared" si="1"/>
        <v>13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331.02000000000004</v>
      </c>
    </row>
    <row r="41" spans="2:9" x14ac:dyDescent="0.25">
      <c r="B41" s="183">
        <f t="shared" si="1"/>
        <v>13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331.02000000000004</v>
      </c>
    </row>
    <row r="42" spans="2:9" x14ac:dyDescent="0.25">
      <c r="B42" s="183">
        <f t="shared" si="1"/>
        <v>13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331.02000000000004</v>
      </c>
    </row>
    <row r="43" spans="2:9" x14ac:dyDescent="0.25">
      <c r="B43" s="183">
        <f t="shared" si="1"/>
        <v>13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331.02000000000004</v>
      </c>
    </row>
    <row r="44" spans="2:9" x14ac:dyDescent="0.25">
      <c r="B44" s="183">
        <f t="shared" si="1"/>
        <v>13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331.02000000000004</v>
      </c>
    </row>
    <row r="45" spans="2:9" x14ac:dyDescent="0.25">
      <c r="B45" s="183">
        <f t="shared" si="1"/>
        <v>13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331.02000000000004</v>
      </c>
    </row>
    <row r="46" spans="2:9" x14ac:dyDescent="0.25">
      <c r="B46" s="183">
        <f t="shared" si="1"/>
        <v>13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331.02000000000004</v>
      </c>
    </row>
    <row r="47" spans="2:9" x14ac:dyDescent="0.25">
      <c r="B47" s="183">
        <f t="shared" si="1"/>
        <v>13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331.02000000000004</v>
      </c>
    </row>
    <row r="48" spans="2:9" x14ac:dyDescent="0.25">
      <c r="B48" s="183">
        <f t="shared" si="1"/>
        <v>13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331.02000000000004</v>
      </c>
    </row>
    <row r="49" spans="2:9" x14ac:dyDescent="0.25">
      <c r="B49" s="183">
        <f t="shared" si="1"/>
        <v>13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331.02000000000004</v>
      </c>
    </row>
    <row r="50" spans="2:9" x14ac:dyDescent="0.25">
      <c r="B50" s="183">
        <f t="shared" si="1"/>
        <v>13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331.02000000000004</v>
      </c>
    </row>
    <row r="51" spans="2:9" x14ac:dyDescent="0.25">
      <c r="B51" s="183">
        <f t="shared" si="1"/>
        <v>13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331.02000000000004</v>
      </c>
    </row>
    <row r="52" spans="2:9" x14ac:dyDescent="0.25">
      <c r="B52" s="183">
        <f t="shared" si="1"/>
        <v>13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331.02000000000004</v>
      </c>
    </row>
    <row r="53" spans="2:9" x14ac:dyDescent="0.25">
      <c r="B53" s="183">
        <f t="shared" si="1"/>
        <v>13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331.02000000000004</v>
      </c>
    </row>
    <row r="54" spans="2:9" x14ac:dyDescent="0.25">
      <c r="B54" s="183">
        <f t="shared" si="1"/>
        <v>13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331.02000000000004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331.02000000000004</v>
      </c>
    </row>
    <row r="56" spans="2:9" x14ac:dyDescent="0.25">
      <c r="C56" s="53">
        <f>SUM(C10:C55)</f>
        <v>38</v>
      </c>
      <c r="D56" s="124">
        <f>SUM(D10:D55)</f>
        <v>978.63000000000011</v>
      </c>
      <c r="E56" s="165"/>
      <c r="F56" s="124">
        <f>SUM(F10:F55)</f>
        <v>978.63000000000011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13</v>
      </c>
    </row>
    <row r="60" spans="2:9" ht="15.75" thickBot="1" x14ac:dyDescent="0.3">
      <c r="B60" s="125"/>
    </row>
    <row r="61" spans="2:9" ht="15.75" thickBot="1" x14ac:dyDescent="0.3">
      <c r="B61" s="91"/>
      <c r="C61" s="1039" t="s">
        <v>11</v>
      </c>
      <c r="D61" s="1040"/>
      <c r="E61" s="57">
        <f>E5+E6+E7+E8-F56</f>
        <v>331.02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41"/>
      <c r="B1" s="1041"/>
      <c r="C1" s="1041"/>
      <c r="D1" s="1041"/>
      <c r="E1" s="1041"/>
      <c r="F1" s="1041"/>
      <c r="G1" s="104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70"/>
      <c r="B5" s="1072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71"/>
      <c r="B6" s="1073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74" t="s">
        <v>11</v>
      </c>
      <c r="D56" s="107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37" t="s">
        <v>109</v>
      </c>
      <c r="B1" s="1037"/>
      <c r="C1" s="1037"/>
      <c r="D1" s="1037"/>
      <c r="E1" s="1037"/>
      <c r="F1" s="1037"/>
      <c r="G1" s="103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38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3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9" t="s">
        <v>11</v>
      </c>
      <c r="D83" s="104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6"/>
      <c r="B1" s="1026"/>
      <c r="C1" s="1026"/>
      <c r="D1" s="1026"/>
      <c r="E1" s="1026"/>
      <c r="F1" s="1026"/>
      <c r="G1" s="10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76"/>
      <c r="C4" s="17"/>
      <c r="E4" s="255"/>
      <c r="F4" s="241"/>
    </row>
    <row r="5" spans="1:10" ht="15" customHeight="1" x14ac:dyDescent="0.25">
      <c r="A5" s="1070"/>
      <c r="B5" s="1077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71"/>
      <c r="B6" s="1078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74" t="s">
        <v>11</v>
      </c>
      <c r="D55" s="107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24" activePane="bottomLeft" state="frozen"/>
      <selection activeCell="M1" sqref="M1"/>
      <selection pane="bottomLeft" activeCell="O39" sqref="O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37" t="s">
        <v>270</v>
      </c>
      <c r="B1" s="1037"/>
      <c r="C1" s="1037"/>
      <c r="D1" s="1037"/>
      <c r="E1" s="1037"/>
      <c r="F1" s="1037"/>
      <c r="G1" s="1037"/>
      <c r="H1" s="1037"/>
      <c r="I1" s="1037"/>
      <c r="J1" s="11">
        <v>1</v>
      </c>
      <c r="M1" s="1041" t="s">
        <v>261</v>
      </c>
      <c r="N1" s="1041"/>
      <c r="O1" s="1041"/>
      <c r="P1" s="1041"/>
      <c r="Q1" s="1041"/>
      <c r="R1" s="1041"/>
      <c r="S1" s="1041"/>
      <c r="T1" s="1041"/>
      <c r="U1" s="104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79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049" t="s">
        <v>275</v>
      </c>
      <c r="N5" s="1079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2165.5800000000004</v>
      </c>
      <c r="T5" s="7">
        <f>Q4+Q5-S5+Q6+Q7</f>
        <v>2360.8000000000002</v>
      </c>
      <c r="U5" s="191"/>
      <c r="V5" s="73"/>
    </row>
    <row r="6" spans="1:23" x14ac:dyDescent="0.25">
      <c r="B6" s="1079"/>
      <c r="C6" s="200"/>
      <c r="D6" s="149"/>
      <c r="E6" s="78"/>
      <c r="F6" s="62"/>
      <c r="I6" s="192"/>
      <c r="J6" s="73"/>
      <c r="M6" s="1049"/>
      <c r="N6" s="1079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418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422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423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429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430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434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441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452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466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467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436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472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473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474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478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487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494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495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437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497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499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499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506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507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507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508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516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517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518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521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2360.8000000000015</v>
      </c>
      <c r="V39" s="73">
        <f t="shared" si="9"/>
        <v>520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2360.8000000000015</v>
      </c>
      <c r="V40" s="73">
        <f t="shared" si="9"/>
        <v>520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2360.8000000000015</v>
      </c>
      <c r="V41" s="73">
        <f t="shared" si="9"/>
        <v>520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2360.8000000000015</v>
      </c>
      <c r="V42" s="73">
        <f t="shared" si="9"/>
        <v>520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2360.8000000000015</v>
      </c>
      <c r="V43" s="73">
        <f t="shared" si="9"/>
        <v>520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2360.8000000000015</v>
      </c>
      <c r="V44" s="73">
        <f t="shared" si="9"/>
        <v>520</v>
      </c>
      <c r="W44" s="60">
        <f t="shared" si="5"/>
        <v>0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4">
        <v>44837</v>
      </c>
      <c r="F45" s="549">
        <f t="shared" si="10"/>
        <v>22.7</v>
      </c>
      <c r="G45" s="331" t="s">
        <v>412</v>
      </c>
      <c r="H45" s="332">
        <v>55</v>
      </c>
      <c r="I45" s="815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2360.8000000000015</v>
      </c>
      <c r="V45" s="73">
        <f t="shared" si="9"/>
        <v>520</v>
      </c>
      <c r="W45" s="60">
        <f t="shared" si="5"/>
        <v>0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4">
        <v>44837</v>
      </c>
      <c r="F46" s="549">
        <f t="shared" si="10"/>
        <v>63.56</v>
      </c>
      <c r="G46" s="331" t="s">
        <v>415</v>
      </c>
      <c r="H46" s="332">
        <v>55</v>
      </c>
      <c r="I46" s="815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2360.8000000000015</v>
      </c>
      <c r="V46" s="73">
        <f t="shared" si="9"/>
        <v>520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958"/>
      <c r="H47" s="959"/>
      <c r="I47" s="960">
        <f t="shared" si="6"/>
        <v>0</v>
      </c>
      <c r="J47" s="961">
        <f t="shared" si="7"/>
        <v>0</v>
      </c>
      <c r="K47" s="962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2360.8000000000015</v>
      </c>
      <c r="V47" s="73">
        <f t="shared" si="9"/>
        <v>520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958"/>
      <c r="H48" s="959"/>
      <c r="I48" s="960">
        <f t="shared" si="6"/>
        <v>0</v>
      </c>
      <c r="J48" s="961">
        <f t="shared" si="7"/>
        <v>0</v>
      </c>
      <c r="K48" s="962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2360.8000000000015</v>
      </c>
      <c r="V48" s="73">
        <f t="shared" si="9"/>
        <v>520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958"/>
      <c r="H49" s="959"/>
      <c r="I49" s="960">
        <f t="shared" si="6"/>
        <v>0</v>
      </c>
      <c r="J49" s="961">
        <f t="shared" si="7"/>
        <v>0</v>
      </c>
      <c r="K49" s="962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2360.8000000000015</v>
      </c>
      <c r="V49" s="73">
        <f t="shared" si="9"/>
        <v>520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2360.8000000000015</v>
      </c>
      <c r="V50" s="73">
        <f t="shared" si="9"/>
        <v>520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2360.8000000000015</v>
      </c>
      <c r="V51" s="73">
        <f t="shared" si="9"/>
        <v>520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2360.8000000000015</v>
      </c>
      <c r="V52" s="73">
        <f t="shared" si="9"/>
        <v>520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2360.8000000000015</v>
      </c>
      <c r="V53" s="73">
        <f t="shared" si="9"/>
        <v>520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2360.8000000000015</v>
      </c>
      <c r="V54" s="73">
        <f t="shared" si="9"/>
        <v>520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2360.8000000000015</v>
      </c>
      <c r="V55" s="73">
        <f t="shared" si="9"/>
        <v>520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2360.8000000000015</v>
      </c>
      <c r="V56" s="73">
        <f t="shared" si="9"/>
        <v>520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2360.8000000000015</v>
      </c>
      <c r="V57" s="73">
        <f t="shared" si="9"/>
        <v>520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2360.8000000000015</v>
      </c>
      <c r="V58" s="73">
        <f t="shared" si="9"/>
        <v>520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2360.8000000000015</v>
      </c>
      <c r="V59" s="73">
        <f t="shared" si="9"/>
        <v>520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2360.8000000000015</v>
      </c>
      <c r="V60" s="73">
        <f t="shared" si="9"/>
        <v>520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2360.8000000000015</v>
      </c>
      <c r="V61" s="73">
        <f t="shared" si="9"/>
        <v>520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2360.8000000000015</v>
      </c>
      <c r="V62" s="73">
        <f t="shared" si="9"/>
        <v>520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2360.8000000000015</v>
      </c>
      <c r="V63" s="73">
        <f t="shared" si="9"/>
        <v>520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2360.8000000000015</v>
      </c>
      <c r="V64" s="73">
        <f t="shared" si="9"/>
        <v>520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2360.8000000000015</v>
      </c>
      <c r="V65" s="73">
        <f t="shared" si="9"/>
        <v>520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2360.8000000000015</v>
      </c>
      <c r="V66" s="73">
        <f t="shared" si="9"/>
        <v>520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2360.8000000000015</v>
      </c>
      <c r="V67" s="73">
        <f t="shared" si="9"/>
        <v>520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2360.8000000000015</v>
      </c>
      <c r="V68" s="73">
        <f t="shared" si="9"/>
        <v>520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2360.8000000000015</v>
      </c>
      <c r="V69" s="73">
        <f t="shared" si="9"/>
        <v>520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2360.8000000000015</v>
      </c>
      <c r="V70" s="73">
        <f t="shared" si="9"/>
        <v>520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2360.8000000000015</v>
      </c>
      <c r="V71" s="73">
        <f t="shared" si="9"/>
        <v>520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2360.8000000000015</v>
      </c>
      <c r="V72" s="73">
        <f t="shared" si="9"/>
        <v>520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2360.8000000000015</v>
      </c>
      <c r="V73" s="73">
        <f t="shared" si="9"/>
        <v>520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2360.8000000000015</v>
      </c>
      <c r="V74" s="73">
        <f t="shared" si="9"/>
        <v>520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2360.8000000000015</v>
      </c>
      <c r="V75" s="73">
        <f t="shared" ref="V75:V106" si="17">V74-O75</f>
        <v>520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2360.8000000000015</v>
      </c>
      <c r="V76" s="73">
        <f t="shared" si="17"/>
        <v>520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2360.8000000000015</v>
      </c>
      <c r="V77" s="73">
        <f t="shared" si="17"/>
        <v>520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2360.8000000000015</v>
      </c>
      <c r="V78" s="73">
        <f t="shared" si="17"/>
        <v>520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2360.8000000000015</v>
      </c>
      <c r="V79" s="73">
        <f t="shared" si="17"/>
        <v>520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2360.8000000000015</v>
      </c>
      <c r="V80" s="73">
        <f t="shared" si="17"/>
        <v>520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2360.8000000000015</v>
      </c>
      <c r="V81" s="73">
        <f t="shared" si="17"/>
        <v>520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2360.8000000000015</v>
      </c>
      <c r="V82" s="73">
        <f t="shared" si="17"/>
        <v>520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2360.8000000000015</v>
      </c>
      <c r="V83" s="73">
        <f t="shared" si="17"/>
        <v>520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2360.8000000000015</v>
      </c>
      <c r="V84" s="73">
        <f t="shared" si="17"/>
        <v>520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2360.8000000000015</v>
      </c>
      <c r="V85" s="73">
        <f t="shared" si="17"/>
        <v>520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2360.8000000000015</v>
      </c>
      <c r="V86" s="73">
        <f t="shared" si="17"/>
        <v>520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2360.8000000000015</v>
      </c>
      <c r="V87" s="73">
        <f t="shared" si="17"/>
        <v>520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2360.8000000000015</v>
      </c>
      <c r="V88" s="73">
        <f t="shared" si="17"/>
        <v>520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2360.8000000000015</v>
      </c>
      <c r="V89" s="73">
        <f t="shared" si="17"/>
        <v>520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2360.8000000000015</v>
      </c>
      <c r="V90" s="73">
        <f t="shared" si="17"/>
        <v>520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2360.8000000000015</v>
      </c>
      <c r="V91" s="73">
        <f t="shared" si="17"/>
        <v>520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2360.8000000000015</v>
      </c>
      <c r="V92" s="73">
        <f t="shared" si="17"/>
        <v>520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2360.8000000000015</v>
      </c>
      <c r="V93" s="73">
        <f t="shared" si="17"/>
        <v>520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2360.8000000000015</v>
      </c>
      <c r="V94" s="73">
        <f t="shared" si="17"/>
        <v>520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2360.8000000000015</v>
      </c>
      <c r="V95" s="73">
        <f t="shared" si="17"/>
        <v>520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2360.8000000000015</v>
      </c>
      <c r="V96" s="73">
        <f t="shared" si="17"/>
        <v>520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2360.8000000000015</v>
      </c>
      <c r="V97" s="73">
        <f t="shared" si="17"/>
        <v>520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2360.8000000000015</v>
      </c>
      <c r="V98" s="73">
        <f t="shared" si="17"/>
        <v>520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2360.8000000000015</v>
      </c>
      <c r="V99" s="73">
        <f t="shared" si="17"/>
        <v>520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2360.8000000000015</v>
      </c>
      <c r="V100" s="73">
        <f t="shared" si="17"/>
        <v>520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2360.8000000000015</v>
      </c>
      <c r="V101" s="73">
        <f t="shared" si="17"/>
        <v>520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2360.8000000000015</v>
      </c>
      <c r="V102" s="73">
        <f t="shared" si="17"/>
        <v>520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2360.8000000000015</v>
      </c>
      <c r="V103" s="73">
        <f t="shared" si="17"/>
        <v>520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2360.8000000000015</v>
      </c>
      <c r="V104" s="73">
        <f t="shared" si="17"/>
        <v>520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2360.8000000000015</v>
      </c>
      <c r="V105" s="73">
        <f t="shared" si="17"/>
        <v>520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2360.8000000000015</v>
      </c>
      <c r="V106" s="73">
        <f t="shared" si="17"/>
        <v>520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2360.8000000000015</v>
      </c>
      <c r="V107" s="73">
        <f>V83-O107</f>
        <v>520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477</v>
      </c>
      <c r="P109" s="6">
        <f>SUM(P9:P108)</f>
        <v>2165.5800000000004</v>
      </c>
      <c r="Q109" s="13"/>
      <c r="R109" s="6">
        <f>SUM(R9:R108)</f>
        <v>2165.5800000000004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520</v>
      </c>
      <c r="Q111" s="40"/>
      <c r="R111" s="6"/>
      <c r="S111" s="31"/>
      <c r="T111" s="17"/>
      <c r="U111" s="132"/>
      <c r="V111" s="73"/>
    </row>
    <row r="112" spans="2:23" x14ac:dyDescent="0.25">
      <c r="C112" s="1080" t="s">
        <v>19</v>
      </c>
      <c r="D112" s="1081"/>
      <c r="E112" s="39">
        <f>E4+E5-F109+E6+E7</f>
        <v>0</v>
      </c>
      <c r="F112" s="6"/>
      <c r="G112" s="6"/>
      <c r="H112" s="17"/>
      <c r="I112" s="132"/>
      <c r="J112" s="73"/>
      <c r="O112" s="1080" t="s">
        <v>19</v>
      </c>
      <c r="P112" s="1081"/>
      <c r="Q112" s="39">
        <f>Q4+Q5-R109+Q6+Q7</f>
        <v>2360.8000000000002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G19" sqref="G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37" t="s">
        <v>271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45" t="s">
        <v>52</v>
      </c>
      <c r="B5" s="1082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4452.49</v>
      </c>
      <c r="H5" s="138">
        <f>E4+E5-G5+E6+E7</f>
        <v>596.19000000000051</v>
      </c>
    </row>
    <row r="6" spans="1:9" ht="15.75" thickBot="1" x14ac:dyDescent="0.3">
      <c r="A6" s="1045"/>
      <c r="B6" s="1082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8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4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6">
        <v>190.87</v>
      </c>
      <c r="E15" s="814">
        <v>44842</v>
      </c>
      <c r="F15" s="549">
        <f t="shared" si="0"/>
        <v>190.87</v>
      </c>
      <c r="G15" s="331" t="s">
        <v>452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6">
        <v>206.47</v>
      </c>
      <c r="E16" s="814">
        <v>44844</v>
      </c>
      <c r="F16" s="549">
        <f t="shared" si="0"/>
        <v>206.47</v>
      </c>
      <c r="G16" s="331" t="s">
        <v>462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6">
        <v>215.7</v>
      </c>
      <c r="E17" s="814">
        <v>44851</v>
      </c>
      <c r="F17" s="549">
        <f t="shared" si="0"/>
        <v>215.7</v>
      </c>
      <c r="G17" s="331" t="s">
        <v>508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6">
        <v>130.44999999999999</v>
      </c>
      <c r="E18" s="814">
        <v>44854</v>
      </c>
      <c r="F18" s="549">
        <f t="shared" si="0"/>
        <v>130.44999999999999</v>
      </c>
      <c r="G18" s="331" t="s">
        <v>530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24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596.19000000000074</v>
      </c>
    </row>
    <row r="20" spans="2:9" x14ac:dyDescent="0.25">
      <c r="B20" s="577">
        <f t="shared" si="1"/>
        <v>24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596.19000000000074</v>
      </c>
    </row>
    <row r="21" spans="2:9" x14ac:dyDescent="0.25">
      <c r="B21" s="577">
        <f t="shared" si="1"/>
        <v>24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596.19000000000074</v>
      </c>
    </row>
    <row r="22" spans="2:9" x14ac:dyDescent="0.25">
      <c r="B22" s="577">
        <f t="shared" si="1"/>
        <v>24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596.19000000000074</v>
      </c>
    </row>
    <row r="23" spans="2:9" x14ac:dyDescent="0.25">
      <c r="B23" s="577">
        <f t="shared" si="1"/>
        <v>24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596.19000000000074</v>
      </c>
    </row>
    <row r="24" spans="2:9" x14ac:dyDescent="0.25">
      <c r="B24" s="577">
        <f t="shared" si="1"/>
        <v>24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596.19000000000074</v>
      </c>
    </row>
    <row r="25" spans="2:9" x14ac:dyDescent="0.25">
      <c r="B25" s="577">
        <f t="shared" si="1"/>
        <v>24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596.19000000000074</v>
      </c>
    </row>
    <row r="26" spans="2:9" x14ac:dyDescent="0.25">
      <c r="B26" s="577">
        <f t="shared" si="1"/>
        <v>24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596.19000000000074</v>
      </c>
    </row>
    <row r="27" spans="2:9" x14ac:dyDescent="0.25">
      <c r="B27" s="577">
        <f t="shared" si="1"/>
        <v>24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596.19000000000074</v>
      </c>
    </row>
    <row r="28" spans="2:9" x14ac:dyDescent="0.25">
      <c r="B28" s="577">
        <f t="shared" si="1"/>
        <v>24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596.19000000000074</v>
      </c>
    </row>
    <row r="29" spans="2:9" x14ac:dyDescent="0.25">
      <c r="B29" s="577">
        <f t="shared" si="1"/>
        <v>24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596.19000000000074</v>
      </c>
    </row>
    <row r="30" spans="2:9" ht="15.75" thickBot="1" x14ac:dyDescent="0.3">
      <c r="B30" s="577">
        <f t="shared" si="1"/>
        <v>24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596.19000000000074</v>
      </c>
    </row>
    <row r="31" spans="2:9" ht="15.75" thickTop="1" x14ac:dyDescent="0.25">
      <c r="C31" s="15">
        <f>SUM(C9:C30)</f>
        <v>164</v>
      </c>
      <c r="D31" s="6">
        <f>SUM(D9:D30)</f>
        <v>4452.49</v>
      </c>
      <c r="E31" s="13"/>
      <c r="F31" s="6">
        <f>SUM(F9:F30)</f>
        <v>4452.49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80" t="s">
        <v>19</v>
      </c>
      <c r="D34" s="108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Z9" activePane="bottomRight" state="frozen"/>
      <selection pane="topRight" activeCell="B1" sqref="B1"/>
      <selection pane="bottomLeft" activeCell="A9" sqref="A9"/>
      <selection pane="bottomRight" activeCell="AK10" sqref="AK10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37" t="s">
        <v>266</v>
      </c>
      <c r="B1" s="1037"/>
      <c r="C1" s="1037"/>
      <c r="D1" s="1037"/>
      <c r="E1" s="1037"/>
      <c r="F1" s="1037"/>
      <c r="G1" s="1037"/>
      <c r="H1" s="11">
        <v>1</v>
      </c>
      <c r="K1" s="1041" t="s">
        <v>261</v>
      </c>
      <c r="L1" s="1041"/>
      <c r="M1" s="1041"/>
      <c r="N1" s="1041"/>
      <c r="O1" s="1041"/>
      <c r="P1" s="1041"/>
      <c r="Q1" s="1041"/>
      <c r="R1" s="11">
        <v>2</v>
      </c>
      <c r="U1" s="1037" t="str">
        <f>A1</f>
        <v>INVENTARIO    DEL MES DE   SEPTIEMBRE    2022</v>
      </c>
      <c r="V1" s="1037"/>
      <c r="W1" s="1037"/>
      <c r="X1" s="1037"/>
      <c r="Y1" s="1037"/>
      <c r="Z1" s="1037"/>
      <c r="AA1" s="1037"/>
      <c r="AB1" s="11">
        <v>3</v>
      </c>
      <c r="AE1" s="1041" t="s">
        <v>261</v>
      </c>
      <c r="AF1" s="1041"/>
      <c r="AG1" s="1041"/>
      <c r="AH1" s="1041"/>
      <c r="AI1" s="1041"/>
      <c r="AJ1" s="1041"/>
      <c r="AK1" s="104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49" t="s">
        <v>65</v>
      </c>
      <c r="B5" s="1087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49" t="s">
        <v>65</v>
      </c>
      <c r="L5" s="1087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85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70" t="s">
        <v>276</v>
      </c>
      <c r="AF5" s="1085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49"/>
      <c r="B6" s="1087"/>
      <c r="C6" s="12"/>
      <c r="D6" s="12"/>
      <c r="E6" s="573">
        <v>90</v>
      </c>
      <c r="F6" s="144">
        <v>9</v>
      </c>
      <c r="G6" s="47">
        <f>F78</f>
        <v>310</v>
      </c>
      <c r="H6" s="7">
        <f>E6-G6+E7+E5-G5+E4</f>
        <v>30</v>
      </c>
      <c r="K6" s="1049"/>
      <c r="L6" s="1087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86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070"/>
      <c r="AF6" s="1086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10</v>
      </c>
      <c r="AL6" s="7">
        <f>AI6-AK6+AI7+AI5-AK5+AI4</f>
        <v>240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528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802">
        <v>44837</v>
      </c>
      <c r="Z10" s="549">
        <f>X10</f>
        <v>10</v>
      </c>
      <c r="AA10" s="331" t="s">
        <v>413</v>
      </c>
      <c r="AB10" s="332">
        <v>115</v>
      </c>
      <c r="AC10" s="105">
        <f>AC9-Z10</f>
        <v>60</v>
      </c>
      <c r="AE10" s="195"/>
      <c r="AF10" s="83">
        <f t="shared" ref="AF10:AF73" si="5">AF9-AG10</f>
        <v>24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240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802">
        <v>44837</v>
      </c>
      <c r="Z11" s="549">
        <f>X11</f>
        <v>10</v>
      </c>
      <c r="AA11" s="331" t="s">
        <v>416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24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240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802">
        <v>44840</v>
      </c>
      <c r="Z12" s="549">
        <f>X12</f>
        <v>10</v>
      </c>
      <c r="AA12" s="331" t="s">
        <v>431</v>
      </c>
      <c r="AB12" s="332">
        <v>115</v>
      </c>
      <c r="AC12" s="105">
        <f t="shared" si="8"/>
        <v>40</v>
      </c>
      <c r="AE12" s="183"/>
      <c r="AF12" s="83">
        <f t="shared" si="5"/>
        <v>24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240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802">
        <v>44842</v>
      </c>
      <c r="Z13" s="549">
        <f>X13</f>
        <v>20</v>
      </c>
      <c r="AA13" s="331" t="s">
        <v>452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24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240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802">
        <v>44846</v>
      </c>
      <c r="Z14" s="549">
        <f t="shared" ref="Z14:Z76" si="10">X14</f>
        <v>10</v>
      </c>
      <c r="AA14" s="331" t="s">
        <v>474</v>
      </c>
      <c r="AB14" s="332">
        <v>115</v>
      </c>
      <c r="AC14" s="105">
        <f t="shared" si="8"/>
        <v>10</v>
      </c>
      <c r="AE14" s="73"/>
      <c r="AF14" s="83">
        <f t="shared" si="5"/>
        <v>24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240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802">
        <v>44848</v>
      </c>
      <c r="Z15" s="549">
        <f t="shared" si="10"/>
        <v>10</v>
      </c>
      <c r="AA15" s="331" t="s">
        <v>495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24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240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802"/>
      <c r="Z16" s="974">
        <f t="shared" si="10"/>
        <v>0</v>
      </c>
      <c r="AA16" s="958"/>
      <c r="AB16" s="959"/>
      <c r="AC16" s="975">
        <f t="shared" si="8"/>
        <v>0</v>
      </c>
      <c r="AF16" s="83">
        <f t="shared" si="5"/>
        <v>24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240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802"/>
      <c r="Z17" s="974">
        <f t="shared" si="10"/>
        <v>0</v>
      </c>
      <c r="AA17" s="958"/>
      <c r="AB17" s="959"/>
      <c r="AC17" s="975">
        <f t="shared" si="8"/>
        <v>0</v>
      </c>
      <c r="AF17" s="83">
        <f t="shared" si="5"/>
        <v>24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240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802"/>
      <c r="Z18" s="974">
        <f t="shared" si="10"/>
        <v>0</v>
      </c>
      <c r="AA18" s="958"/>
      <c r="AB18" s="959"/>
      <c r="AC18" s="975">
        <f t="shared" si="8"/>
        <v>0</v>
      </c>
      <c r="AE18" s="122"/>
      <c r="AF18" s="83">
        <f t="shared" si="5"/>
        <v>24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240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802"/>
      <c r="Z19" s="974">
        <f t="shared" si="10"/>
        <v>0</v>
      </c>
      <c r="AA19" s="958"/>
      <c r="AB19" s="959"/>
      <c r="AC19" s="975">
        <f t="shared" si="8"/>
        <v>0</v>
      </c>
      <c r="AE19" s="122"/>
      <c r="AF19" s="83">
        <f t="shared" si="5"/>
        <v>24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240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24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240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24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240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24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240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24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240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802">
        <v>44837</v>
      </c>
      <c r="F24" s="549">
        <f t="shared" si="1"/>
        <v>10</v>
      </c>
      <c r="G24" s="331" t="s">
        <v>413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24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240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802">
        <v>44837</v>
      </c>
      <c r="F25" s="549">
        <f t="shared" si="1"/>
        <v>10</v>
      </c>
      <c r="G25" s="331" t="s">
        <v>416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24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240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802">
        <v>44840</v>
      </c>
      <c r="F26" s="549">
        <f t="shared" si="1"/>
        <v>50</v>
      </c>
      <c r="G26" s="331" t="s">
        <v>425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24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240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802">
        <v>44840</v>
      </c>
      <c r="F27" s="549">
        <f t="shared" si="1"/>
        <v>10</v>
      </c>
      <c r="G27" s="331" t="s">
        <v>431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24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240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802">
        <v>44842</v>
      </c>
      <c r="F28" s="549">
        <f t="shared" si="1"/>
        <v>20</v>
      </c>
      <c r="G28" s="331" t="s">
        <v>452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24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240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802">
        <v>44848</v>
      </c>
      <c r="F29" s="549">
        <f t="shared" si="1"/>
        <v>10</v>
      </c>
      <c r="G29" s="331" t="s">
        <v>494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24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240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802">
        <v>44848</v>
      </c>
      <c r="F30" s="549">
        <f t="shared" si="1"/>
        <v>10</v>
      </c>
      <c r="G30" s="331" t="s">
        <v>495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24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240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802">
        <v>44851</v>
      </c>
      <c r="F31" s="549">
        <f t="shared" si="1"/>
        <v>10</v>
      </c>
      <c r="G31" s="331" t="s">
        <v>508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24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240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802">
        <v>44854</v>
      </c>
      <c r="F32" s="549">
        <f t="shared" si="1"/>
        <v>10</v>
      </c>
      <c r="G32" s="331" t="s">
        <v>528</v>
      </c>
      <c r="H32" s="332"/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24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240</v>
      </c>
    </row>
    <row r="33" spans="1:39" x14ac:dyDescent="0.25">
      <c r="A33" s="122"/>
      <c r="B33" s="234">
        <f t="shared" si="0"/>
        <v>3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30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24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240</v>
      </c>
    </row>
    <row r="34" spans="1:39" x14ac:dyDescent="0.25">
      <c r="A34" s="122"/>
      <c r="B34" s="234">
        <f t="shared" si="0"/>
        <v>3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30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24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240</v>
      </c>
    </row>
    <row r="35" spans="1:39" x14ac:dyDescent="0.25">
      <c r="A35" s="122"/>
      <c r="B35" s="234">
        <f t="shared" si="0"/>
        <v>3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30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24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240</v>
      </c>
    </row>
    <row r="36" spans="1:39" x14ac:dyDescent="0.25">
      <c r="A36" s="122" t="s">
        <v>22</v>
      </c>
      <c r="B36" s="234">
        <f t="shared" si="0"/>
        <v>3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30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24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240</v>
      </c>
    </row>
    <row r="37" spans="1:39" x14ac:dyDescent="0.25">
      <c r="A37" s="123"/>
      <c r="B37" s="234">
        <f t="shared" si="0"/>
        <v>3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30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24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240</v>
      </c>
    </row>
    <row r="38" spans="1:39" x14ac:dyDescent="0.25">
      <c r="A38" s="122"/>
      <c r="B38" s="234">
        <f t="shared" si="0"/>
        <v>3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30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24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240</v>
      </c>
    </row>
    <row r="39" spans="1:39" x14ac:dyDescent="0.25">
      <c r="A39" s="122"/>
      <c r="B39" s="83">
        <f t="shared" si="0"/>
        <v>3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30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24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240</v>
      </c>
    </row>
    <row r="40" spans="1:39" x14ac:dyDescent="0.25">
      <c r="A40" s="122"/>
      <c r="B40" s="83">
        <f t="shared" si="0"/>
        <v>3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30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24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240</v>
      </c>
    </row>
    <row r="41" spans="1:39" x14ac:dyDescent="0.25">
      <c r="A41" s="122"/>
      <c r="B41" s="83">
        <f t="shared" si="0"/>
        <v>3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30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24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240</v>
      </c>
    </row>
    <row r="42" spans="1:39" x14ac:dyDescent="0.25">
      <c r="A42" s="122"/>
      <c r="B42" s="83">
        <f t="shared" si="0"/>
        <v>3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30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24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240</v>
      </c>
    </row>
    <row r="43" spans="1:39" x14ac:dyDescent="0.25">
      <c r="A43" s="122"/>
      <c r="B43" s="83">
        <f t="shared" si="0"/>
        <v>3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30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24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240</v>
      </c>
    </row>
    <row r="44" spans="1:39" x14ac:dyDescent="0.25">
      <c r="A44" s="122"/>
      <c r="B44" s="83">
        <f t="shared" si="0"/>
        <v>3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30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24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240</v>
      </c>
    </row>
    <row r="45" spans="1:39" x14ac:dyDescent="0.25">
      <c r="A45" s="122"/>
      <c r="B45" s="83">
        <f t="shared" si="0"/>
        <v>3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30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24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240</v>
      </c>
    </row>
    <row r="46" spans="1:39" x14ac:dyDescent="0.25">
      <c r="A46" s="122"/>
      <c r="B46" s="83">
        <f t="shared" si="0"/>
        <v>3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30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24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240</v>
      </c>
    </row>
    <row r="47" spans="1:39" x14ac:dyDescent="0.25">
      <c r="A47" s="122"/>
      <c r="B47" s="83">
        <f t="shared" si="0"/>
        <v>3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30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24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240</v>
      </c>
    </row>
    <row r="48" spans="1:39" x14ac:dyDescent="0.25">
      <c r="A48" s="122"/>
      <c r="B48" s="83">
        <f t="shared" si="0"/>
        <v>3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30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24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240</v>
      </c>
    </row>
    <row r="49" spans="1:39" x14ac:dyDescent="0.25">
      <c r="A49" s="122"/>
      <c r="B49" s="83">
        <f t="shared" si="0"/>
        <v>3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30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24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240</v>
      </c>
    </row>
    <row r="50" spans="1:39" x14ac:dyDescent="0.25">
      <c r="A50" s="122"/>
      <c r="B50" s="83">
        <f t="shared" si="0"/>
        <v>3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30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24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240</v>
      </c>
    </row>
    <row r="51" spans="1:39" x14ac:dyDescent="0.25">
      <c r="A51" s="122"/>
      <c r="B51" s="83">
        <f t="shared" si="0"/>
        <v>3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30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24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240</v>
      </c>
    </row>
    <row r="52" spans="1:39" x14ac:dyDescent="0.25">
      <c r="A52" s="122"/>
      <c r="B52" s="83">
        <f t="shared" si="0"/>
        <v>3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30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24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240</v>
      </c>
    </row>
    <row r="53" spans="1:39" x14ac:dyDescent="0.25">
      <c r="A53" s="122"/>
      <c r="B53" s="83">
        <f t="shared" si="0"/>
        <v>3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30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24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240</v>
      </c>
    </row>
    <row r="54" spans="1:39" x14ac:dyDescent="0.25">
      <c r="A54" s="122"/>
      <c r="B54" s="83">
        <f t="shared" si="0"/>
        <v>3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30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24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240</v>
      </c>
    </row>
    <row r="55" spans="1:39" x14ac:dyDescent="0.25">
      <c r="A55" s="122"/>
      <c r="B55" s="12">
        <f t="shared" si="0"/>
        <v>3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30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24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240</v>
      </c>
    </row>
    <row r="56" spans="1:39" x14ac:dyDescent="0.25">
      <c r="A56" s="122"/>
      <c r="B56" s="12">
        <f t="shared" si="0"/>
        <v>3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30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24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240</v>
      </c>
    </row>
    <row r="57" spans="1:39" x14ac:dyDescent="0.25">
      <c r="A57" s="122"/>
      <c r="B57" s="12">
        <f t="shared" si="0"/>
        <v>3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30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24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240</v>
      </c>
    </row>
    <row r="58" spans="1:39" x14ac:dyDescent="0.25">
      <c r="A58" s="122"/>
      <c r="B58" s="12">
        <f t="shared" si="0"/>
        <v>3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30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24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240</v>
      </c>
    </row>
    <row r="59" spans="1:39" x14ac:dyDescent="0.25">
      <c r="A59" s="122"/>
      <c r="B59" s="12">
        <f t="shared" si="0"/>
        <v>3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30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24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240</v>
      </c>
    </row>
    <row r="60" spans="1:39" x14ac:dyDescent="0.25">
      <c r="A60" s="122"/>
      <c r="B60" s="12">
        <f t="shared" si="0"/>
        <v>3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30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24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240</v>
      </c>
    </row>
    <row r="61" spans="1:39" x14ac:dyDescent="0.25">
      <c r="A61" s="122"/>
      <c r="B61" s="12">
        <f t="shared" si="0"/>
        <v>3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30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24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240</v>
      </c>
    </row>
    <row r="62" spans="1:39" x14ac:dyDescent="0.25">
      <c r="A62" s="122"/>
      <c r="B62" s="12">
        <f t="shared" si="0"/>
        <v>3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30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24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240</v>
      </c>
    </row>
    <row r="63" spans="1:39" x14ac:dyDescent="0.25">
      <c r="A63" s="122"/>
      <c r="B63" s="12">
        <f t="shared" si="0"/>
        <v>3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30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24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240</v>
      </c>
    </row>
    <row r="64" spans="1:39" x14ac:dyDescent="0.25">
      <c r="A64" s="122"/>
      <c r="B64" s="12">
        <f t="shared" si="0"/>
        <v>3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30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24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240</v>
      </c>
    </row>
    <row r="65" spans="1:39" x14ac:dyDescent="0.25">
      <c r="A65" s="122"/>
      <c r="B65" s="12">
        <f t="shared" si="0"/>
        <v>3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30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24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240</v>
      </c>
    </row>
    <row r="66" spans="1:39" x14ac:dyDescent="0.25">
      <c r="A66" s="122"/>
      <c r="B66" s="12">
        <f t="shared" si="0"/>
        <v>3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30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24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240</v>
      </c>
    </row>
    <row r="67" spans="1:39" x14ac:dyDescent="0.25">
      <c r="A67" s="122"/>
      <c r="B67" s="12">
        <f t="shared" si="0"/>
        <v>3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30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24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240</v>
      </c>
    </row>
    <row r="68" spans="1:39" x14ac:dyDescent="0.25">
      <c r="A68" s="122"/>
      <c r="B68" s="12">
        <f t="shared" si="0"/>
        <v>3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30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24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240</v>
      </c>
    </row>
    <row r="69" spans="1:39" x14ac:dyDescent="0.25">
      <c r="A69" s="122"/>
      <c r="B69" s="12">
        <f t="shared" si="0"/>
        <v>3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30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24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240</v>
      </c>
    </row>
    <row r="70" spans="1:39" x14ac:dyDescent="0.25">
      <c r="A70" s="122"/>
      <c r="B70" s="12">
        <f t="shared" si="0"/>
        <v>3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30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24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240</v>
      </c>
    </row>
    <row r="71" spans="1:39" x14ac:dyDescent="0.25">
      <c r="A71" s="122"/>
      <c r="B71" s="12">
        <f t="shared" si="0"/>
        <v>3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30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24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240</v>
      </c>
    </row>
    <row r="72" spans="1:39" x14ac:dyDescent="0.25">
      <c r="A72" s="122"/>
      <c r="B72" s="12">
        <f t="shared" si="0"/>
        <v>3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30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24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240</v>
      </c>
    </row>
    <row r="73" spans="1:39" x14ac:dyDescent="0.25">
      <c r="A73" s="122"/>
      <c r="B73" s="12">
        <f t="shared" si="0"/>
        <v>3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30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24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240</v>
      </c>
    </row>
    <row r="74" spans="1:39" x14ac:dyDescent="0.25">
      <c r="A74" s="122"/>
      <c r="B74" s="12">
        <f t="shared" ref="B74:B75" si="12">B73-C74</f>
        <v>3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30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24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240</v>
      </c>
    </row>
    <row r="75" spans="1:39" x14ac:dyDescent="0.25">
      <c r="A75" s="122"/>
      <c r="B75" s="12">
        <f t="shared" si="12"/>
        <v>3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30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24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240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30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240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10</v>
      </c>
      <c r="AJ78" s="6">
        <f>SUM(AJ9:AJ77)</f>
        <v>10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24</v>
      </c>
    </row>
    <row r="82" spans="3:36" ht="15.75" thickBot="1" x14ac:dyDescent="0.3"/>
    <row r="83" spans="3:36" ht="15.75" thickBot="1" x14ac:dyDescent="0.3">
      <c r="C83" s="1039" t="s">
        <v>11</v>
      </c>
      <c r="D83" s="1040"/>
      <c r="E83" s="57">
        <f>E5+E6-F78+E7</f>
        <v>30</v>
      </c>
      <c r="F83" s="73"/>
      <c r="M83" s="1039" t="s">
        <v>11</v>
      </c>
      <c r="N83" s="1040"/>
      <c r="O83" s="57">
        <f>O5+O6-P78+O7</f>
        <v>150</v>
      </c>
      <c r="P83" s="73"/>
      <c r="W83" s="1039" t="s">
        <v>11</v>
      </c>
      <c r="X83" s="1040"/>
      <c r="Y83" s="57">
        <f>Y5+Y6-Z78+Y7</f>
        <v>-20</v>
      </c>
      <c r="Z83" s="73"/>
      <c r="AG83" s="1039" t="s">
        <v>11</v>
      </c>
      <c r="AH83" s="1040"/>
      <c r="AI83" s="57">
        <f>AI5+AI6-AJ78+AI7</f>
        <v>240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G17" sqref="G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37" t="s">
        <v>272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45" t="s">
        <v>160</v>
      </c>
      <c r="B5" s="105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45"/>
      <c r="B6" s="105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963">
        <v>327</v>
      </c>
      <c r="D11" s="964">
        <v>9207.75</v>
      </c>
      <c r="E11" s="965">
        <v>44823</v>
      </c>
      <c r="F11" s="966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216</v>
      </c>
      <c r="C14" s="15">
        <v>30</v>
      </c>
      <c r="D14" s="816">
        <v>848.5</v>
      </c>
      <c r="E14" s="814">
        <v>44838</v>
      </c>
      <c r="F14" s="549">
        <f t="shared" si="0"/>
        <v>848.5</v>
      </c>
      <c r="G14" s="331" t="s">
        <v>418</v>
      </c>
      <c r="H14" s="332">
        <v>50</v>
      </c>
      <c r="I14" s="603">
        <f t="shared" si="1"/>
        <v>42425</v>
      </c>
    </row>
    <row r="15" spans="1:9" x14ac:dyDescent="0.25">
      <c r="A15" s="753"/>
      <c r="B15" s="577">
        <f t="shared" si="2"/>
        <v>186</v>
      </c>
      <c r="C15" s="15">
        <v>30</v>
      </c>
      <c r="D15" s="816">
        <v>826.2</v>
      </c>
      <c r="E15" s="814">
        <v>44842</v>
      </c>
      <c r="F15" s="549">
        <f t="shared" si="0"/>
        <v>826.2</v>
      </c>
      <c r="G15" s="331" t="s">
        <v>458</v>
      </c>
      <c r="H15" s="332">
        <v>50</v>
      </c>
      <c r="I15" s="603">
        <f t="shared" si="1"/>
        <v>41310</v>
      </c>
    </row>
    <row r="16" spans="1:9" ht="15.75" x14ac:dyDescent="0.25">
      <c r="A16" s="754" t="s">
        <v>161</v>
      </c>
      <c r="B16" s="577">
        <f t="shared" si="2"/>
        <v>156</v>
      </c>
      <c r="C16" s="15">
        <v>30</v>
      </c>
      <c r="D16" s="816">
        <v>844.4</v>
      </c>
      <c r="E16" s="814">
        <v>44849</v>
      </c>
      <c r="F16" s="549">
        <f t="shared" si="0"/>
        <v>844.4</v>
      </c>
      <c r="G16" s="331" t="s">
        <v>501</v>
      </c>
      <c r="H16" s="332">
        <v>50</v>
      </c>
      <c r="I16" s="603">
        <f t="shared" si="1"/>
        <v>42220</v>
      </c>
    </row>
    <row r="17" spans="1:9" ht="15.75" x14ac:dyDescent="0.25">
      <c r="A17" s="754" t="s">
        <v>162</v>
      </c>
      <c r="B17" s="577">
        <f t="shared" si="2"/>
        <v>156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156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156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156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156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156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156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156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156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156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156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156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156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156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496</v>
      </c>
      <c r="D31" s="513">
        <f>SUM(D9:D30)</f>
        <v>13969.449999999999</v>
      </c>
      <c r="E31" s="13"/>
      <c r="F31" s="69">
        <f>SUM(F9:F30)</f>
        <v>13969.449999999999</v>
      </c>
      <c r="G31" s="31"/>
      <c r="H31" s="17"/>
      <c r="I31" s="605">
        <f>SUM(I9:I30)</f>
        <v>670849.25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156</v>
      </c>
      <c r="E33" s="40"/>
      <c r="F33" s="6"/>
      <c r="G33" s="31"/>
      <c r="H33" s="17"/>
    </row>
    <row r="34" spans="3:8" x14ac:dyDescent="0.25">
      <c r="C34" s="1080" t="s">
        <v>19</v>
      </c>
      <c r="D34" s="1081"/>
      <c r="E34" s="39">
        <f>E4+E5+E6+E7-F31</f>
        <v>4431.2000000000025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workbookViewId="0">
      <pane ySplit="9" topLeftCell="A64" activePane="bottomLeft" state="frozen"/>
      <selection pane="bottomLeft" activeCell="G72" sqref="G7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90" t="s">
        <v>273</v>
      </c>
      <c r="B1" s="1090"/>
      <c r="C1" s="1090"/>
      <c r="D1" s="1090"/>
      <c r="E1" s="1090"/>
      <c r="F1" s="1090"/>
      <c r="G1" s="1090"/>
      <c r="H1" s="1090"/>
      <c r="I1" s="1090"/>
      <c r="J1" s="99">
        <v>1</v>
      </c>
      <c r="L1" s="1090" t="str">
        <f>A1</f>
        <v>INVENTARIO      DEL MES DE   SEPTIEMBRE       2022</v>
      </c>
      <c r="M1" s="1090"/>
      <c r="N1" s="1090"/>
      <c r="O1" s="1090"/>
      <c r="P1" s="1090"/>
      <c r="Q1" s="1090"/>
      <c r="R1" s="1090"/>
      <c r="S1" s="1090"/>
      <c r="T1" s="109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91" t="s">
        <v>52</v>
      </c>
      <c r="B5" s="1092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4808.82</v>
      </c>
      <c r="H5" s="58">
        <f>E4+E5+E6-G5+E7</f>
        <v>2208.0300000000007</v>
      </c>
      <c r="L5" s="1091" t="s">
        <v>52</v>
      </c>
      <c r="M5" s="1092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091"/>
      <c r="B6" s="1050"/>
      <c r="C6" s="237">
        <v>85</v>
      </c>
      <c r="D6" s="337">
        <v>44764</v>
      </c>
      <c r="E6" s="256">
        <v>4005.63</v>
      </c>
      <c r="F6" s="242">
        <v>160</v>
      </c>
      <c r="G6" s="73"/>
      <c r="L6" s="1091"/>
      <c r="M6" s="1050"/>
      <c r="N6" s="237"/>
      <c r="O6" s="337"/>
      <c r="P6" s="256"/>
      <c r="Q6" s="242"/>
      <c r="R6" s="73"/>
    </row>
    <row r="7" spans="1:21" ht="15.75" customHeight="1" thickBot="1" x14ac:dyDescent="0.35">
      <c r="A7" s="1091"/>
      <c r="B7" s="1050"/>
      <c r="C7" s="237"/>
      <c r="D7" s="337"/>
      <c r="E7" s="256"/>
      <c r="F7" s="242"/>
      <c r="G7" s="73"/>
      <c r="I7" s="378"/>
      <c r="J7" s="378"/>
      <c r="L7" s="1091"/>
      <c r="M7" s="105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83" t="s">
        <v>47</v>
      </c>
      <c r="J8" s="1088" t="s">
        <v>4</v>
      </c>
      <c r="M8" s="421"/>
      <c r="N8" s="237"/>
      <c r="O8" s="337"/>
      <c r="P8" s="240"/>
      <c r="Q8" s="241"/>
      <c r="R8" s="73"/>
      <c r="T8" s="1083" t="s">
        <v>47</v>
      </c>
      <c r="U8" s="108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4"/>
      <c r="J9" s="108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84"/>
      <c r="U9" s="1089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21">
        <v>50.31</v>
      </c>
      <c r="E63" s="590">
        <v>44838</v>
      </c>
      <c r="F63" s="549">
        <f t="shared" si="4"/>
        <v>50.31</v>
      </c>
      <c r="G63" s="331" t="s">
        <v>422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21">
        <v>58.25</v>
      </c>
      <c r="E64" s="590">
        <v>44840</v>
      </c>
      <c r="F64" s="549">
        <f t="shared" si="4"/>
        <v>58.25</v>
      </c>
      <c r="G64" s="331" t="s">
        <v>425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21">
        <v>220.52</v>
      </c>
      <c r="E65" s="590">
        <v>44840</v>
      </c>
      <c r="F65" s="549">
        <f t="shared" si="4"/>
        <v>220.52</v>
      </c>
      <c r="G65" s="331" t="s">
        <v>431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21">
        <v>23.95</v>
      </c>
      <c r="E66" s="590">
        <v>44841</v>
      </c>
      <c r="F66" s="549">
        <f t="shared" si="4"/>
        <v>23.95</v>
      </c>
      <c r="G66" s="331" t="s">
        <v>444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21">
        <v>149.43</v>
      </c>
      <c r="E67" s="590">
        <v>44842</v>
      </c>
      <c r="F67" s="549">
        <f t="shared" si="4"/>
        <v>149.43</v>
      </c>
      <c r="G67" s="331" t="s">
        <v>445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21">
        <v>113.59</v>
      </c>
      <c r="E68" s="590">
        <v>44845</v>
      </c>
      <c r="F68" s="549">
        <f t="shared" si="4"/>
        <v>113.59</v>
      </c>
      <c r="G68" s="331" t="s">
        <v>468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21">
        <v>111.26</v>
      </c>
      <c r="E69" s="590">
        <v>44853</v>
      </c>
      <c r="F69" s="549">
        <f t="shared" si="4"/>
        <v>111.26</v>
      </c>
      <c r="G69" s="331" t="s">
        <v>517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21">
        <v>123.65</v>
      </c>
      <c r="E70" s="590">
        <v>44853</v>
      </c>
      <c r="F70" s="549">
        <f t="shared" si="4"/>
        <v>123.65</v>
      </c>
      <c r="G70" s="331" t="s">
        <v>518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21">
        <v>102.95</v>
      </c>
      <c r="E71" s="590">
        <v>44854</v>
      </c>
      <c r="F71" s="549">
        <f t="shared" si="4"/>
        <v>102.95</v>
      </c>
      <c r="G71" s="331" t="s">
        <v>529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/>
      <c r="D72" s="821"/>
      <c r="E72" s="590"/>
      <c r="F72" s="549">
        <f t="shared" si="4"/>
        <v>0</v>
      </c>
      <c r="G72" s="331"/>
      <c r="H72" s="332"/>
      <c r="I72" s="209">
        <f t="shared" si="8"/>
        <v>2208.0300000000011</v>
      </c>
      <c r="J72" s="127">
        <f t="shared" si="9"/>
        <v>91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/>
      <c r="D73" s="821"/>
      <c r="E73" s="590"/>
      <c r="F73" s="549">
        <f t="shared" si="4"/>
        <v>0</v>
      </c>
      <c r="G73" s="331"/>
      <c r="H73" s="332"/>
      <c r="I73" s="209">
        <f t="shared" si="8"/>
        <v>2208.0300000000011</v>
      </c>
      <c r="J73" s="127">
        <f t="shared" si="9"/>
        <v>91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/>
      <c r="D74" s="821"/>
      <c r="E74" s="590"/>
      <c r="F74" s="549">
        <f t="shared" si="4"/>
        <v>0</v>
      </c>
      <c r="G74" s="331"/>
      <c r="H74" s="332"/>
      <c r="I74" s="209">
        <f t="shared" si="8"/>
        <v>2208.0300000000011</v>
      </c>
      <c r="J74" s="127">
        <f t="shared" si="9"/>
        <v>91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/>
      <c r="D75" s="821"/>
      <c r="E75" s="590"/>
      <c r="F75" s="549">
        <f t="shared" si="4"/>
        <v>0</v>
      </c>
      <c r="G75" s="331"/>
      <c r="H75" s="332"/>
      <c r="I75" s="209">
        <f t="shared" si="8"/>
        <v>2208.0300000000011</v>
      </c>
      <c r="J75" s="127">
        <f t="shared" si="9"/>
        <v>91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21"/>
      <c r="E76" s="590"/>
      <c r="F76" s="549">
        <f t="shared" si="4"/>
        <v>0</v>
      </c>
      <c r="G76" s="331"/>
      <c r="H76" s="332"/>
      <c r="I76" s="209">
        <f t="shared" si="8"/>
        <v>2208.0300000000011</v>
      </c>
      <c r="J76" s="127">
        <f t="shared" si="9"/>
        <v>91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21"/>
      <c r="E77" s="590"/>
      <c r="F77" s="549">
        <f t="shared" si="4"/>
        <v>0</v>
      </c>
      <c r="G77" s="331"/>
      <c r="H77" s="332"/>
      <c r="I77" s="209">
        <f t="shared" si="8"/>
        <v>2208.0300000000011</v>
      </c>
      <c r="J77" s="127">
        <f t="shared" si="9"/>
        <v>91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21"/>
      <c r="E78" s="590"/>
      <c r="F78" s="549">
        <f t="shared" si="4"/>
        <v>0</v>
      </c>
      <c r="G78" s="331"/>
      <c r="H78" s="332"/>
      <c r="I78" s="209">
        <f t="shared" si="8"/>
        <v>2208.0300000000011</v>
      </c>
      <c r="J78" s="127">
        <f t="shared" si="9"/>
        <v>91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21"/>
      <c r="E79" s="590"/>
      <c r="F79" s="549">
        <f t="shared" si="4"/>
        <v>0</v>
      </c>
      <c r="G79" s="331"/>
      <c r="H79" s="332"/>
      <c r="I79" s="209">
        <f t="shared" si="8"/>
        <v>2208.0300000000011</v>
      </c>
      <c r="J79" s="127">
        <f t="shared" si="9"/>
        <v>91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21"/>
      <c r="E80" s="590"/>
      <c r="F80" s="549">
        <f t="shared" si="4"/>
        <v>0</v>
      </c>
      <c r="G80" s="331"/>
      <c r="H80" s="332"/>
      <c r="I80" s="209">
        <f t="shared" si="8"/>
        <v>2208.0300000000011</v>
      </c>
      <c r="J80" s="127">
        <f t="shared" si="9"/>
        <v>91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21"/>
      <c r="E81" s="590"/>
      <c r="F81" s="549">
        <f t="shared" si="4"/>
        <v>0</v>
      </c>
      <c r="G81" s="331"/>
      <c r="H81" s="332"/>
      <c r="I81" s="209">
        <f t="shared" si="8"/>
        <v>2208.0300000000011</v>
      </c>
      <c r="J81" s="127">
        <f t="shared" si="9"/>
        <v>91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21"/>
      <c r="E82" s="590"/>
      <c r="F82" s="549">
        <f t="shared" si="4"/>
        <v>0</v>
      </c>
      <c r="G82" s="331"/>
      <c r="H82" s="332"/>
      <c r="I82" s="209">
        <f t="shared" si="8"/>
        <v>2208.0300000000011</v>
      </c>
      <c r="J82" s="127">
        <f t="shared" si="9"/>
        <v>91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21"/>
      <c r="E83" s="590"/>
      <c r="F83" s="549">
        <f t="shared" si="4"/>
        <v>0</v>
      </c>
      <c r="G83" s="331"/>
      <c r="H83" s="332"/>
      <c r="I83" s="209">
        <f t="shared" si="8"/>
        <v>2208.0300000000011</v>
      </c>
      <c r="J83" s="127">
        <f t="shared" si="9"/>
        <v>91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21"/>
      <c r="E84" s="590"/>
      <c r="F84" s="549">
        <f t="shared" si="4"/>
        <v>0</v>
      </c>
      <c r="G84" s="331"/>
      <c r="H84" s="332"/>
      <c r="I84" s="209">
        <f t="shared" si="8"/>
        <v>2208.0300000000011</v>
      </c>
      <c r="J84" s="127">
        <f t="shared" si="9"/>
        <v>91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21"/>
      <c r="E85" s="590"/>
      <c r="F85" s="549">
        <f t="shared" si="4"/>
        <v>0</v>
      </c>
      <c r="G85" s="331"/>
      <c r="H85" s="332"/>
      <c r="I85" s="209">
        <f t="shared" si="8"/>
        <v>2208.0300000000011</v>
      </c>
      <c r="J85" s="127">
        <f t="shared" si="9"/>
        <v>91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21"/>
      <c r="E86" s="590"/>
      <c r="F86" s="549">
        <f t="shared" si="4"/>
        <v>0</v>
      </c>
      <c r="G86" s="331"/>
      <c r="H86" s="332"/>
      <c r="I86" s="209">
        <f t="shared" si="8"/>
        <v>2208.0300000000011</v>
      </c>
      <c r="J86" s="127">
        <f t="shared" si="9"/>
        <v>91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21"/>
      <c r="E87" s="590"/>
      <c r="F87" s="549">
        <f t="shared" si="4"/>
        <v>0</v>
      </c>
      <c r="G87" s="331"/>
      <c r="H87" s="332"/>
      <c r="I87" s="209">
        <f t="shared" si="8"/>
        <v>2208.0300000000011</v>
      </c>
      <c r="J87" s="127">
        <f t="shared" si="9"/>
        <v>91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21"/>
      <c r="E88" s="590"/>
      <c r="F88" s="549">
        <f t="shared" si="4"/>
        <v>0</v>
      </c>
      <c r="G88" s="331"/>
      <c r="H88" s="332"/>
      <c r="I88" s="209">
        <f t="shared" si="8"/>
        <v>2208.0300000000011</v>
      </c>
      <c r="J88" s="127">
        <f t="shared" si="9"/>
        <v>91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21"/>
      <c r="E89" s="590"/>
      <c r="F89" s="549">
        <f t="shared" si="4"/>
        <v>0</v>
      </c>
      <c r="G89" s="331"/>
      <c r="H89" s="332"/>
      <c r="I89" s="209">
        <f t="shared" si="8"/>
        <v>2208.0300000000011</v>
      </c>
      <c r="J89" s="127">
        <f t="shared" si="9"/>
        <v>91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21"/>
      <c r="E90" s="590"/>
      <c r="F90" s="549">
        <f t="shared" si="4"/>
        <v>0</v>
      </c>
      <c r="G90" s="331"/>
      <c r="H90" s="332"/>
      <c r="I90" s="209">
        <f t="shared" si="8"/>
        <v>2208.0300000000011</v>
      </c>
      <c r="J90" s="127">
        <f t="shared" si="9"/>
        <v>91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21">
        <v>0</v>
      </c>
      <c r="E91" s="590"/>
      <c r="F91" s="549">
        <f t="shared" si="4"/>
        <v>0</v>
      </c>
      <c r="G91" s="331"/>
      <c r="H91" s="332"/>
      <c r="I91" s="209">
        <f t="shared" si="8"/>
        <v>2208.0300000000011</v>
      </c>
      <c r="J91" s="127">
        <f t="shared" si="9"/>
        <v>91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5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184</v>
      </c>
      <c r="D93" s="151">
        <v>0</v>
      </c>
      <c r="E93" s="38"/>
      <c r="F93" s="5">
        <f>SUM(F10:F92)</f>
        <v>4808.82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91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074" t="s">
        <v>11</v>
      </c>
      <c r="D96" s="1075"/>
      <c r="E96" s="145">
        <f>E5+E4+E6+-F93+E7</f>
        <v>2208.0300000000007</v>
      </c>
      <c r="F96" s="5"/>
      <c r="L96" s="47"/>
      <c r="N96" s="1074" t="s">
        <v>11</v>
      </c>
      <c r="O96" s="1075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1"/>
      <c r="B1" s="1041"/>
      <c r="C1" s="1041"/>
      <c r="D1" s="1041"/>
      <c r="E1" s="1041"/>
      <c r="F1" s="1041"/>
      <c r="G1" s="10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95"/>
      <c r="B5" s="1097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96"/>
      <c r="B6" s="1098"/>
      <c r="C6" s="226"/>
      <c r="D6" s="118"/>
      <c r="E6" s="503"/>
      <c r="F6" s="241"/>
      <c r="I6" s="1099" t="s">
        <v>3</v>
      </c>
      <c r="J6" s="10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0"/>
      <c r="J7" s="1094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74" t="s">
        <v>11</v>
      </c>
      <c r="D100" s="107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1"/>
      <c r="B1" s="1041"/>
      <c r="C1" s="1041"/>
      <c r="D1" s="1041"/>
      <c r="E1" s="1041"/>
      <c r="F1" s="1041"/>
      <c r="G1" s="10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70"/>
      <c r="B5" s="1101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71"/>
      <c r="B6" s="1102"/>
      <c r="C6" s="226"/>
      <c r="D6" s="118"/>
      <c r="E6" s="144"/>
      <c r="F6" s="242"/>
      <c r="I6" s="1099" t="s">
        <v>3</v>
      </c>
      <c r="J6" s="10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0"/>
      <c r="J7" s="1094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74" t="s">
        <v>11</v>
      </c>
      <c r="D33" s="107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90" t="s">
        <v>272</v>
      </c>
      <c r="B1" s="1090"/>
      <c r="C1" s="1090"/>
      <c r="D1" s="1090"/>
      <c r="E1" s="1090"/>
      <c r="F1" s="1090"/>
      <c r="G1" s="1090"/>
      <c r="H1" s="1090"/>
      <c r="I1" s="1090"/>
      <c r="J1" s="99">
        <v>1</v>
      </c>
      <c r="L1" s="1103" t="s">
        <v>261</v>
      </c>
      <c r="M1" s="1103"/>
      <c r="N1" s="1103"/>
      <c r="O1" s="1103"/>
      <c r="P1" s="1103"/>
      <c r="Q1" s="1103"/>
      <c r="R1" s="1103"/>
      <c r="S1" s="1103"/>
      <c r="T1" s="110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04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04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105"/>
      <c r="C6" s="237"/>
      <c r="D6" s="337"/>
      <c r="E6" s="256"/>
      <c r="F6" s="242"/>
      <c r="G6" s="73"/>
      <c r="L6" s="600" t="s">
        <v>288</v>
      </c>
      <c r="M6" s="1105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05"/>
      <c r="C7" s="237"/>
      <c r="D7" s="337"/>
      <c r="E7" s="256"/>
      <c r="F7" s="242"/>
      <c r="G7" s="73"/>
      <c r="I7" s="378"/>
      <c r="J7" s="378"/>
      <c r="L7" s="600"/>
      <c r="M7" s="110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83" t="s">
        <v>47</v>
      </c>
      <c r="J8" s="1088" t="s">
        <v>4</v>
      </c>
      <c r="M8" s="421"/>
      <c r="N8" s="237"/>
      <c r="O8" s="118"/>
      <c r="P8" s="335"/>
      <c r="Q8" s="336"/>
      <c r="R8" s="73"/>
      <c r="T8" s="1083" t="s">
        <v>47</v>
      </c>
      <c r="U8" s="108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4"/>
      <c r="J9" s="108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84"/>
      <c r="U9" s="1089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21">
        <f t="shared" si="2"/>
        <v>30</v>
      </c>
      <c r="E13" s="822">
        <v>44837</v>
      </c>
      <c r="F13" s="549">
        <f t="shared" si="0"/>
        <v>30</v>
      </c>
      <c r="G13" s="331" t="s">
        <v>412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21">
        <f t="shared" si="2"/>
        <v>15</v>
      </c>
      <c r="E14" s="822">
        <v>44837</v>
      </c>
      <c r="F14" s="549">
        <f t="shared" si="0"/>
        <v>15</v>
      </c>
      <c r="G14" s="331" t="s">
        <v>413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21">
        <f t="shared" si="2"/>
        <v>90</v>
      </c>
      <c r="E15" s="822">
        <v>44839</v>
      </c>
      <c r="F15" s="549">
        <f t="shared" si="0"/>
        <v>90</v>
      </c>
      <c r="G15" s="331" t="s">
        <v>423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21">
        <f t="shared" si="2"/>
        <v>15</v>
      </c>
      <c r="E16" s="811">
        <v>44841</v>
      </c>
      <c r="F16" s="549">
        <f t="shared" si="0"/>
        <v>15</v>
      </c>
      <c r="G16" s="331" t="s">
        <v>439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21">
        <f t="shared" si="2"/>
        <v>75</v>
      </c>
      <c r="E17" s="822">
        <v>44841</v>
      </c>
      <c r="F17" s="549">
        <f t="shared" si="0"/>
        <v>75</v>
      </c>
      <c r="G17" s="331" t="s">
        <v>441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21">
        <f t="shared" si="2"/>
        <v>15</v>
      </c>
      <c r="E18" s="822">
        <v>44844</v>
      </c>
      <c r="F18" s="549">
        <f t="shared" si="0"/>
        <v>15</v>
      </c>
      <c r="G18" s="823" t="s">
        <v>461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21">
        <f t="shared" si="2"/>
        <v>15</v>
      </c>
      <c r="E19" s="822">
        <v>44847</v>
      </c>
      <c r="F19" s="549">
        <f t="shared" si="0"/>
        <v>15</v>
      </c>
      <c r="G19" s="331" t="s">
        <v>484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21">
        <f t="shared" si="2"/>
        <v>15</v>
      </c>
      <c r="E20" s="811">
        <v>44847</v>
      </c>
      <c r="F20" s="549">
        <f t="shared" si="0"/>
        <v>15</v>
      </c>
      <c r="G20" s="331" t="s">
        <v>485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21">
        <f t="shared" si="2"/>
        <v>120</v>
      </c>
      <c r="E21" s="811">
        <v>44852</v>
      </c>
      <c r="F21" s="549">
        <f t="shared" si="0"/>
        <v>120</v>
      </c>
      <c r="G21" s="331" t="s">
        <v>512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21">
        <f t="shared" si="2"/>
        <v>15</v>
      </c>
      <c r="E22" s="590">
        <v>44853</v>
      </c>
      <c r="F22" s="549">
        <f t="shared" si="0"/>
        <v>15</v>
      </c>
      <c r="G22" s="331" t="s">
        <v>517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420</v>
      </c>
      <c r="J23" s="127">
        <f t="shared" si="4"/>
        <v>28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420</v>
      </c>
      <c r="J24" s="127">
        <f t="shared" si="4"/>
        <v>28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420</v>
      </c>
      <c r="J25" s="127">
        <f t="shared" si="4"/>
        <v>28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420</v>
      </c>
      <c r="J26" s="127">
        <f t="shared" si="4"/>
        <v>28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420</v>
      </c>
      <c r="J27" s="127">
        <f t="shared" si="4"/>
        <v>28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420</v>
      </c>
      <c r="J28" s="127">
        <f t="shared" si="4"/>
        <v>28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420</v>
      </c>
      <c r="J29" s="127">
        <f t="shared" si="4"/>
        <v>28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420</v>
      </c>
      <c r="J30" s="127">
        <f t="shared" si="4"/>
        <v>28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420</v>
      </c>
      <c r="J31" s="127">
        <f t="shared" si="4"/>
        <v>28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420</v>
      </c>
      <c r="J32" s="127">
        <f t="shared" si="4"/>
        <v>28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420</v>
      </c>
      <c r="J33" s="127">
        <f t="shared" si="4"/>
        <v>28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420</v>
      </c>
      <c r="J34" s="127">
        <f t="shared" si="4"/>
        <v>28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420</v>
      </c>
      <c r="J35" s="127">
        <f t="shared" si="4"/>
        <v>28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420</v>
      </c>
      <c r="J36" s="127">
        <f t="shared" si="4"/>
        <v>28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420</v>
      </c>
      <c r="J37" s="127">
        <f t="shared" si="4"/>
        <v>28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39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28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74" t="s">
        <v>11</v>
      </c>
      <c r="D42" s="1075"/>
      <c r="E42" s="145">
        <f>E5+E4+E6+-F39</f>
        <v>1005</v>
      </c>
      <c r="F42" s="5"/>
      <c r="L42" s="47"/>
      <c r="N42" s="1074" t="s">
        <v>11</v>
      </c>
      <c r="O42" s="1075"/>
      <c r="P42" s="145">
        <f>P5+P4+P6+-Q39</f>
        <v>2000</v>
      </c>
      <c r="Q42" s="5"/>
    </row>
  </sheetData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8" t="s">
        <v>96</v>
      </c>
      <c r="C5" s="400"/>
      <c r="D5" s="134"/>
      <c r="E5" s="209"/>
      <c r="F5" s="62"/>
      <c r="G5" s="5"/>
    </row>
    <row r="6" spans="1:9" x14ac:dyDescent="0.25">
      <c r="A6" s="413"/>
      <c r="B6" s="103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9" t="s">
        <v>11</v>
      </c>
      <c r="D83" s="104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6" t="s">
        <v>261</v>
      </c>
      <c r="B1" s="1026"/>
      <c r="C1" s="1026"/>
      <c r="D1" s="1026"/>
      <c r="E1" s="1026"/>
      <c r="F1" s="1026"/>
      <c r="G1" s="102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53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287</v>
      </c>
      <c r="B6" s="1106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440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31" t="s">
        <v>21</v>
      </c>
      <c r="E75" s="103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45"/>
      <c r="B5" s="110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45"/>
      <c r="B6" s="1107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39" t="s">
        <v>11</v>
      </c>
      <c r="D60" s="104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6"/>
      <c r="B1" s="1026"/>
      <c r="C1" s="1026"/>
      <c r="D1" s="1026"/>
      <c r="E1" s="1026"/>
      <c r="F1" s="1026"/>
      <c r="G1" s="102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5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53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53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31" t="s">
        <v>21</v>
      </c>
      <c r="E41" s="103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Q17" sqref="Q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37" t="s">
        <v>274</v>
      </c>
      <c r="B1" s="1037"/>
      <c r="C1" s="1037"/>
      <c r="D1" s="1037"/>
      <c r="E1" s="1037"/>
      <c r="F1" s="1037"/>
      <c r="G1" s="1037"/>
      <c r="H1" s="11">
        <v>1</v>
      </c>
      <c r="K1" s="1041" t="s">
        <v>274</v>
      </c>
      <c r="L1" s="1041"/>
      <c r="M1" s="1041"/>
      <c r="N1" s="1041"/>
      <c r="O1" s="1041"/>
      <c r="P1" s="1041"/>
      <c r="Q1" s="104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08" t="s">
        <v>52</v>
      </c>
      <c r="B4" s="495"/>
      <c r="C4" s="128"/>
      <c r="D4" s="135"/>
      <c r="E4" s="86">
        <v>58.59</v>
      </c>
      <c r="F4" s="73">
        <v>1</v>
      </c>
      <c r="G4" s="239"/>
      <c r="K4" s="1108" t="s">
        <v>52</v>
      </c>
      <c r="L4" s="495"/>
      <c r="M4" s="128"/>
      <c r="N4" s="135"/>
      <c r="O4" s="86">
        <v>142.04</v>
      </c>
      <c r="P4" s="73">
        <v>4</v>
      </c>
      <c r="Q4" s="916"/>
    </row>
    <row r="5" spans="1:19" ht="15" customHeight="1" x14ac:dyDescent="0.25">
      <c r="A5" s="1109"/>
      <c r="B5" s="1111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09"/>
      <c r="L5" s="1111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749.55</v>
      </c>
      <c r="R5" s="138">
        <f>O5-Q5+O4+O6+O7+O8</f>
        <v>2430.6400000000003</v>
      </c>
    </row>
    <row r="6" spans="1:19" ht="16.5" thickBot="1" x14ac:dyDescent="0.3">
      <c r="A6" s="1110"/>
      <c r="B6" s="1112"/>
      <c r="C6" s="564">
        <v>32</v>
      </c>
      <c r="D6" s="135">
        <v>44819</v>
      </c>
      <c r="E6" s="86">
        <v>1008.28</v>
      </c>
      <c r="F6" s="73">
        <v>35</v>
      </c>
      <c r="G6" s="73"/>
      <c r="K6" s="1110"/>
      <c r="L6" s="1112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972" t="s">
        <v>480</v>
      </c>
      <c r="L10" s="236">
        <f>P4+P5+P6+P7+P8-M10</f>
        <v>99</v>
      </c>
      <c r="M10" s="973">
        <v>5</v>
      </c>
      <c r="N10" s="339">
        <v>142.13999999999999</v>
      </c>
      <c r="O10" s="748">
        <v>44844</v>
      </c>
      <c r="P10" s="339">
        <f t="shared" ref="P10:P57" si="1">N10</f>
        <v>142.13999999999999</v>
      </c>
      <c r="Q10" s="719" t="s">
        <v>462</v>
      </c>
      <c r="R10" s="747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8">
        <v>44847</v>
      </c>
      <c r="P11" s="339">
        <f t="shared" si="1"/>
        <v>29.16</v>
      </c>
      <c r="Q11" s="719" t="s">
        <v>479</v>
      </c>
      <c r="R11" s="747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8">
        <v>44847</v>
      </c>
      <c r="P12" s="339">
        <f t="shared" si="1"/>
        <v>273.66000000000003</v>
      </c>
      <c r="Q12" s="719" t="s">
        <v>486</v>
      </c>
      <c r="R12" s="747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8">
        <v>44849</v>
      </c>
      <c r="P13" s="339">
        <f t="shared" si="1"/>
        <v>155.86000000000001</v>
      </c>
      <c r="Q13" s="719" t="s">
        <v>500</v>
      </c>
      <c r="R13" s="747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8">
        <v>44853</v>
      </c>
      <c r="P14" s="339">
        <f t="shared" si="1"/>
        <v>29.67</v>
      </c>
      <c r="Q14" s="719" t="s">
        <v>517</v>
      </c>
      <c r="R14" s="747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8">
        <v>44854</v>
      </c>
      <c r="P15" s="339">
        <f t="shared" si="1"/>
        <v>28.68</v>
      </c>
      <c r="Q15" s="719" t="s">
        <v>525</v>
      </c>
      <c r="R15" s="747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8">
        <v>44854</v>
      </c>
      <c r="P16" s="339">
        <f t="shared" si="1"/>
        <v>90.38</v>
      </c>
      <c r="Q16" s="719" t="s">
        <v>529</v>
      </c>
      <c r="R16" s="747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78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2430.6400000000003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78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2430.6400000000003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78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2430.6400000000003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78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2430.6400000000003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423</v>
      </c>
      <c r="H21" s="594">
        <v>42</v>
      </c>
      <c r="I21" s="132">
        <f t="shared" si="6"/>
        <v>257.30999999999995</v>
      </c>
      <c r="L21" s="354">
        <f t="shared" si="4"/>
        <v>78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2430.6400000000003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428</v>
      </c>
      <c r="H22" s="594">
        <v>42</v>
      </c>
      <c r="I22" s="132">
        <f t="shared" si="6"/>
        <v>229.63999999999993</v>
      </c>
      <c r="L22" s="354">
        <f t="shared" si="4"/>
        <v>78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2430.6400000000003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445</v>
      </c>
      <c r="H23" s="594">
        <v>42</v>
      </c>
      <c r="I23" s="132">
        <f t="shared" si="6"/>
        <v>171.37999999999994</v>
      </c>
      <c r="L23" s="354">
        <f t="shared" si="4"/>
        <v>78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2430.6400000000003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460</v>
      </c>
      <c r="H24" s="594">
        <v>42</v>
      </c>
      <c r="I24" s="132">
        <f t="shared" si="6"/>
        <v>142.03999999999994</v>
      </c>
      <c r="L24" s="354">
        <f t="shared" si="4"/>
        <v>78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2430.6400000000003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67"/>
      <c r="H25" s="968"/>
      <c r="I25" s="969">
        <f t="shared" si="6"/>
        <v>142.03999999999994</v>
      </c>
      <c r="L25" s="354">
        <f t="shared" si="4"/>
        <v>78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2430.6400000000003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67"/>
      <c r="H26" s="968"/>
      <c r="I26" s="969">
        <f t="shared" si="6"/>
        <v>142.03999999999994</v>
      </c>
      <c r="L26" s="354">
        <f t="shared" si="4"/>
        <v>78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2430.6400000000003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67"/>
      <c r="H27" s="968"/>
      <c r="I27" s="969">
        <f t="shared" si="6"/>
        <v>0</v>
      </c>
      <c r="L27" s="354">
        <f t="shared" si="4"/>
        <v>78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2430.6400000000003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67"/>
      <c r="H28" s="968"/>
      <c r="I28" s="969">
        <f t="shared" si="6"/>
        <v>0</v>
      </c>
      <c r="L28" s="354">
        <f t="shared" si="4"/>
        <v>78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2430.6400000000003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78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2430.6400000000003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78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2430.6400000000003</v>
      </c>
    </row>
    <row r="31" spans="2:19" x14ac:dyDescent="0.25">
      <c r="B31" s="354">
        <f t="shared" si="2"/>
        <v>0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78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2430.6400000000003</v>
      </c>
    </row>
    <row r="32" spans="2:19" x14ac:dyDescent="0.25">
      <c r="B32" s="354">
        <f t="shared" si="2"/>
        <v>0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78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2430.6400000000003</v>
      </c>
    </row>
    <row r="33" spans="1:19" x14ac:dyDescent="0.25">
      <c r="B33" s="354">
        <f t="shared" si="2"/>
        <v>0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78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2430.6400000000003</v>
      </c>
    </row>
    <row r="34" spans="1:19" x14ac:dyDescent="0.25">
      <c r="B34" s="354">
        <f t="shared" si="2"/>
        <v>0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78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2430.6400000000003</v>
      </c>
    </row>
    <row r="35" spans="1:19" x14ac:dyDescent="0.25">
      <c r="B35" s="354">
        <f t="shared" si="2"/>
        <v>0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78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2430.6400000000003</v>
      </c>
    </row>
    <row r="36" spans="1:19" x14ac:dyDescent="0.25">
      <c r="B36" s="354">
        <f t="shared" si="2"/>
        <v>0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78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2430.6400000000003</v>
      </c>
    </row>
    <row r="37" spans="1:19" x14ac:dyDescent="0.25">
      <c r="B37" s="354">
        <f t="shared" si="2"/>
        <v>0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78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2430.6400000000003</v>
      </c>
    </row>
    <row r="38" spans="1:19" x14ac:dyDescent="0.25">
      <c r="B38" s="354">
        <f t="shared" si="2"/>
        <v>0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78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2430.6400000000003</v>
      </c>
    </row>
    <row r="39" spans="1:19" x14ac:dyDescent="0.25">
      <c r="B39" s="354">
        <f t="shared" si="2"/>
        <v>0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78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2430.6400000000003</v>
      </c>
    </row>
    <row r="40" spans="1:19" x14ac:dyDescent="0.25">
      <c r="A40" s="75"/>
      <c r="B40" s="354">
        <f t="shared" si="2"/>
        <v>0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78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2430.6400000000003</v>
      </c>
    </row>
    <row r="41" spans="1:19" x14ac:dyDescent="0.25">
      <c r="B41" s="354">
        <f t="shared" si="2"/>
        <v>0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78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2430.6400000000003</v>
      </c>
    </row>
    <row r="42" spans="1:19" x14ac:dyDescent="0.25">
      <c r="B42" s="354">
        <f t="shared" si="2"/>
        <v>0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78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2430.6400000000003</v>
      </c>
    </row>
    <row r="43" spans="1:19" x14ac:dyDescent="0.25">
      <c r="B43" s="354">
        <f t="shared" si="2"/>
        <v>0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78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2430.6400000000003</v>
      </c>
    </row>
    <row r="44" spans="1:19" x14ac:dyDescent="0.25">
      <c r="B44" s="354">
        <f t="shared" si="2"/>
        <v>0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78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2430.6400000000003</v>
      </c>
    </row>
    <row r="45" spans="1:19" x14ac:dyDescent="0.25">
      <c r="B45" s="354">
        <f t="shared" si="2"/>
        <v>0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78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2430.6400000000003</v>
      </c>
    </row>
    <row r="46" spans="1:19" x14ac:dyDescent="0.25">
      <c r="B46" s="354">
        <f t="shared" si="2"/>
        <v>0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78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2430.6400000000003</v>
      </c>
    </row>
    <row r="47" spans="1:19" x14ac:dyDescent="0.25">
      <c r="B47" s="354">
        <f t="shared" si="2"/>
        <v>0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78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2430.6400000000003</v>
      </c>
    </row>
    <row r="48" spans="1:19" x14ac:dyDescent="0.25">
      <c r="B48" s="354">
        <f t="shared" si="2"/>
        <v>0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78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2430.6400000000003</v>
      </c>
    </row>
    <row r="49" spans="1:19" x14ac:dyDescent="0.25">
      <c r="B49" s="354">
        <f t="shared" si="2"/>
        <v>0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78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2430.6400000000003</v>
      </c>
    </row>
    <row r="50" spans="1:19" x14ac:dyDescent="0.25">
      <c r="B50" s="354">
        <f t="shared" si="2"/>
        <v>0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0</v>
      </c>
      <c r="L50" s="354">
        <f t="shared" si="4"/>
        <v>78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2430.6400000000003</v>
      </c>
    </row>
    <row r="51" spans="1:19" x14ac:dyDescent="0.25">
      <c r="B51" s="354">
        <f t="shared" si="2"/>
        <v>0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0</v>
      </c>
      <c r="L51" s="354">
        <f t="shared" si="4"/>
        <v>78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2430.6400000000003</v>
      </c>
    </row>
    <row r="52" spans="1:19" x14ac:dyDescent="0.25">
      <c r="B52" s="354">
        <f t="shared" si="2"/>
        <v>0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0</v>
      </c>
      <c r="L52" s="354">
        <f t="shared" si="4"/>
        <v>78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2430.6400000000003</v>
      </c>
    </row>
    <row r="53" spans="1:19" x14ac:dyDescent="0.25">
      <c r="B53" s="354">
        <f t="shared" si="2"/>
        <v>0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0</v>
      </c>
      <c r="L53" s="354">
        <f t="shared" si="4"/>
        <v>78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2430.6400000000003</v>
      </c>
    </row>
    <row r="54" spans="1:19" x14ac:dyDescent="0.25">
      <c r="B54" s="354">
        <f t="shared" si="2"/>
        <v>0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0</v>
      </c>
      <c r="L54" s="354">
        <f t="shared" si="4"/>
        <v>78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2430.6400000000003</v>
      </c>
    </row>
    <row r="55" spans="1:19" x14ac:dyDescent="0.25">
      <c r="B55" s="354">
        <f t="shared" si="2"/>
        <v>0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0</v>
      </c>
      <c r="L55" s="354">
        <f t="shared" si="4"/>
        <v>78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2430.6400000000003</v>
      </c>
    </row>
    <row r="56" spans="1:19" x14ac:dyDescent="0.25">
      <c r="B56" s="354">
        <f t="shared" si="2"/>
        <v>0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0</v>
      </c>
      <c r="L56" s="354">
        <f t="shared" si="4"/>
        <v>78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2430.6400000000003</v>
      </c>
    </row>
    <row r="57" spans="1:19" x14ac:dyDescent="0.25">
      <c r="B57" s="354">
        <f t="shared" si="2"/>
        <v>0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0</v>
      </c>
      <c r="L57" s="354">
        <f t="shared" si="4"/>
        <v>78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2430.6400000000003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9"/>
      <c r="H58" s="747"/>
      <c r="I58" s="132">
        <f t="shared" si="6"/>
        <v>0</v>
      </c>
      <c r="L58" s="354">
        <f t="shared" si="4"/>
        <v>78</v>
      </c>
      <c r="M58" s="338"/>
      <c r="N58" s="339"/>
      <c r="O58" s="499"/>
      <c r="P58" s="339"/>
      <c r="Q58" s="719"/>
      <c r="R58" s="747"/>
      <c r="S58" s="132">
        <f t="shared" si="7"/>
        <v>2430.6400000000003</v>
      </c>
    </row>
    <row r="59" spans="1:19" x14ac:dyDescent="0.25">
      <c r="B59" s="354">
        <v>0</v>
      </c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26</v>
      </c>
      <c r="N62" s="105">
        <f>SUM(N10:N61)</f>
        <v>749.55</v>
      </c>
      <c r="O62" s="75"/>
      <c r="P62" s="105">
        <f>SUM(P10:P61)</f>
        <v>749.55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0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2430.6400000000003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0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78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I1" workbookViewId="0">
      <selection activeCell="M8" sqref="M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37" t="s">
        <v>156</v>
      </c>
      <c r="B1" s="1037"/>
      <c r="C1" s="1037"/>
      <c r="D1" s="1037"/>
      <c r="E1" s="1037"/>
      <c r="F1" s="1037"/>
      <c r="G1" s="1037"/>
      <c r="H1" s="11">
        <v>1</v>
      </c>
      <c r="K1" s="1037" t="s">
        <v>272</v>
      </c>
      <c r="L1" s="1037"/>
      <c r="M1" s="1037"/>
      <c r="N1" s="1037"/>
      <c r="O1" s="1037"/>
      <c r="P1" s="1037"/>
      <c r="Q1" s="1037"/>
      <c r="R1" s="11">
        <v>2</v>
      </c>
      <c r="U1" s="1041" t="s">
        <v>261</v>
      </c>
      <c r="V1" s="1041"/>
      <c r="W1" s="1041"/>
      <c r="X1" s="1041"/>
      <c r="Y1" s="1041"/>
      <c r="Z1" s="1041"/>
      <c r="AA1" s="104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13" t="s">
        <v>127</v>
      </c>
      <c r="C4" s="102"/>
      <c r="D4" s="135"/>
      <c r="E4" s="86"/>
      <c r="F4" s="73"/>
      <c r="G4" s="239"/>
      <c r="L4" s="1113" t="s">
        <v>127</v>
      </c>
      <c r="M4" s="102"/>
      <c r="N4" s="135"/>
      <c r="O4" s="86"/>
      <c r="P4" s="73"/>
      <c r="Q4" s="239"/>
      <c r="V4" s="1113" t="s">
        <v>127</v>
      </c>
      <c r="W4" s="102"/>
      <c r="X4" s="135"/>
      <c r="Y4" s="86"/>
      <c r="Z4" s="73"/>
      <c r="AA4" s="916"/>
    </row>
    <row r="5" spans="1:29" x14ac:dyDescent="0.25">
      <c r="A5" s="75" t="s">
        <v>52</v>
      </c>
      <c r="B5" s="111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1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114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2">
        <v>1</v>
      </c>
      <c r="D10" s="824">
        <v>27.18</v>
      </c>
      <c r="E10" s="825">
        <v>44847</v>
      </c>
      <c r="F10" s="826">
        <f t="shared" ref="F10:F28" si="1">D10</f>
        <v>27.18</v>
      </c>
      <c r="G10" s="827" t="s">
        <v>482</v>
      </c>
      <c r="H10" s="828">
        <v>119</v>
      </c>
      <c r="I10" s="132">
        <f t="shared" ref="I10:I28" si="2">I9-F10</f>
        <v>557.34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2">
        <v>2</v>
      </c>
      <c r="D11" s="824">
        <v>58.64</v>
      </c>
      <c r="E11" s="825">
        <v>44847</v>
      </c>
      <c r="F11" s="826">
        <f t="shared" si="1"/>
        <v>58.64</v>
      </c>
      <c r="G11" s="827" t="s">
        <v>482</v>
      </c>
      <c r="H11" s="828">
        <v>119</v>
      </c>
      <c r="I11" s="132">
        <f t="shared" si="2"/>
        <v>498.70000000000005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2">
        <v>18</v>
      </c>
      <c r="D12" s="824">
        <v>498.71</v>
      </c>
      <c r="E12" s="825">
        <v>44848</v>
      </c>
      <c r="F12" s="826">
        <f t="shared" si="1"/>
        <v>498.71</v>
      </c>
      <c r="G12" s="827" t="s">
        <v>495</v>
      </c>
      <c r="H12" s="828">
        <v>119</v>
      </c>
      <c r="I12" s="132">
        <f t="shared" si="2"/>
        <v>-9.9999999999340616E-3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2"/>
      <c r="D13" s="824"/>
      <c r="E13" s="825"/>
      <c r="F13" s="976">
        <f t="shared" si="1"/>
        <v>0</v>
      </c>
      <c r="G13" s="977"/>
      <c r="H13" s="978"/>
      <c r="I13" s="969">
        <f t="shared" si="2"/>
        <v>-9.9999999999340616E-3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2"/>
      <c r="D14" s="824"/>
      <c r="E14" s="825"/>
      <c r="F14" s="976">
        <f t="shared" si="1"/>
        <v>0</v>
      </c>
      <c r="G14" s="977"/>
      <c r="H14" s="978"/>
      <c r="I14" s="969">
        <f t="shared" si="2"/>
        <v>-9.9999999999340616E-3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2"/>
      <c r="D15" s="824"/>
      <c r="E15" s="825"/>
      <c r="F15" s="976">
        <f t="shared" si="1"/>
        <v>0</v>
      </c>
      <c r="G15" s="977"/>
      <c r="H15" s="978"/>
      <c r="I15" s="969">
        <f t="shared" si="2"/>
        <v>-9.9999999999340616E-3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2"/>
      <c r="D16" s="824"/>
      <c r="E16" s="825"/>
      <c r="F16" s="976">
        <f t="shared" si="1"/>
        <v>0</v>
      </c>
      <c r="G16" s="977"/>
      <c r="H16" s="978"/>
      <c r="I16" s="969">
        <f t="shared" si="2"/>
        <v>-9.9999999999340616E-3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0</v>
      </c>
      <c r="C17" s="652"/>
      <c r="D17" s="824"/>
      <c r="E17" s="825"/>
      <c r="F17" s="976">
        <f t="shared" si="1"/>
        <v>0</v>
      </c>
      <c r="G17" s="977"/>
      <c r="H17" s="978"/>
      <c r="I17" s="969">
        <f t="shared" si="2"/>
        <v>-9.9999999999340616E-3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0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-9.9999999999340616E-3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0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-9.9999999999340616E-3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0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-9.9999999999340616E-3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0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-9.9999999999340616E-3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0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-9.9999999999340616E-3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0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-9.9999999999340616E-3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0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-9.9999999999340616E-3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0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-9.9999999999340616E-3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2"/>
      <c r="D26" s="551"/>
      <c r="E26" s="742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2" t="s">
        <v>21</v>
      </c>
      <c r="Y33" s="913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4" t="s">
        <v>4</v>
      </c>
      <c r="Y34" s="91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2" sqref="C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7" t="s">
        <v>268</v>
      </c>
      <c r="B1" s="1037"/>
      <c r="C1" s="1037"/>
      <c r="D1" s="1037"/>
      <c r="E1" s="1037"/>
      <c r="F1" s="1037"/>
      <c r="G1" s="10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3" t="s">
        <v>164</v>
      </c>
      <c r="C4" s="102"/>
      <c r="D4" s="135"/>
      <c r="E4" s="86"/>
      <c r="F4" s="73"/>
      <c r="G4" s="239"/>
    </row>
    <row r="5" spans="1:9" x14ac:dyDescent="0.25">
      <c r="A5" s="1049" t="s">
        <v>99</v>
      </c>
      <c r="B5" s="111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4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>
        <v>1</v>
      </c>
      <c r="D9" s="816">
        <v>13.61</v>
      </c>
      <c r="E9" s="619">
        <v>44840</v>
      </c>
      <c r="F9" s="816">
        <f t="shared" si="0"/>
        <v>13.61</v>
      </c>
      <c r="G9" s="832" t="s">
        <v>429</v>
      </c>
      <c r="H9" s="332">
        <v>57</v>
      </c>
      <c r="I9" s="132">
        <f>I8-D9</f>
        <v>1946.2300000000002</v>
      </c>
    </row>
    <row r="10" spans="1:9" x14ac:dyDescent="0.25">
      <c r="A10" s="75"/>
      <c r="B10" s="2"/>
      <c r="C10" s="15">
        <v>2</v>
      </c>
      <c r="D10" s="816">
        <v>27.22</v>
      </c>
      <c r="E10" s="619">
        <v>44846</v>
      </c>
      <c r="F10" s="816">
        <f t="shared" si="0"/>
        <v>27.22</v>
      </c>
      <c r="G10" s="833" t="s">
        <v>474</v>
      </c>
      <c r="H10" s="834">
        <v>57</v>
      </c>
      <c r="I10" s="132">
        <f t="shared" ref="I10:I28" si="1">I9-D10</f>
        <v>1919.0100000000002</v>
      </c>
    </row>
    <row r="11" spans="1:9" x14ac:dyDescent="0.25">
      <c r="A11" s="55"/>
      <c r="B11" s="2"/>
      <c r="C11" s="15"/>
      <c r="D11" s="816"/>
      <c r="E11" s="619"/>
      <c r="F11" s="816">
        <f t="shared" si="0"/>
        <v>0</v>
      </c>
      <c r="G11" s="833"/>
      <c r="H11" s="332"/>
      <c r="I11" s="132">
        <f t="shared" si="1"/>
        <v>1919.0100000000002</v>
      </c>
    </row>
    <row r="12" spans="1:9" x14ac:dyDescent="0.25">
      <c r="A12" s="75"/>
      <c r="B12" s="2"/>
      <c r="C12" s="15"/>
      <c r="D12" s="816"/>
      <c r="E12" s="619"/>
      <c r="F12" s="816">
        <f t="shared" si="0"/>
        <v>0</v>
      </c>
      <c r="G12" s="833"/>
      <c r="H12" s="332"/>
      <c r="I12" s="132">
        <f t="shared" si="1"/>
        <v>1919.0100000000002</v>
      </c>
    </row>
    <row r="13" spans="1:9" x14ac:dyDescent="0.25">
      <c r="A13" s="75"/>
      <c r="B13" s="2"/>
      <c r="C13" s="15"/>
      <c r="D13" s="816"/>
      <c r="E13" s="619"/>
      <c r="F13" s="816">
        <f t="shared" si="0"/>
        <v>0</v>
      </c>
      <c r="G13" s="833"/>
      <c r="H13" s="332"/>
      <c r="I13" s="132">
        <f t="shared" si="1"/>
        <v>1919.0100000000002</v>
      </c>
    </row>
    <row r="14" spans="1:9" x14ac:dyDescent="0.25">
      <c r="B14" s="2"/>
      <c r="C14" s="15"/>
      <c r="D14" s="816"/>
      <c r="E14" s="619"/>
      <c r="F14" s="816">
        <f t="shared" si="0"/>
        <v>0</v>
      </c>
      <c r="G14" s="833"/>
      <c r="H14" s="332"/>
      <c r="I14" s="132">
        <f t="shared" si="1"/>
        <v>1919.0100000000002</v>
      </c>
    </row>
    <row r="15" spans="1:9" x14ac:dyDescent="0.25">
      <c r="B15" s="2"/>
      <c r="C15" s="15"/>
      <c r="D15" s="816"/>
      <c r="E15" s="619"/>
      <c r="F15" s="816">
        <f t="shared" si="0"/>
        <v>0</v>
      </c>
      <c r="G15" s="833"/>
      <c r="H15" s="332"/>
      <c r="I15" s="132">
        <f t="shared" si="1"/>
        <v>1919.0100000000002</v>
      </c>
    </row>
    <row r="16" spans="1:9" x14ac:dyDescent="0.25">
      <c r="B16" s="2"/>
      <c r="C16" s="15"/>
      <c r="D16" s="816"/>
      <c r="E16" s="619"/>
      <c r="F16" s="816">
        <f t="shared" si="0"/>
        <v>0</v>
      </c>
      <c r="G16" s="833"/>
      <c r="H16" s="332"/>
      <c r="I16" s="132">
        <f t="shared" si="1"/>
        <v>1919.0100000000002</v>
      </c>
    </row>
    <row r="17" spans="1:9" x14ac:dyDescent="0.25">
      <c r="B17" s="2"/>
      <c r="C17" s="15"/>
      <c r="D17" s="549"/>
      <c r="E17" s="619"/>
      <c r="F17" s="816">
        <f t="shared" si="0"/>
        <v>0</v>
      </c>
      <c r="G17" s="833"/>
      <c r="H17" s="332"/>
      <c r="I17" s="132">
        <f t="shared" si="1"/>
        <v>1919.0100000000002</v>
      </c>
    </row>
    <row r="18" spans="1:9" x14ac:dyDescent="0.25">
      <c r="B18" s="2"/>
      <c r="C18" s="15"/>
      <c r="D18" s="816"/>
      <c r="E18" s="619"/>
      <c r="F18" s="816">
        <f t="shared" si="0"/>
        <v>0</v>
      </c>
      <c r="G18" s="833"/>
      <c r="H18" s="332"/>
      <c r="I18" s="132">
        <f t="shared" si="1"/>
        <v>1919.0100000000002</v>
      </c>
    </row>
    <row r="19" spans="1:9" x14ac:dyDescent="0.25">
      <c r="B19" s="2"/>
      <c r="C19" s="15"/>
      <c r="D19" s="816"/>
      <c r="E19" s="619"/>
      <c r="F19" s="816">
        <f t="shared" si="0"/>
        <v>0</v>
      </c>
      <c r="G19" s="833"/>
      <c r="H19" s="332"/>
      <c r="I19" s="132">
        <f t="shared" si="1"/>
        <v>1919.0100000000002</v>
      </c>
    </row>
    <row r="20" spans="1:9" x14ac:dyDescent="0.25">
      <c r="B20" s="2"/>
      <c r="C20" s="15"/>
      <c r="D20" s="816"/>
      <c r="E20" s="619"/>
      <c r="F20" s="816">
        <f t="shared" si="0"/>
        <v>0</v>
      </c>
      <c r="G20" s="833"/>
      <c r="H20" s="332"/>
      <c r="I20" s="132">
        <f t="shared" si="1"/>
        <v>1919.0100000000002</v>
      </c>
    </row>
    <row r="21" spans="1:9" x14ac:dyDescent="0.25">
      <c r="B21" s="2"/>
      <c r="C21" s="15"/>
      <c r="D21" s="816"/>
      <c r="E21" s="619"/>
      <c r="F21" s="816">
        <f t="shared" si="0"/>
        <v>0</v>
      </c>
      <c r="G21" s="833"/>
      <c r="H21" s="332"/>
      <c r="I21" s="132">
        <f t="shared" si="1"/>
        <v>1919.0100000000002</v>
      </c>
    </row>
    <row r="22" spans="1:9" x14ac:dyDescent="0.25">
      <c r="B22" s="2"/>
      <c r="C22" s="15"/>
      <c r="D22" s="816"/>
      <c r="E22" s="619"/>
      <c r="F22" s="816">
        <f t="shared" si="0"/>
        <v>0</v>
      </c>
      <c r="G22" s="833"/>
      <c r="H22" s="332"/>
      <c r="I22" s="132">
        <f t="shared" si="1"/>
        <v>1919.0100000000002</v>
      </c>
    </row>
    <row r="23" spans="1:9" x14ac:dyDescent="0.25">
      <c r="B23" s="2"/>
      <c r="C23" s="15"/>
      <c r="D23" s="816"/>
      <c r="E23" s="619"/>
      <c r="F23" s="816">
        <f t="shared" si="0"/>
        <v>0</v>
      </c>
      <c r="G23" s="833"/>
      <c r="H23" s="332"/>
      <c r="I23" s="132">
        <f t="shared" si="1"/>
        <v>1919.0100000000002</v>
      </c>
    </row>
    <row r="24" spans="1:9" x14ac:dyDescent="0.25">
      <c r="B24" s="2"/>
      <c r="C24" s="15"/>
      <c r="D24" s="816"/>
      <c r="E24" s="619"/>
      <c r="F24" s="816">
        <f t="shared" si="0"/>
        <v>0</v>
      </c>
      <c r="G24" s="832"/>
      <c r="H24" s="332"/>
      <c r="I24" s="132">
        <f t="shared" si="1"/>
        <v>1919.0100000000002</v>
      </c>
    </row>
    <row r="25" spans="1:9" x14ac:dyDescent="0.25">
      <c r="B25" s="2"/>
      <c r="C25" s="15"/>
      <c r="D25" s="816"/>
      <c r="E25" s="619"/>
      <c r="F25" s="816">
        <f t="shared" si="0"/>
        <v>0</v>
      </c>
      <c r="G25" s="832"/>
      <c r="H25" s="332"/>
      <c r="I25" s="132">
        <f t="shared" si="1"/>
        <v>1919.0100000000002</v>
      </c>
    </row>
    <row r="26" spans="1:9" x14ac:dyDescent="0.25">
      <c r="B26" s="109"/>
      <c r="C26" s="15"/>
      <c r="D26" s="92"/>
      <c r="E26" s="135"/>
      <c r="F26" s="92">
        <f t="shared" si="0"/>
        <v>0</v>
      </c>
      <c r="G26" s="95"/>
      <c r="H26" s="71"/>
      <c r="I26" s="132">
        <f t="shared" si="1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1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1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70"/>
      <c r="F30" s="6"/>
    </row>
    <row r="31" spans="1:9" ht="15.75" thickBot="1" x14ac:dyDescent="0.3">
      <c r="B31" s="74"/>
      <c r="C31" s="87"/>
      <c r="D31" s="76"/>
      <c r="E31" s="97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5" t="s">
        <v>85</v>
      </c>
      <c r="C4" s="102"/>
      <c r="D4" s="135"/>
      <c r="E4" s="86"/>
      <c r="F4" s="73"/>
      <c r="G4" s="239"/>
    </row>
    <row r="5" spans="1:9" x14ac:dyDescent="0.25">
      <c r="A5" s="75"/>
      <c r="B5" s="1116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3" t="s">
        <v>103</v>
      </c>
      <c r="C4" s="102"/>
      <c r="D4" s="135"/>
      <c r="E4" s="86"/>
      <c r="F4" s="73"/>
      <c r="G4" s="239"/>
    </row>
    <row r="5" spans="1:9" x14ac:dyDescent="0.25">
      <c r="A5" s="1045"/>
      <c r="B5" s="111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4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7" t="s">
        <v>104</v>
      </c>
      <c r="C4" s="102"/>
      <c r="D4" s="135"/>
      <c r="E4" s="86"/>
      <c r="F4" s="73"/>
      <c r="G4" s="239"/>
    </row>
    <row r="5" spans="1:9" x14ac:dyDescent="0.25">
      <c r="A5" s="1045"/>
      <c r="B5" s="111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4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42"/>
      <c r="C5" s="400"/>
      <c r="D5" s="134"/>
      <c r="E5" s="209"/>
      <c r="F5" s="62"/>
      <c r="G5" s="5"/>
    </row>
    <row r="6" spans="1:9" ht="20.25" x14ac:dyDescent="0.3">
      <c r="A6" s="606"/>
      <c r="B6" s="104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9" t="s">
        <v>11</v>
      </c>
      <c r="D83" s="104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18" activePane="bottomLeft" state="frozen"/>
      <selection pane="bottomLeft" activeCell="E32" sqref="E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7" t="s">
        <v>262</v>
      </c>
      <c r="B1" s="1037"/>
      <c r="C1" s="1037"/>
      <c r="D1" s="1037"/>
      <c r="E1" s="1037"/>
      <c r="F1" s="1037"/>
      <c r="G1" s="1037"/>
      <c r="H1" s="11">
        <v>1</v>
      </c>
      <c r="K1" s="1041" t="s">
        <v>261</v>
      </c>
      <c r="L1" s="1041"/>
      <c r="M1" s="1041"/>
      <c r="N1" s="1041"/>
      <c r="O1" s="1041"/>
      <c r="P1" s="1041"/>
      <c r="Q1" s="10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43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43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43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1354.54</v>
      </c>
      <c r="H6" s="7">
        <f>E6-G6+E7+E5-G5</f>
        <v>161.95000000000005</v>
      </c>
      <c r="K6" s="413"/>
      <c r="L6" s="1043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48</v>
      </c>
      <c r="C24" s="15">
        <v>1</v>
      </c>
      <c r="D24" s="549">
        <v>12.18</v>
      </c>
      <c r="E24" s="802">
        <v>44837</v>
      </c>
      <c r="F24" s="549">
        <f t="shared" si="6"/>
        <v>12.18</v>
      </c>
      <c r="G24" s="331" t="s">
        <v>412</v>
      </c>
      <c r="H24" s="332">
        <v>98</v>
      </c>
      <c r="I24" s="105">
        <f t="shared" si="3"/>
        <v>559.01000000000033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45</v>
      </c>
      <c r="C25" s="15">
        <v>3</v>
      </c>
      <c r="D25" s="549">
        <v>11.68</v>
      </c>
      <c r="E25" s="802">
        <v>44837</v>
      </c>
      <c r="F25" s="549">
        <f t="shared" si="6"/>
        <v>11.68</v>
      </c>
      <c r="G25" s="331" t="s">
        <v>413</v>
      </c>
      <c r="H25" s="332">
        <v>90</v>
      </c>
      <c r="I25" s="105">
        <f t="shared" si="3"/>
        <v>547.33000000000038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44</v>
      </c>
      <c r="C26" s="15">
        <v>1</v>
      </c>
      <c r="D26" s="549">
        <v>11.51</v>
      </c>
      <c r="E26" s="802">
        <v>44839</v>
      </c>
      <c r="F26" s="549">
        <f t="shared" si="6"/>
        <v>11.51</v>
      </c>
      <c r="G26" s="331" t="s">
        <v>426</v>
      </c>
      <c r="H26" s="332">
        <v>98</v>
      </c>
      <c r="I26" s="105">
        <f t="shared" si="3"/>
        <v>535.82000000000039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39</v>
      </c>
      <c r="C27" s="15">
        <v>5</v>
      </c>
      <c r="D27" s="549">
        <v>58.25</v>
      </c>
      <c r="E27" s="802">
        <v>44840</v>
      </c>
      <c r="F27" s="549">
        <f t="shared" si="6"/>
        <v>58.25</v>
      </c>
      <c r="G27" s="331" t="s">
        <v>425</v>
      </c>
      <c r="H27" s="332">
        <v>98</v>
      </c>
      <c r="I27" s="105">
        <f t="shared" si="3"/>
        <v>477.57000000000039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29</v>
      </c>
      <c r="C28" s="15">
        <v>10</v>
      </c>
      <c r="D28" s="549">
        <v>116.75</v>
      </c>
      <c r="E28" s="802">
        <v>44844</v>
      </c>
      <c r="F28" s="549">
        <f t="shared" si="6"/>
        <v>116.75</v>
      </c>
      <c r="G28" s="331" t="s">
        <v>462</v>
      </c>
      <c r="H28" s="332">
        <v>98</v>
      </c>
      <c r="I28" s="105">
        <f t="shared" si="3"/>
        <v>360.82000000000039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27</v>
      </c>
      <c r="C29" s="15">
        <v>2</v>
      </c>
      <c r="D29" s="549">
        <v>23.18</v>
      </c>
      <c r="E29" s="802">
        <v>44845</v>
      </c>
      <c r="F29" s="549">
        <f t="shared" si="6"/>
        <v>23.18</v>
      </c>
      <c r="G29" s="331" t="s">
        <v>464</v>
      </c>
      <c r="H29" s="332">
        <v>98</v>
      </c>
      <c r="I29" s="105">
        <f t="shared" si="3"/>
        <v>337.64000000000038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20</v>
      </c>
      <c r="C30" s="15">
        <v>7</v>
      </c>
      <c r="D30" s="549">
        <v>82.47</v>
      </c>
      <c r="E30" s="802">
        <v>44851</v>
      </c>
      <c r="F30" s="549">
        <f t="shared" si="6"/>
        <v>82.47</v>
      </c>
      <c r="G30" s="331" t="s">
        <v>507</v>
      </c>
      <c r="H30" s="332">
        <v>98</v>
      </c>
      <c r="I30" s="105">
        <f t="shared" si="3"/>
        <v>255.17000000000039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12</v>
      </c>
      <c r="C31" s="15">
        <v>8</v>
      </c>
      <c r="D31" s="549">
        <v>92.97</v>
      </c>
      <c r="E31" s="802">
        <v>44851</v>
      </c>
      <c r="F31" s="549">
        <f t="shared" si="6"/>
        <v>92.97</v>
      </c>
      <c r="G31" s="331" t="s">
        <v>508</v>
      </c>
      <c r="H31" s="332">
        <v>98</v>
      </c>
      <c r="I31" s="105">
        <f t="shared" si="3"/>
        <v>162.20000000000039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12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162.20000000000039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12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162.20000000000039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12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162.20000000000039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12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162.20000000000039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12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162.20000000000039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12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162.20000000000039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12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162.20000000000039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12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162.20000000000039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12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162.20000000000039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12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162.20000000000039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12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162.20000000000039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12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162.20000000000039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12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162.20000000000039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12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162.20000000000039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116</v>
      </c>
      <c r="D48" s="6">
        <f>SUM(D9:D47)</f>
        <v>1354.54</v>
      </c>
      <c r="F48" s="6">
        <f>SUM(F9:F47)</f>
        <v>1354.54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12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39" t="s">
        <v>11</v>
      </c>
      <c r="D53" s="1040"/>
      <c r="E53" s="57">
        <f>E5+E6-F48+E7</f>
        <v>161.95000000000005</v>
      </c>
      <c r="F53" s="73"/>
      <c r="M53" s="1039" t="s">
        <v>11</v>
      </c>
      <c r="N53" s="1040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7" t="s">
        <v>263</v>
      </c>
      <c r="B1" s="1037"/>
      <c r="C1" s="1037"/>
      <c r="D1" s="1037"/>
      <c r="E1" s="1037"/>
      <c r="F1" s="1037"/>
      <c r="G1" s="1037"/>
      <c r="H1" s="11">
        <v>1</v>
      </c>
      <c r="K1" s="1041" t="s">
        <v>320</v>
      </c>
      <c r="L1" s="1041"/>
      <c r="M1" s="1041"/>
      <c r="N1" s="1041"/>
      <c r="O1" s="1041"/>
      <c r="P1" s="1041"/>
      <c r="Q1" s="10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44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44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44"/>
      <c r="C6" s="400"/>
      <c r="D6" s="134"/>
      <c r="E6" s="209"/>
      <c r="F6" s="62"/>
      <c r="G6" s="47">
        <f>F42</f>
        <v>180.05</v>
      </c>
      <c r="H6" s="7">
        <f>E6-G6+E7+E5-G5+E4</f>
        <v>11.670000000000002</v>
      </c>
      <c r="K6" s="227"/>
      <c r="L6" s="1044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1</v>
      </c>
      <c r="C10" s="73">
        <v>6</v>
      </c>
      <c r="D10" s="549">
        <v>67.7</v>
      </c>
      <c r="E10" s="802">
        <v>44844</v>
      </c>
      <c r="F10" s="549">
        <f t="shared" si="0"/>
        <v>67.7</v>
      </c>
      <c r="G10" s="331" t="s">
        <v>462</v>
      </c>
      <c r="H10" s="332">
        <v>90</v>
      </c>
      <c r="I10" s="105">
        <f>I9-F10</f>
        <v>11.670000000000016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1</v>
      </c>
      <c r="C11" s="73"/>
      <c r="D11" s="549"/>
      <c r="E11" s="802"/>
      <c r="F11" s="549">
        <f t="shared" si="0"/>
        <v>0</v>
      </c>
      <c r="G11" s="331"/>
      <c r="H11" s="332"/>
      <c r="I11" s="105">
        <f t="shared" ref="I11:I40" si="3">I10-F11</f>
        <v>11.670000000000016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1</v>
      </c>
      <c r="C12" s="73"/>
      <c r="D12" s="549"/>
      <c r="E12" s="802"/>
      <c r="F12" s="549">
        <f t="shared" si="0"/>
        <v>0</v>
      </c>
      <c r="G12" s="331"/>
      <c r="H12" s="332"/>
      <c r="I12" s="105">
        <f t="shared" si="3"/>
        <v>11.670000000000016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1</v>
      </c>
      <c r="C13" s="73"/>
      <c r="D13" s="549"/>
      <c r="E13" s="802"/>
      <c r="F13" s="549">
        <f t="shared" si="0"/>
        <v>0</v>
      </c>
      <c r="G13" s="331"/>
      <c r="H13" s="332"/>
      <c r="I13" s="105">
        <f t="shared" si="3"/>
        <v>11.670000000000016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1</v>
      </c>
      <c r="C14" s="73"/>
      <c r="D14" s="549"/>
      <c r="E14" s="802"/>
      <c r="F14" s="549">
        <f t="shared" si="0"/>
        <v>0</v>
      </c>
      <c r="G14" s="331"/>
      <c r="H14" s="332"/>
      <c r="I14" s="105">
        <f t="shared" si="3"/>
        <v>11.670000000000016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1</v>
      </c>
      <c r="C15" s="73"/>
      <c r="D15" s="549"/>
      <c r="E15" s="802"/>
      <c r="F15" s="549">
        <f t="shared" si="0"/>
        <v>0</v>
      </c>
      <c r="G15" s="331"/>
      <c r="H15" s="332"/>
      <c r="I15" s="105">
        <f t="shared" si="3"/>
        <v>11.670000000000016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1</v>
      </c>
      <c r="C16" s="73"/>
      <c r="D16" s="549"/>
      <c r="E16" s="802"/>
      <c r="F16" s="549">
        <f t="shared" si="0"/>
        <v>0</v>
      </c>
      <c r="G16" s="331"/>
      <c r="H16" s="332"/>
      <c r="I16" s="105">
        <f t="shared" si="3"/>
        <v>11.670000000000016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1</v>
      </c>
      <c r="C17" s="73"/>
      <c r="D17" s="549"/>
      <c r="E17" s="802"/>
      <c r="F17" s="549">
        <f t="shared" si="0"/>
        <v>0</v>
      </c>
      <c r="G17" s="331"/>
      <c r="H17" s="332"/>
      <c r="I17" s="105">
        <f t="shared" si="3"/>
        <v>11.670000000000016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1</v>
      </c>
      <c r="C18" s="73"/>
      <c r="D18" s="549"/>
      <c r="E18" s="802"/>
      <c r="F18" s="549">
        <f t="shared" si="0"/>
        <v>0</v>
      </c>
      <c r="G18" s="331"/>
      <c r="H18" s="332"/>
      <c r="I18" s="105">
        <f t="shared" si="3"/>
        <v>11.670000000000016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1</v>
      </c>
      <c r="C19" s="15"/>
      <c r="D19" s="549"/>
      <c r="E19" s="802"/>
      <c r="F19" s="549">
        <f t="shared" si="0"/>
        <v>0</v>
      </c>
      <c r="G19" s="331"/>
      <c r="H19" s="332"/>
      <c r="I19" s="105">
        <f t="shared" si="3"/>
        <v>11.670000000000016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1</v>
      </c>
      <c r="C20" s="15"/>
      <c r="D20" s="549"/>
      <c r="E20" s="802"/>
      <c r="F20" s="549">
        <f t="shared" si="0"/>
        <v>0</v>
      </c>
      <c r="G20" s="331"/>
      <c r="H20" s="332"/>
      <c r="I20" s="105">
        <f t="shared" si="3"/>
        <v>11.670000000000016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1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11.670000000000016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1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11.670000000000016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1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11.670000000000016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1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11.670000000000016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1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11.670000000000016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1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11.670000000000016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1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11.670000000000016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1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11.670000000000016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1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11.670000000000016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1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11.670000000000016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1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11.670000000000016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1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11.670000000000016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1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11.670000000000016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1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11.670000000000016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1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11.670000000000016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1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11.670000000000016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1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11.670000000000016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1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11.670000000000016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1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11.670000000000016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1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11.670000000000016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16</v>
      </c>
      <c r="D42" s="6">
        <f>SUM(D9:D41)</f>
        <v>180.05</v>
      </c>
      <c r="F42" s="6">
        <f>SUM(F9:F41)</f>
        <v>180.05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39" t="s">
        <v>11</v>
      </c>
      <c r="D47" s="1040"/>
      <c r="E47" s="57">
        <f>E5+E6-F42+E7</f>
        <v>-58.870000000000005</v>
      </c>
      <c r="F47" s="73"/>
      <c r="M47" s="1039" t="s">
        <v>11</v>
      </c>
      <c r="N47" s="1040"/>
      <c r="O47" s="57">
        <f>O5+O6-P42+O7</f>
        <v>487.38</v>
      </c>
      <c r="P47" s="73"/>
    </row>
    <row r="50" spans="1:17" x14ac:dyDescent="0.25">
      <c r="A50" s="227"/>
      <c r="B50" s="1045"/>
      <c r="C50" s="493"/>
      <c r="D50" s="233"/>
      <c r="E50" s="78"/>
      <c r="F50" s="62"/>
      <c r="G50" s="5"/>
      <c r="K50" s="227"/>
      <c r="L50" s="1045"/>
      <c r="M50" s="493"/>
      <c r="N50" s="233"/>
      <c r="O50" s="78"/>
      <c r="P50" s="62"/>
      <c r="Q50" s="5"/>
    </row>
    <row r="51" spans="1:17" x14ac:dyDescent="0.25">
      <c r="A51" s="227"/>
      <c r="B51" s="1045"/>
      <c r="C51" s="400"/>
      <c r="D51" s="134"/>
      <c r="E51" s="209"/>
      <c r="F51" s="62"/>
      <c r="G51" s="47"/>
      <c r="K51" s="227"/>
      <c r="L51" s="1045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abSelected="1" topLeftCell="A7" workbookViewId="0">
      <selection activeCell="G31" sqref="G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7" t="s">
        <v>264</v>
      </c>
      <c r="B1" s="1037"/>
      <c r="C1" s="1037"/>
      <c r="D1" s="1037"/>
      <c r="E1" s="1037"/>
      <c r="F1" s="1037"/>
      <c r="G1" s="1037"/>
      <c r="H1" s="11">
        <v>1</v>
      </c>
      <c r="K1" s="1041" t="s">
        <v>261</v>
      </c>
      <c r="L1" s="1041"/>
      <c r="M1" s="1041"/>
      <c r="N1" s="1041"/>
      <c r="O1" s="1041"/>
      <c r="P1" s="1041"/>
      <c r="Q1" s="10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42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42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42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2036.3600000000001</v>
      </c>
      <c r="H6" s="7">
        <f>E6-G6+E7+E5-G5+E4</f>
        <v>-35.600000000000108</v>
      </c>
      <c r="K6" s="227"/>
      <c r="L6" s="1042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ht="15.75" thickBot="1" x14ac:dyDescent="0.3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ht="15.75" customHeight="1" x14ac:dyDescent="0.25">
      <c r="A15" s="1119" t="s">
        <v>531</v>
      </c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ht="15.75" thickBot="1" x14ac:dyDescent="0.3">
      <c r="A16" s="1120"/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78</v>
      </c>
      <c r="C21" s="15">
        <v>1</v>
      </c>
      <c r="D21" s="549">
        <v>12.49</v>
      </c>
      <c r="E21" s="802">
        <v>44837</v>
      </c>
      <c r="F21" s="549">
        <f t="shared" si="0"/>
        <v>12.49</v>
      </c>
      <c r="G21" s="331" t="s">
        <v>413</v>
      </c>
      <c r="H21" s="332">
        <v>101</v>
      </c>
      <c r="I21" s="105">
        <f t="shared" si="3"/>
        <v>845.6500000000002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68</v>
      </c>
      <c r="C22" s="15">
        <v>10</v>
      </c>
      <c r="D22" s="549">
        <v>124.17</v>
      </c>
      <c r="E22" s="802">
        <v>44838</v>
      </c>
      <c r="F22" s="549">
        <f t="shared" si="0"/>
        <v>124.17</v>
      </c>
      <c r="G22" s="331" t="s">
        <v>422</v>
      </c>
      <c r="H22" s="332">
        <v>101</v>
      </c>
      <c r="I22" s="105">
        <f t="shared" si="3"/>
        <v>721.48000000000025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58</v>
      </c>
      <c r="C23" s="15">
        <v>10</v>
      </c>
      <c r="D23" s="549">
        <v>125.51</v>
      </c>
      <c r="E23" s="802">
        <v>44840</v>
      </c>
      <c r="F23" s="549">
        <f t="shared" si="0"/>
        <v>125.51</v>
      </c>
      <c r="G23" s="331" t="s">
        <v>431</v>
      </c>
      <c r="H23" s="332">
        <v>101</v>
      </c>
      <c r="I23" s="105">
        <f t="shared" si="3"/>
        <v>595.97000000000025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48</v>
      </c>
      <c r="C24" s="15">
        <v>10</v>
      </c>
      <c r="D24" s="549">
        <v>116.67</v>
      </c>
      <c r="E24" s="802">
        <v>44844</v>
      </c>
      <c r="F24" s="549">
        <f t="shared" si="0"/>
        <v>116.67</v>
      </c>
      <c r="G24" s="331" t="s">
        <v>447</v>
      </c>
      <c r="H24" s="332">
        <v>101</v>
      </c>
      <c r="I24" s="105">
        <f t="shared" si="3"/>
        <v>479.30000000000024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38</v>
      </c>
      <c r="C25" s="15">
        <v>10</v>
      </c>
      <c r="D25" s="549">
        <v>119.55</v>
      </c>
      <c r="E25" s="802">
        <v>44844</v>
      </c>
      <c r="F25" s="549">
        <f t="shared" si="0"/>
        <v>119.55</v>
      </c>
      <c r="G25" s="331" t="s">
        <v>462</v>
      </c>
      <c r="H25" s="332">
        <v>101</v>
      </c>
      <c r="I25" s="105">
        <f t="shared" si="3"/>
        <v>359.75000000000023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28</v>
      </c>
      <c r="C26" s="15">
        <v>10</v>
      </c>
      <c r="D26" s="549">
        <v>116.47</v>
      </c>
      <c r="E26" s="802">
        <v>44846</v>
      </c>
      <c r="F26" s="549">
        <f t="shared" si="0"/>
        <v>116.47</v>
      </c>
      <c r="G26" s="331" t="s">
        <v>475</v>
      </c>
      <c r="H26" s="332">
        <v>101</v>
      </c>
      <c r="I26" s="105">
        <f t="shared" si="3"/>
        <v>243.28000000000023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23</v>
      </c>
      <c r="C27" s="15">
        <v>5</v>
      </c>
      <c r="D27" s="549">
        <v>60.77</v>
      </c>
      <c r="E27" s="802">
        <v>44851</v>
      </c>
      <c r="F27" s="549">
        <f t="shared" si="0"/>
        <v>60.77</v>
      </c>
      <c r="G27" s="331" t="s">
        <v>507</v>
      </c>
      <c r="H27" s="332">
        <v>101</v>
      </c>
      <c r="I27" s="105">
        <f t="shared" si="3"/>
        <v>182.51000000000022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22</v>
      </c>
      <c r="C28" s="15">
        <v>1</v>
      </c>
      <c r="D28" s="549">
        <v>11.51</v>
      </c>
      <c r="E28" s="802">
        <v>44854</v>
      </c>
      <c r="F28" s="549">
        <f t="shared" si="0"/>
        <v>11.51</v>
      </c>
      <c r="G28" s="331" t="s">
        <v>525</v>
      </c>
      <c r="H28" s="332">
        <v>101</v>
      </c>
      <c r="I28" s="105">
        <f t="shared" si="3"/>
        <v>171.00000000000023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10</v>
      </c>
      <c r="C29" s="15">
        <v>12</v>
      </c>
      <c r="D29" s="549">
        <v>146.65</v>
      </c>
      <c r="E29" s="802">
        <v>44854</v>
      </c>
      <c r="F29" s="549">
        <f t="shared" si="0"/>
        <v>146.65</v>
      </c>
      <c r="G29" s="331" t="s">
        <v>529</v>
      </c>
      <c r="H29" s="332">
        <v>101</v>
      </c>
      <c r="I29" s="105">
        <f t="shared" si="3"/>
        <v>24.350000000000222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5</v>
      </c>
      <c r="C30" s="15">
        <v>5</v>
      </c>
      <c r="D30" s="549">
        <v>59.95</v>
      </c>
      <c r="E30" s="802">
        <v>44854</v>
      </c>
      <c r="F30" s="549">
        <f t="shared" si="0"/>
        <v>59.95</v>
      </c>
      <c r="G30" s="331" t="s">
        <v>532</v>
      </c>
      <c r="H30" s="332">
        <v>101</v>
      </c>
      <c r="I30" s="105">
        <f t="shared" si="3"/>
        <v>-35.599999999999781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5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-35.599999999999781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5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-35.599999999999781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5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-35.599999999999781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5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-35.599999999999781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5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-35.599999999999781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5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-35.599999999999781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5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-35.599999999999781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5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-35.599999999999781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5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-35.599999999999781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5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-35.599999999999781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5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-35.599999999999781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5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-35.599999999999781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5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-35.599999999999781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5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-35.599999999999781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5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-35.599999999999781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5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-35.599999999999781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5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-35.599999999999781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5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-35.599999999999781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5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-35.599999999999781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5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-35.599999999999781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5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-35.599999999999781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5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-35.599999999999781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5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-35.599999999999781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5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-35.599999999999781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5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-35.599999999999781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5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-35.599999999999781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5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-35.599999999999781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5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-35.599999999999781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5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-35.599999999999781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5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-35.599999999999781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5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-35.599999999999781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5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-35.599999999999781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5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-35.599999999999781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5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-35.599999999999781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5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-35.599999999999781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5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-35.599999999999781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5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-35.599999999999781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5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-35.599999999999781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5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-35.599999999999781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5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-35.599999999999781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5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-35.599999999999781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5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-35.599999999999781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5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-35.599999999999781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5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-35.599999999999781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-35.599999999999781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-35.599999999999781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164</v>
      </c>
      <c r="D78" s="6">
        <f>SUM(D9:D77)</f>
        <v>2036.3600000000001</v>
      </c>
      <c r="F78" s="6">
        <f>SUM(F9:F77)</f>
        <v>2036.3600000000001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39" t="s">
        <v>11</v>
      </c>
      <c r="D83" s="1040"/>
      <c r="E83" s="57">
        <f>E5+E6-F78+E7</f>
        <v>-118.13000000000011</v>
      </c>
      <c r="F83" s="73"/>
      <c r="M83" s="1039" t="s">
        <v>11</v>
      </c>
      <c r="N83" s="1040"/>
      <c r="O83" s="57">
        <f>O5+O6-P78+O7</f>
        <v>1003.37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34" activePane="bottomLeft" state="frozen"/>
      <selection pane="bottomLeft" activeCell="C42" sqref="C4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37" t="s">
        <v>263</v>
      </c>
      <c r="B1" s="1037"/>
      <c r="C1" s="1037"/>
      <c r="D1" s="1037"/>
      <c r="E1" s="1037"/>
      <c r="F1" s="1037"/>
      <c r="G1" s="1037"/>
      <c r="H1" s="11">
        <v>1</v>
      </c>
      <c r="L1" s="1041" t="s">
        <v>261</v>
      </c>
      <c r="M1" s="1041"/>
      <c r="N1" s="1041"/>
      <c r="O1" s="1041"/>
      <c r="P1" s="1041"/>
      <c r="Q1" s="1041"/>
      <c r="R1" s="104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46" t="s">
        <v>74</v>
      </c>
      <c r="C4" s="245"/>
      <c r="D4" s="134"/>
      <c r="E4" s="487"/>
      <c r="F4" s="73"/>
      <c r="G4" s="155"/>
      <c r="H4" s="155"/>
      <c r="L4" s="458"/>
      <c r="M4" s="1046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48" t="s">
        <v>168</v>
      </c>
      <c r="B5" s="1047"/>
      <c r="C5" s="245"/>
      <c r="D5" s="134">
        <v>44826</v>
      </c>
      <c r="E5" s="487">
        <v>15231.71</v>
      </c>
      <c r="F5" s="73">
        <v>490</v>
      </c>
      <c r="G5" s="5"/>
      <c r="L5" s="1048" t="s">
        <v>99</v>
      </c>
      <c r="M5" s="1047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48"/>
      <c r="B6" s="1047"/>
      <c r="C6" s="410"/>
      <c r="D6" s="134"/>
      <c r="E6" s="488"/>
      <c r="F6" s="73"/>
      <c r="G6" s="47">
        <f>F79</f>
        <v>11059.9</v>
      </c>
      <c r="H6" s="7">
        <f>E6-G6+E7+E5-G5+E4</f>
        <v>4171.8099999999995</v>
      </c>
      <c r="L6" s="1048"/>
      <c r="M6" s="1047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47"/>
      <c r="C7" s="235"/>
      <c r="D7" s="233"/>
      <c r="E7" s="487"/>
      <c r="F7" s="73"/>
      <c r="L7" s="938"/>
      <c r="M7" s="1047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802">
        <v>44837</v>
      </c>
      <c r="F19" s="549">
        <f t="shared" ref="F19:F57" si="9">D19</f>
        <v>32.659999999999997</v>
      </c>
      <c r="G19" s="331" t="s">
        <v>412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802">
        <v>44837</v>
      </c>
      <c r="F20" s="549">
        <f t="shared" si="9"/>
        <v>99.12</v>
      </c>
      <c r="G20" s="331" t="s">
        <v>413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802">
        <v>44837</v>
      </c>
      <c r="F21" s="549">
        <f t="shared" si="9"/>
        <v>927.05</v>
      </c>
      <c r="G21" s="331" t="s">
        <v>414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802">
        <v>44837</v>
      </c>
      <c r="F22" s="549">
        <f t="shared" si="9"/>
        <v>155.63</v>
      </c>
      <c r="G22" s="331" t="s">
        <v>414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802">
        <v>44838</v>
      </c>
      <c r="F23" s="549">
        <f t="shared" si="9"/>
        <v>156.62</v>
      </c>
      <c r="G23" s="331" t="s">
        <v>422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802">
        <v>44840</v>
      </c>
      <c r="F24" s="549">
        <f t="shared" si="9"/>
        <v>153.32</v>
      </c>
      <c r="G24" s="331" t="s">
        <v>425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802">
        <v>44840</v>
      </c>
      <c r="F25" s="549">
        <f t="shared" si="9"/>
        <v>928.79</v>
      </c>
      <c r="G25" s="331" t="s">
        <v>431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802">
        <v>44841</v>
      </c>
      <c r="F26" s="549">
        <f t="shared" si="9"/>
        <v>291.93</v>
      </c>
      <c r="G26" s="331" t="s">
        <v>434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802">
        <v>44841</v>
      </c>
      <c r="F27" s="549">
        <f t="shared" si="9"/>
        <v>57.38</v>
      </c>
      <c r="G27" s="331" t="s">
        <v>443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802">
        <v>44844</v>
      </c>
      <c r="F28" s="549">
        <f t="shared" si="9"/>
        <v>916.35</v>
      </c>
      <c r="G28" s="331" t="s">
        <v>462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802">
        <v>44845</v>
      </c>
      <c r="F29" s="549">
        <f t="shared" si="9"/>
        <v>142.01</v>
      </c>
      <c r="G29" s="331" t="s">
        <v>467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802">
        <v>44845</v>
      </c>
      <c r="F30" s="549">
        <f t="shared" si="9"/>
        <v>30.71</v>
      </c>
      <c r="G30" s="331" t="s">
        <v>436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802">
        <v>44846</v>
      </c>
      <c r="F31" s="549">
        <f t="shared" si="9"/>
        <v>289.92</v>
      </c>
      <c r="G31" s="331" t="s">
        <v>475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802">
        <v>44846</v>
      </c>
      <c r="F32" s="549">
        <f t="shared" si="9"/>
        <v>977.71</v>
      </c>
      <c r="G32" s="331" t="s">
        <v>477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802">
        <v>44847</v>
      </c>
      <c r="F33" s="549">
        <f t="shared" si="9"/>
        <v>27.85</v>
      </c>
      <c r="G33" s="331" t="s">
        <v>479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802">
        <v>44848</v>
      </c>
      <c r="F34" s="549">
        <f t="shared" si="9"/>
        <v>156.31</v>
      </c>
      <c r="G34" s="331" t="s">
        <v>494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802">
        <v>44848</v>
      </c>
      <c r="F35" s="549">
        <f t="shared" si="9"/>
        <v>27.4</v>
      </c>
      <c r="G35" s="331" t="s">
        <v>494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802">
        <v>44849</v>
      </c>
      <c r="F36" s="549">
        <f t="shared" si="9"/>
        <v>30.39</v>
      </c>
      <c r="G36" s="331" t="s">
        <v>499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802">
        <v>44849</v>
      </c>
      <c r="F37" s="549">
        <f t="shared" si="9"/>
        <v>964.07</v>
      </c>
      <c r="G37" s="331" t="s">
        <v>506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802">
        <v>44851</v>
      </c>
      <c r="F38" s="549">
        <f t="shared" si="9"/>
        <v>299.69</v>
      </c>
      <c r="G38" s="331" t="s">
        <v>507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802">
        <v>44852</v>
      </c>
      <c r="F39" s="549">
        <f t="shared" si="9"/>
        <v>939.13</v>
      </c>
      <c r="G39" s="331" t="s">
        <v>512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802">
        <v>44853</v>
      </c>
      <c r="F40" s="549">
        <f t="shared" si="9"/>
        <v>22.82</v>
      </c>
      <c r="G40" s="331" t="s">
        <v>516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802">
        <v>44853</v>
      </c>
      <c r="F41" s="549">
        <f t="shared" si="9"/>
        <v>286.45</v>
      </c>
      <c r="G41" s="331" t="s">
        <v>517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134</v>
      </c>
      <c r="C42" s="15"/>
      <c r="D42" s="549"/>
      <c r="E42" s="802"/>
      <c r="F42" s="549">
        <f t="shared" si="9"/>
        <v>0</v>
      </c>
      <c r="G42" s="331"/>
      <c r="H42" s="332"/>
      <c r="I42" s="105">
        <f t="shared" si="6"/>
        <v>4171.8100000000013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134</v>
      </c>
      <c r="C43" s="15"/>
      <c r="D43" s="549"/>
      <c r="E43" s="802"/>
      <c r="F43" s="549">
        <f t="shared" si="9"/>
        <v>0</v>
      </c>
      <c r="G43" s="331"/>
      <c r="H43" s="332"/>
      <c r="I43" s="105">
        <f t="shared" si="6"/>
        <v>4171.8100000000013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134</v>
      </c>
      <c r="C44" s="15"/>
      <c r="D44" s="549"/>
      <c r="E44" s="802"/>
      <c r="F44" s="549">
        <f t="shared" si="9"/>
        <v>0</v>
      </c>
      <c r="G44" s="331"/>
      <c r="H44" s="332"/>
      <c r="I44" s="105">
        <f t="shared" si="6"/>
        <v>4171.8100000000013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134</v>
      </c>
      <c r="C45" s="15"/>
      <c r="D45" s="549"/>
      <c r="E45" s="802"/>
      <c r="F45" s="549">
        <f t="shared" si="9"/>
        <v>0</v>
      </c>
      <c r="G45" s="331"/>
      <c r="H45" s="332"/>
      <c r="I45" s="105">
        <f t="shared" si="6"/>
        <v>4171.8100000000013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134</v>
      </c>
      <c r="C46" s="15"/>
      <c r="D46" s="549"/>
      <c r="E46" s="802"/>
      <c r="F46" s="549">
        <f t="shared" si="9"/>
        <v>0</v>
      </c>
      <c r="G46" s="331"/>
      <c r="H46" s="332"/>
      <c r="I46" s="105">
        <f t="shared" si="6"/>
        <v>4171.8100000000013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134</v>
      </c>
      <c r="C47" s="15"/>
      <c r="D47" s="549"/>
      <c r="E47" s="802"/>
      <c r="F47" s="549">
        <f t="shared" si="9"/>
        <v>0</v>
      </c>
      <c r="G47" s="331"/>
      <c r="H47" s="332"/>
      <c r="I47" s="105">
        <f t="shared" si="6"/>
        <v>4171.8100000000013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134</v>
      </c>
      <c r="C48" s="15"/>
      <c r="D48" s="549"/>
      <c r="E48" s="802"/>
      <c r="F48" s="549">
        <f t="shared" si="9"/>
        <v>0</v>
      </c>
      <c r="G48" s="331"/>
      <c r="H48" s="332"/>
      <c r="I48" s="105">
        <f t="shared" si="6"/>
        <v>4171.8100000000013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134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4171.8100000000013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134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4171.8100000000013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134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4171.8100000000013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134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4171.8100000000013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134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4171.8100000000013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134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4171.8100000000013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134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4171.8100000000013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134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4171.8100000000013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134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4171.8100000000013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134</v>
      </c>
      <c r="C58" s="15"/>
      <c r="D58" s="69"/>
      <c r="E58" s="203"/>
      <c r="F58" s="69">
        <v>0</v>
      </c>
      <c r="G58" s="70"/>
      <c r="H58" s="71"/>
      <c r="I58" s="105">
        <f t="shared" si="6"/>
        <v>4171.8100000000013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134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4171.8100000000013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134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4171.8100000000013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134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4171.8100000000013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134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4171.8100000000013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134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4171.8100000000013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134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4171.8100000000013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134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4171.8100000000013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134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4171.8100000000013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134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4171.8100000000013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134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4171.8100000000013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134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4171.8100000000013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134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4171.8100000000013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134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4171.8100000000013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134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4171.8100000000013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134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4171.8100000000013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134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4171.8100000000013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134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4171.8100000000013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134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4171.8100000000013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4171.8100000000013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356</v>
      </c>
      <c r="D79" s="6">
        <f>SUM(D10:D78)</f>
        <v>11059.9</v>
      </c>
      <c r="F79" s="6">
        <f>SUM(F10:F78)</f>
        <v>11059.9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134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39" t="s">
        <v>11</v>
      </c>
      <c r="D84" s="1040"/>
      <c r="E84" s="57">
        <f>E5+E6-F79+E7</f>
        <v>4171.8099999999995</v>
      </c>
      <c r="F84" s="73"/>
      <c r="N84" s="1039" t="s">
        <v>11</v>
      </c>
      <c r="O84" s="1040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Hoja1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2022-11-14T21:51:27Z</dcterms:modified>
</cp:coreProperties>
</file>