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drawings/drawing16.xml" ContentType="application/vnd.openxmlformats-officedocument.drawing+xml"/>
  <Override PartName="/xl/comments13.xml" ContentType="application/vnd.openxmlformats-officedocument.spreadsheetml.comments+xml"/>
  <Override PartName="/xl/drawings/drawing17.xml" ContentType="application/vnd.openxmlformats-officedocument.drawing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3690" yWindow="0" windowWidth="16605" windowHeight="10920" firstSheet="26" activeTab="27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   N O V I E M B R E   2 0 2 2 " sheetId="29" r:id="rId28"/>
    <sheet name="COMPRAS  NOVIEMBRE 2022" sheetId="31" r:id="rId29"/>
    <sheet name="Hoja2" sheetId="32" r:id="rId3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29" l="1"/>
  <c r="P10" i="29"/>
  <c r="Q10" i="29"/>
  <c r="M10" i="29"/>
  <c r="M9" i="29"/>
  <c r="M8" i="29" l="1"/>
  <c r="M7" i="29" l="1"/>
  <c r="M6" i="29"/>
  <c r="N67" i="31" l="1"/>
  <c r="M67" i="31"/>
  <c r="K67" i="31"/>
  <c r="F67" i="31"/>
  <c r="D67" i="31"/>
  <c r="G65" i="31"/>
  <c r="G64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N3" i="31"/>
  <c r="N4" i="31" s="1"/>
  <c r="N5" i="31" s="1"/>
  <c r="N6" i="31" s="1"/>
  <c r="N7" i="31" s="1"/>
  <c r="N8" i="31" s="1"/>
  <c r="N9" i="31" s="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G3" i="31"/>
  <c r="G67" i="31" s="1"/>
  <c r="K73" i="29"/>
  <c r="I67" i="29"/>
  <c r="F67" i="29"/>
  <c r="C67" i="29"/>
  <c r="R42" i="29"/>
  <c r="Q40" i="29"/>
  <c r="Q39" i="29"/>
  <c r="Q38" i="29"/>
  <c r="Q37" i="29"/>
  <c r="L67" i="29"/>
  <c r="Q36" i="29"/>
  <c r="Q35" i="29"/>
  <c r="Q34" i="29"/>
  <c r="P33" i="29"/>
  <c r="Q33" i="29" s="1"/>
  <c r="P32" i="29"/>
  <c r="Q32" i="29" s="1"/>
  <c r="P31" i="29"/>
  <c r="Q31" i="29" s="1"/>
  <c r="P30" i="29"/>
  <c r="Q30" i="29" s="1"/>
  <c r="P29" i="29"/>
  <c r="Q29" i="29" s="1"/>
  <c r="P28" i="29"/>
  <c r="Q28" i="29" s="1"/>
  <c r="P27" i="29"/>
  <c r="Q27" i="29" s="1"/>
  <c r="P26" i="29"/>
  <c r="Q26" i="29" s="1"/>
  <c r="P25" i="29"/>
  <c r="Q25" i="29" s="1"/>
  <c r="P24" i="29"/>
  <c r="Q24" i="29" s="1"/>
  <c r="P23" i="29"/>
  <c r="Q23" i="29" s="1"/>
  <c r="P22" i="29"/>
  <c r="Q22" i="29" s="1"/>
  <c r="P21" i="29"/>
  <c r="Q21" i="29" s="1"/>
  <c r="P20" i="29"/>
  <c r="P19" i="29"/>
  <c r="P18" i="29"/>
  <c r="Q18" i="29" s="1"/>
  <c r="P17" i="29"/>
  <c r="Q17" i="29" s="1"/>
  <c r="P16" i="29"/>
  <c r="Q16" i="29" s="1"/>
  <c r="P15" i="29"/>
  <c r="Q15" i="29" s="1"/>
  <c r="P14" i="29"/>
  <c r="P13" i="29"/>
  <c r="Q13" i="29" s="1"/>
  <c r="P12" i="29"/>
  <c r="Q12" i="29" s="1"/>
  <c r="P11" i="29"/>
  <c r="Q11" i="29" s="1"/>
  <c r="P9" i="29"/>
  <c r="Q9" i="29" s="1"/>
  <c r="P8" i="29"/>
  <c r="P7" i="29"/>
  <c r="Q7" i="29" s="1"/>
  <c r="P6" i="29"/>
  <c r="P5" i="29"/>
  <c r="Q5" i="29" s="1"/>
  <c r="K69" i="29" l="1"/>
  <c r="F70" i="29" s="1"/>
  <c r="F73" i="29" s="1"/>
  <c r="K71" i="29" s="1"/>
  <c r="K75" i="29" s="1"/>
  <c r="Q41" i="29"/>
  <c r="M41" i="29"/>
  <c r="N41" i="29"/>
  <c r="P41" i="29"/>
  <c r="F32" i="28"/>
  <c r="F31" i="28"/>
  <c r="F28" i="28"/>
  <c r="F22" i="28"/>
  <c r="F18" i="28"/>
  <c r="F3" i="28"/>
  <c r="D101" i="28"/>
  <c r="M45" i="29" l="1"/>
  <c r="L37" i="30"/>
  <c r="P22" i="30"/>
  <c r="M29" i="30"/>
  <c r="M28" i="30"/>
  <c r="M26" i="30"/>
  <c r="N26" i="30" l="1"/>
  <c r="M25" i="30"/>
  <c r="M22" i="30"/>
  <c r="N22" i="30" l="1"/>
  <c r="M21" i="30"/>
  <c r="M20" i="30"/>
  <c r="M19" i="30" l="1"/>
  <c r="C19" i="30"/>
  <c r="M15" i="30" l="1"/>
  <c r="M14" i="30"/>
  <c r="M13" i="30" l="1"/>
  <c r="M12" i="30" l="1"/>
  <c r="M10" i="30"/>
  <c r="M9" i="30" l="1"/>
  <c r="M8" i="30" l="1"/>
  <c r="M7" i="30"/>
  <c r="M6" i="30" l="1"/>
  <c r="M5" i="30" l="1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Q38" i="30"/>
  <c r="Q37" i="30"/>
  <c r="Q36" i="30"/>
  <c r="Q35" i="30"/>
  <c r="Q34" i="30"/>
  <c r="P33" i="30"/>
  <c r="Q33" i="30" s="1"/>
  <c r="P32" i="30"/>
  <c r="Q32" i="30" s="1"/>
  <c r="P31" i="30"/>
  <c r="Q31" i="30" s="1"/>
  <c r="P30" i="30"/>
  <c r="Q30" i="30" s="1"/>
  <c r="P29" i="30"/>
  <c r="Q29" i="30" s="1"/>
  <c r="P28" i="30"/>
  <c r="Q28" i="30" s="1"/>
  <c r="P27" i="30"/>
  <c r="Q27" i="30" s="1"/>
  <c r="P26" i="30"/>
  <c r="Q26" i="30" s="1"/>
  <c r="P25" i="30"/>
  <c r="Q25" i="30" s="1"/>
  <c r="P24" i="30"/>
  <c r="Q24" i="30" s="1"/>
  <c r="P23" i="30"/>
  <c r="Q23" i="30" s="1"/>
  <c r="Q22" i="30"/>
  <c r="P21" i="30"/>
  <c r="Q21" i="30" s="1"/>
  <c r="P20" i="30"/>
  <c r="P19" i="30"/>
  <c r="P18" i="30"/>
  <c r="Q18" i="30" s="1"/>
  <c r="P17" i="30"/>
  <c r="Q17" i="30" s="1"/>
  <c r="P16" i="30"/>
  <c r="Q16" i="30" s="1"/>
  <c r="P15" i="30"/>
  <c r="Q15" i="30" s="1"/>
  <c r="P14" i="30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<sst xmlns="http://schemas.openxmlformats.org/spreadsheetml/2006/main" count="2774" uniqueCount="1484">
  <si>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</si>
  <si>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</si>
  <si>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</si>
  <si>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</si>
  <si>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</si>
  <si>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</si>
  <si>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</si>
  <si>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</si>
  <si>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</si>
  <si>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</si>
  <si>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</si>
  <si>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</si>
  <si>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</si>
  <si>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</si>
  <si>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</si>
  <si>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</si>
  <si>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</si>
  <si>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</si>
  <si>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</si>
  <si>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</si>
  <si>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</si>
  <si>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</si>
  <si>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</si>
  <si>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</si>
  <si>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</si>
  <si>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</si>
  <si>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</si>
  <si>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</si>
  <si>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</si>
  <si>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</si>
  <si>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</si>
  <si>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</si>
  <si>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</si>
  <si>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</si>
  <si>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</si>
  <si>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</si>
  <si>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</si>
  <si>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</si>
  <si>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</si>
  <si>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</si>
  <si>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</si>
  <si>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</si>
  <si>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</si>
  <si>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</si>
  <si>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</si>
  <si>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</si>
  <si>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</si>
  <si>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</si>
  <si>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</si>
  <si>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</si>
  <si>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</si>
  <si>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</si>
  <si>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</si>
  <si>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</si>
  <si>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</si>
  <si>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</si>
  <si>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</si>
  <si>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</si>
  <si>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</si>
  <si>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</si>
  <si>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</si>
  <si>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</si>
  <si>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</si>
  <si>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</si>
  <si>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</si>
  <si>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</si>
  <si>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</si>
  <si>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</si>
  <si>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</si>
  <si>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</si>
  <si>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</si>
  <si>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</si>
  <si>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</si>
  <si>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</si>
  <si>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</si>
  <si>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</si>
  <si>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</si>
  <si>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</si>
  <si>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</si>
  <si>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</si>
  <si>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</si>
  <si>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</si>
  <si>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</si>
  <si>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</si>
  <si>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</si>
  <si>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</si>
  <si>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</si>
  <si>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</si>
  <si>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</si>
  <si>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</si>
  <si>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</si>
  <si>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</si>
  <si>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</si>
  <si>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</si>
  <si>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</si>
  <si>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</si>
  <si>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</si>
  <si>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</si>
  <si>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</si>
  <si>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</si>
  <si>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</si>
  <si>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</si>
  <si>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</si>
  <si>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</si>
  <si>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</si>
  <si>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</si>
  <si>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</si>
  <si>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</si>
  <si>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</si>
  <si>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</si>
  <si>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</si>
  <si>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</si>
  <si>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</si>
  <si>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</si>
  <si>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</si>
  <si>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</si>
  <si>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</si>
  <si>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</si>
  <si>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</si>
  <si>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</si>
  <si>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</si>
  <si>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</si>
  <si>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</si>
  <si>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</si>
  <si>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</si>
  <si>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</si>
  <si>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</si>
  <si>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</si>
  <si>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</si>
  <si>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</si>
  <si>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</si>
  <si>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</si>
  <si>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</si>
  <si>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</si>
  <si>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</si>
  <si>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</si>
  <si>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</si>
  <si>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</si>
  <si>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</si>
  <si>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</si>
  <si>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</si>
  <si>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</si>
  <si>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</si>
  <si>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</si>
  <si>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</si>
  <si>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</si>
  <si>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</si>
  <si>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</si>
  <si>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</si>
  <si>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</si>
  <si>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</si>
  <si>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</si>
  <si>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</si>
  <si>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</si>
  <si>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</si>
  <si>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</si>
  <si>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</si>
  <si>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</si>
  <si>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</si>
  <si>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</si>
  <si>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</si>
  <si>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</si>
  <si>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</si>
  <si>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</si>
  <si>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</si>
  <si>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</si>
  <si>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</si>
  <si>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</si>
  <si>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</si>
  <si>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</si>
  <si>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</si>
  <si>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</si>
  <si>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</si>
  <si>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</si>
  <si>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</si>
  <si>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</si>
  <si>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</si>
  <si>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</si>
  <si>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</si>
  <si>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</si>
  <si>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</si>
  <si>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</si>
  <si>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</si>
  <si>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</si>
  <si>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</si>
  <si>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</si>
  <si>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</si>
  <si>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</si>
  <si>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</si>
  <si>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</si>
  <si>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</si>
  <si>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</si>
  <si>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</si>
  <si>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</si>
  <si>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</si>
  <si>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</si>
  <si>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</si>
  <si>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</si>
  <si>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</si>
  <si>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</si>
  <si>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</si>
  <si>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</si>
  <si>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</si>
  <si>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</si>
  <si>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</si>
  <si>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</si>
  <si>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</si>
  <si>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</si>
  <si>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</si>
  <si>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</si>
  <si>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</si>
  <si>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</si>
  <si>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</si>
  <si>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</si>
  <si>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</si>
  <si>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</si>
  <si>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</si>
  <si>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</si>
  <si>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</si>
  <si>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</si>
  <si>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</si>
  <si>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</si>
  <si>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</si>
  <si>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</si>
  <si>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</si>
  <si>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</si>
  <si>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</si>
  <si>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</si>
  <si>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</si>
  <si>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</si>
  <si>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</si>
  <si>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</si>
  <si>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</si>
  <si>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</si>
  <si>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</si>
  <si>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</si>
  <si>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</si>
  <si>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</si>
  <si>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</si>
  <si>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</si>
  <si>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</si>
  <si>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</si>
  <si>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</si>
  <si>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</si>
  <si>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</si>
  <si>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</si>
  <si>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</si>
  <si>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</si>
  <si>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</si>
  <si>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</si>
  <si>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</si>
  <si>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</si>
  <si>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</si>
  <si>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</si>
  <si>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</si>
  <si>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</si>
  <si>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</si>
  <si>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</si>
  <si>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</si>
  <si>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</si>
  <si>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</si>
  <si>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</si>
  <si>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</si>
  <si>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</si>
  <si>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</si>
  <si>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</si>
  <si>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</si>
  <si>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</si>
  <si>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</si>
  <si>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</si>
  <si>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</si>
  <si>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</si>
  <si>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</si>
  <si>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</si>
  <si>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</si>
  <si>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</si>
  <si>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</si>
  <si>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</si>
  <si>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</si>
  <si>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</si>
  <si>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</si>
  <si>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</si>
  <si>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</si>
  <si>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</si>
  <si>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</si>
  <si>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</si>
  <si>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</si>
  <si>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</si>
  <si>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</si>
  <si>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</si>
  <si>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</si>
  <si>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</si>
  <si>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</si>
  <si>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</si>
  <si>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</si>
  <si>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</si>
  <si>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</si>
  <si>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</si>
  <si>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</si>
  <si>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</si>
  <si>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</si>
  <si>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</si>
  <si>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</si>
  <si>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</si>
  <si>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</si>
  <si>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</si>
  <si>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</si>
  <si>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</si>
  <si>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</si>
  <si>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</si>
  <si>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</si>
  <si>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</si>
  <si>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</si>
  <si>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</si>
  <si>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</si>
  <si>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</si>
  <si>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</si>
  <si>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</si>
  <si>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</si>
  <si>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</si>
  <si>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</si>
  <si>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</si>
  <si>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</si>
  <si>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</si>
  <si>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</si>
  <si>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</si>
  <si>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</si>
  <si>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</si>
  <si>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</si>
  <si>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</si>
  <si>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</si>
  <si>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</si>
  <si>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</si>
  <si>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</si>
  <si>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</si>
  <si>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</si>
  <si>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</si>
  <si>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</si>
  <si>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</si>
  <si>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</si>
  <si>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</si>
  <si>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</si>
  <si>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</si>
  <si>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</si>
  <si>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</si>
  <si>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</si>
  <si>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</si>
  <si>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</si>
  <si>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</si>
  <si>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</si>
  <si>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</si>
  <si>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</si>
  <si>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</si>
  <si>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</si>
  <si>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</si>
  <si>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</si>
  <si>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</si>
  <si>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</si>
  <si>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</si>
  <si>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</si>
  <si>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</si>
  <si>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</si>
  <si>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</si>
  <si>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</si>
  <si>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</si>
  <si>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</si>
  <si>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</si>
  <si>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</si>
  <si>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</si>
  <si>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</si>
  <si>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</si>
  <si>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</si>
  <si>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</si>
  <si>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</si>
  <si>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</si>
  <si>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</si>
  <si>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</si>
  <si>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</si>
  <si>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</si>
  <si>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</si>
  <si>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</si>
  <si>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</si>
  <si>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</si>
  <si>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</si>
  <si>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</si>
  <si>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</si>
  <si>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</si>
  <si>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</si>
  <si>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</si>
  <si>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</si>
  <si>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</si>
  <si>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</si>
  <si>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</si>
  <si>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</si>
  <si>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</si>
  <si>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</si>
  <si>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</si>
  <si>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</si>
  <si>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</si>
  <si>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</si>
  <si>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</si>
  <si>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</si>
  <si>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</si>
  <si>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</si>
  <si>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</si>
  <si>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</si>
  <si>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</si>
  <si>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</si>
  <si>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</si>
  <si>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</si>
  <si>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</si>
  <si>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</si>
  <si>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</si>
  <si>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</si>
  <si>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</si>
  <si>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</si>
  <si>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</si>
  <si>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</si>
  <si>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</si>
  <si>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</si>
  <si>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</si>
  <si>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</si>
  <si>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</si>
  <si>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</si>
  <si>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</si>
  <si>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</si>
  <si>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</si>
  <si>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</si>
  <si>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</si>
  <si>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</si>
  <si>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</si>
  <si>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</si>
  <si>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</si>
  <si>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</si>
  <si>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</si>
  <si>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</si>
  <si>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</si>
  <si>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</si>
  <si>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</si>
  <si>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</si>
  <si>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</si>
  <si>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</si>
  <si>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</si>
  <si>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</si>
  <si>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</si>
  <si>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</si>
  <si>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</si>
  <si>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</si>
  <si>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</si>
  <si>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</si>
  <si>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</si>
  <si>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</si>
  <si>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</si>
  <si>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</si>
  <si>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</si>
  <si>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</si>
  <si>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</si>
  <si>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</si>
  <si>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</si>
  <si>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</si>
  <si>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</si>
  <si>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</si>
  <si>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</si>
  <si>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</si>
  <si>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</si>
  <si>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</si>
  <si>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</si>
  <si>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</si>
  <si>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</si>
  <si>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</si>
  <si>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</si>
  <si>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</si>
  <si>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</si>
  <si>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</si>
  <si>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</si>
  <si>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</si>
  <si>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</si>
  <si>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</si>
  <si>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</si>
  <si>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</si>
  <si>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</si>
  <si>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</si>
  <si>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</si>
  <si>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</si>
  <si>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</si>
  <si>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</si>
  <si>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</si>
  <si>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</si>
  <si>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</si>
  <si>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</si>
  <si>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</si>
  <si>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</si>
  <si>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</si>
  <si>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</si>
  <si>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</si>
  <si>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</si>
  <si>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</si>
  <si>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</si>
  <si>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</si>
  <si>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</si>
  <si>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</si>
  <si>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</si>
  <si>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</si>
  <si>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</si>
  <si>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</si>
  <si>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</si>
  <si>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</si>
  <si>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</si>
  <si>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</si>
  <si>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</si>
  <si>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</si>
  <si>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</si>
  <si>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</si>
  <si>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</si>
  <si>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</si>
  <si>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</si>
  <si>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</si>
  <si>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</si>
  <si>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</si>
  <si>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</si>
  <si>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</si>
  <si>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</si>
  <si>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</si>
  <si>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</si>
  <si>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</si>
  <si>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</si>
  <si>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</si>
  <si>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</si>
  <si>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</si>
  <si>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</si>
  <si>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</si>
  <si>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</si>
  <si>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</si>
  <si>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</si>
  <si>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</si>
  <si>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</si>
  <si>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</si>
  <si>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</si>
  <si>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</si>
  <si>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</si>
  <si>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</si>
  <si>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</si>
  <si>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</si>
  <si>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</si>
  <si>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</si>
  <si>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</si>
  <si>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</si>
  <si>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</si>
  <si>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</si>
  <si>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</si>
  <si>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</si>
  <si>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</si>
  <si>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</si>
  <si>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</si>
  <si>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</si>
  <si>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</si>
  <si>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</si>
  <si>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</si>
  <si>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</si>
  <si>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</si>
  <si>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</si>
  <si>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</si>
  <si>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</si>
  <si>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</si>
  <si>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</si>
  <si>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</si>
  <si>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</si>
  <si>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</si>
  <si>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</si>
  <si>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</si>
  <si>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</si>
  <si>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</si>
  <si>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</si>
  <si>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</si>
  <si>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</si>
  <si>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</si>
  <si>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</si>
  <si>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</si>
  <si>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</si>
  <si>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</si>
  <si>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</si>
  <si>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</si>
  <si>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</si>
  <si>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</si>
  <si>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</si>
  <si>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</si>
  <si>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</si>
  <si>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</si>
  <si>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</si>
  <si>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</si>
  <si>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</si>
  <si>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</si>
  <si>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</si>
  <si>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</si>
  <si>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</si>
  <si>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</si>
  <si>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</si>
  <si>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</si>
  <si>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</si>
  <si>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</si>
  <si>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</si>
  <si>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</si>
  <si>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</si>
  <si>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</si>
  <si>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</si>
  <si>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</si>
  <si>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</si>
  <si>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</si>
  <si>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</si>
  <si>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</si>
  <si>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</si>
  <si>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</si>
  <si>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</si>
  <si>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</si>
  <si>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</si>
  <si>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</si>
  <si>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</si>
  <si>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</si>
  <si>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</si>
  <si>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</si>
  <si>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</si>
  <si>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</si>
  <si>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</si>
  <si>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</si>
  <si>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</si>
  <si>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</si>
  <si>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</si>
  <si>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</si>
  <si>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</si>
  <si>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</si>
  <si>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</si>
  <si>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</si>
  <si>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</si>
  <si>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</si>
  <si>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</si>
  <si>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</si>
  <si>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</si>
  <si>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</si>
  <si>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</si>
  <si>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</si>
  <si>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</si>
  <si>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</si>
  <si>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</si>
  <si>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</si>
  <si>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</si>
  <si>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</si>
  <si>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</si>
  <si>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</si>
  <si>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</si>
  <si>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</si>
  <si>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</si>
  <si>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</si>
  <si>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</si>
  <si>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</si>
  <si>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</si>
  <si>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</si>
  <si>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</si>
  <si>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</si>
  <si>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</si>
  <si>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</si>
  <si>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</si>
  <si>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</si>
  <si>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</si>
  <si>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</si>
  <si>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</si>
  <si>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</si>
  <si>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</si>
  <si>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</si>
  <si>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</si>
  <si>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</si>
  <si>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</si>
  <si>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</si>
  <si>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</si>
  <si>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</si>
  <si>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</si>
  <si>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</si>
  <si>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</si>
  <si>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</si>
  <si>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</si>
  <si>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</si>
  <si>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</si>
  <si>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</si>
  <si>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</si>
  <si>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</si>
  <si>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</si>
  <si>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</si>
  <si>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</si>
  <si>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</si>
  <si>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</si>
  <si>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</si>
  <si>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</si>
  <si>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</si>
  <si>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</si>
  <si>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</si>
  <si>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</si>
  <si>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</si>
  <si>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</si>
  <si>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</si>
  <si>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</si>
  <si>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</si>
  <si>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</si>
  <si>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</si>
  <si>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</si>
  <si>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</si>
  <si>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</si>
  <si>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</si>
  <si>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</si>
  <si>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</si>
  <si>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</si>
  <si>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</si>
  <si>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</si>
  <si>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</si>
  <si>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</si>
  <si>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</si>
  <si>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</si>
  <si>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</si>
  <si>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</si>
  <si>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</si>
  <si>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</si>
  <si>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</si>
  <si>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</si>
  <si>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</si>
  <si>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</si>
  <si>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</si>
  <si>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</si>
  <si>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</si>
  <si>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</si>
  <si>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</si>
  <si>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</si>
  <si>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</si>
  <si>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</si>
  <si>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</si>
  <si>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</si>
  <si>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</si>
  <si>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</si>
  <si>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</si>
  <si>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</si>
  <si>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</si>
  <si>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</si>
  <si>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</si>
  <si>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</si>
  <si>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</si>
  <si>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</si>
  <si>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</si>
  <si>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</si>
  <si>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</si>
  <si>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</si>
  <si>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</si>
  <si>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</si>
  <si>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</si>
  <si>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</si>
  <si>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</si>
  <si>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</si>
  <si>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</si>
  <si>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</si>
  <si>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</si>
  <si>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</si>
  <si>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</si>
  <si>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</si>
  <si>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</si>
  <si>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</si>
  <si>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</si>
  <si>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</si>
  <si>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</si>
  <si>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</si>
  <si>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</si>
  <si>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</si>
  <si>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</si>
  <si>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</si>
  <si>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</si>
  <si>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</si>
  <si>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</si>
  <si>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</si>
  <si>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</si>
  <si>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</si>
  <si>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</si>
  <si>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</si>
  <si>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</si>
  <si>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</si>
  <si>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</si>
  <si>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</si>
  <si>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</si>
  <si>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</si>
  <si>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</si>
  <si>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</si>
  <si>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</si>
  <si>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</si>
  <si>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</si>
  <si>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</si>
  <si>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</si>
  <si>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</si>
  <si>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</si>
  <si>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</si>
  <si>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</si>
  <si>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</si>
  <si>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</si>
  <si>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</si>
  <si>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</si>
  <si>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</si>
  <si>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</si>
  <si>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</si>
  <si>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</si>
  <si>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</si>
  <si>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</si>
  <si>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</si>
  <si>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</si>
  <si>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</si>
  <si>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</si>
  <si>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</si>
  <si>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</si>
  <si>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</si>
  <si>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</si>
  <si>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</si>
  <si>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</si>
  <si>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</si>
  <si>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</si>
  <si>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</si>
  <si>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</si>
  <si>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</si>
  <si>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</si>
  <si>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</si>
  <si>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</si>
  <si>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</si>
  <si>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</si>
  <si>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</si>
  <si>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</si>
  <si>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</si>
  <si>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</si>
  <si>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</si>
  <si>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</si>
  <si>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</si>
  <si>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</si>
  <si>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</si>
  <si>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</si>
  <si>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</si>
  <si>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</si>
  <si>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</si>
  <si>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</si>
  <si>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</si>
  <si>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</si>
  <si>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</si>
  <si>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</si>
  <si>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</si>
  <si>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</si>
  <si>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</si>
  <si>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</si>
  <si>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</si>
  <si>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</si>
  <si>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</si>
  <si>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</si>
  <si>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</si>
  <si>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</si>
  <si>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</si>
  <si>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</si>
  <si>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</si>
  <si>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</si>
  <si>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</si>
  <si>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</si>
  <si>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</si>
  <si>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</si>
  <si>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</si>
  <si>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</si>
  <si>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</si>
  <si>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</si>
  <si>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</si>
  <si>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</si>
  <si>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</si>
  <si>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</si>
  <si>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</si>
  <si>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</si>
  <si>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</si>
  <si>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</si>
  <si>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</si>
  <si>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</si>
  <si>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</si>
  <si>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</si>
  <si>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</si>
  <si>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</si>
  <si>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</si>
  <si>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</si>
  <si>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</si>
  <si>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</si>
  <si>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</si>
  <si>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</si>
  <si>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</si>
  <si>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</si>
  <si>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</si>
  <si>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</si>
  <si>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</si>
  <si>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</si>
  <si>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</si>
  <si>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</si>
  <si>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</si>
  <si>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</si>
  <si>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</si>
  <si>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</si>
  <si>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</si>
  <si>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</si>
  <si>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</si>
  <si>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</si>
  <si>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</si>
  <si>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</si>
  <si>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</si>
  <si>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</si>
  <si>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</si>
  <si>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</si>
  <si>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</si>
  <si>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</si>
  <si>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</si>
  <si>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</si>
  <si>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</si>
  <si>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</si>
  <si>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</si>
  <si>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</si>
  <si>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</si>
  <si>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</si>
  <si>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</si>
  <si>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</si>
  <si>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</si>
  <si>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</si>
  <si>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</si>
  <si>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</si>
  <si>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</si>
  <si>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</si>
  <si>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</si>
  <si>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</si>
  <si>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</si>
  <si>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</si>
  <si>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</si>
  <si>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</si>
  <si>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</si>
  <si>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</si>
  <si>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</si>
  <si>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</si>
  <si>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</si>
  <si>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</si>
  <si>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</si>
  <si>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</si>
  <si>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</si>
  <si>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</si>
  <si>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</si>
  <si>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</si>
  <si>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</si>
  <si>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</si>
  <si>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</si>
  <si>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</si>
  <si>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</si>
  <si>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</si>
  <si>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</si>
  <si>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</si>
  <si>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</si>
  <si>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</si>
  <si>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</si>
  <si>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</si>
  <si>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</si>
  <si>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</si>
  <si>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</si>
  <si>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</si>
  <si>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</si>
  <si>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</si>
  <si>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</si>
  <si>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</si>
  <si>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</si>
  <si>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</si>
  <si>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</si>
  <si>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</si>
  <si>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</si>
  <si>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</si>
  <si>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</si>
  <si>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</si>
  <si>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</si>
  <si>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</si>
  <si>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</si>
  <si>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</si>
  <si>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</si>
  <si>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</si>
  <si>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</si>
  <si>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</si>
  <si>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</si>
  <si>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</si>
  <si>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</si>
  <si>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</si>
  <si>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</si>
  <si>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</si>
  <si>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</si>
  <si>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</si>
  <si>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</si>
  <si>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</si>
  <si>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</si>
  <si>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</si>
  <si>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</si>
  <si>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</si>
  <si>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</si>
  <si>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</si>
  <si>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</si>
  <si>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</si>
  <si>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</si>
  <si>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</si>
  <si>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</si>
  <si>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</si>
  <si>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</si>
  <si>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</si>
  <si>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</si>
  <si>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</si>
  <si>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</si>
  <si>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</si>
  <si>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</si>
  <si>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</si>
  <si>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</si>
  <si>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</si>
  <si>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</si>
  <si>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</si>
  <si>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</si>
  <si>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</si>
  <si>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</si>
  <si>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</si>
  <si>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</si>
  <si>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</si>
  <si>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</si>
  <si>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</si>
  <si>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</si>
  <si>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</si>
  <si>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</si>
  <si>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</si>
  <si>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</si>
  <si>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</si>
  <si>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</si>
  <si>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</si>
  <si>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</si>
  <si>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</si>
  <si>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</si>
  <si>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</si>
  <si>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</si>
  <si>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</si>
  <si>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</si>
  <si>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</si>
  <si>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</si>
  <si>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</si>
  <si>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</si>
  <si>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</si>
  <si>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</si>
  <si>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</si>
  <si>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</si>
  <si>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</si>
  <si>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</si>
  <si>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</si>
  <si>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</si>
  <si>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</si>
  <si>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</si>
  <si>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</si>
  <si>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</si>
  <si>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</si>
  <si>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</si>
  <si>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</si>
  <si>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</si>
  <si>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</si>
  <si>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</si>
  <si>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</si>
  <si>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</si>
  <si>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</si>
  <si>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</si>
  <si>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</si>
  <si>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</si>
  <si>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</si>
  <si>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</si>
  <si>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</si>
  <si>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</si>
  <si>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</si>
  <si>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</si>
  <si>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</si>
  <si>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</si>
  <si>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</si>
  <si>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</si>
  <si>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</si>
  <si>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</si>
  <si>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</si>
  <si>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</si>
  <si>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</si>
  <si>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</si>
  <si>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</si>
  <si>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</si>
  <si>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</si>
  <si>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</si>
  <si>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</si>
  <si>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</si>
  <si>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</si>
  <si>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</si>
  <si>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</si>
  <si>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</si>
  <si>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</si>
  <si>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</si>
  <si>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</si>
  <si>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</si>
  <si>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</si>
  <si>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</si>
  <si>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</si>
  <si>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</si>
  <si>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</si>
  <si>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</si>
  <si>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</si>
  <si>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</si>
  <si>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</si>
  <si>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</si>
  <si>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</si>
  <si>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</si>
  <si>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</si>
  <si>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</si>
  <si>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</si>
  <si>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</si>
  <si>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</si>
  <si>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</si>
  <si>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</si>
  <si>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</si>
  <si>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</si>
  <si>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</si>
  <si>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</si>
  <si>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</si>
  <si>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</si>
  <si>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</si>
  <si>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</si>
  <si>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</si>
  <si>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</si>
  <si>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</si>
  <si>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</si>
  <si>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</si>
  <si>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</si>
  <si>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</si>
  <si>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</si>
  <si>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</si>
  <si>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</si>
  <si>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</si>
  <si>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</si>
  <si>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</si>
  <si>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</si>
  <si>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</si>
  <si>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</si>
  <si>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</si>
  <si>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</si>
  <si>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</si>
  <si>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</si>
  <si>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</si>
  <si>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</si>
  <si>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</si>
  <si>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</si>
  <si>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</si>
  <si>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</si>
  <si>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</si>
  <si>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</si>
  <si>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</si>
  <si>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</si>
  <si>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</si>
  <si>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</si>
  <si>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</si>
  <si>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</si>
  <si>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</si>
  <si>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</si>
  <si>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</si>
  <si>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</si>
  <si>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</si>
  <si>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</si>
  <si>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</si>
  <si>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</si>
  <si>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</si>
  <si>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</si>
  <si>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</si>
  <si>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</si>
  <si>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</si>
  <si>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</si>
  <si>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</si>
  <si>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</si>
  <si>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</si>
  <si>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</si>
  <si>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</si>
  <si>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</si>
  <si>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</si>
  <si>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</si>
  <si>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</si>
  <si>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</si>
  <si>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</si>
  <si>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</si>
  <si>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</si>
  <si>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</si>
  <si>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</si>
  <si>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</si>
  <si>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</si>
  <si>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</si>
  <si>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</si>
  <si>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</si>
  <si>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</si>
  <si>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</si>
  <si>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</si>
  <si>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</si>
  <si>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</si>
  <si>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</si>
  <si>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</si>
  <si>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</si>
  <si>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</si>
  <si>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</si>
  <si>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</si>
  <si>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</si>
  <si>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</si>
  <si>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</si>
  <si>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</si>
  <si>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</si>
  <si>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</si>
  <si>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</si>
  <si>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</si>
  <si>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</si>
  <si>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</si>
  <si>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</si>
  <si>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</si>
  <si>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</si>
  <si>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</si>
  <si>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</si>
  <si>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</si>
  <si>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</si>
  <si>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</si>
  <si>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</si>
  <si>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</si>
  <si>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</si>
  <si>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</si>
  <si>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</si>
  <si>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</si>
  <si>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</si>
  <si>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</si>
  <si>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</si>
  <si>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</si>
  <si>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</si>
  <si>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</si>
  <si>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</si>
  <si>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</si>
  <si>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</si>
  <si>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</si>
  <si>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</si>
  <si>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</si>
  <si>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</si>
  <si>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</si>
  <si>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</si>
  <si>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</si>
  <si>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</si>
  <si>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</si>
  <si>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</si>
  <si>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</si>
  <si>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</si>
  <si>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</si>
  <si>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</si>
  <si>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</si>
  <si>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</si>
  <si>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</si>
  <si>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</si>
  <si>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</si>
  <si>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</si>
  <si>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</si>
  <si>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</si>
  <si>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</si>
  <si>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</si>
  <si>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</si>
  <si>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</si>
  <si>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</si>
  <si>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</si>
  <si>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</si>
  <si>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</si>
  <si>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</si>
  <si>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</si>
  <si>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</si>
  <si>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</si>
  <si>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</si>
  <si>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</si>
  <si>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</si>
  <si>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</si>
  <si>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</si>
  <si>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</si>
  <si>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</si>
  <si>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</si>
  <si>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</si>
  <si>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</si>
  <si>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</si>
  <si>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</si>
  <si>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</si>
  <si>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</si>
  <si>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</si>
  <si>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</si>
  <si>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</si>
  <si>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</si>
  <si>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</si>
  <si>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</si>
  <si>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</si>
  <si>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</si>
  <si>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</si>
  <si>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</si>
  <si>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</si>
  <si>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</si>
  <si>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</si>
  <si>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</si>
  <si>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</si>
  <si>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</si>
  <si>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</si>
  <si>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</si>
  <si>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</si>
  <si>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</si>
  <si>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</si>
  <si>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</si>
  <si>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</si>
  <si>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</si>
  <si>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</si>
  <si>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</si>
  <si>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</si>
  <si>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</si>
  <si>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</si>
  <si>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</si>
  <si>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</si>
  <si>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</si>
  <si>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</si>
  <si>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</si>
  <si>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</si>
  <si>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</si>
  <si>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</si>
  <si>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</si>
  <si>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</si>
  <si>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</si>
  <si>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</si>
  <si>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</si>
  <si>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</si>
  <si>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</si>
  <si>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</si>
  <si>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</si>
  <si>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</si>
  <si>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</si>
  <si>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</si>
  <si>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</si>
  <si>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</si>
  <si>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</si>
  <si>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</si>
  <si>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</si>
  <si>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</si>
  <si>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</si>
  <si>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</si>
  <si>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</si>
  <si>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</si>
  <si>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</si>
  <si>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</si>
  <si>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</si>
  <si>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</si>
  <si>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</si>
  <si>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</si>
  <si>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</si>
  <si>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</si>
  <si>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</si>
  <si>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</si>
  <si>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</si>
  <si>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</si>
  <si>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</si>
  <si>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</si>
  <si>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</si>
  <si>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</si>
  <si>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</si>
  <si>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</si>
  <si>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</si>
  <si>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</si>
  <si>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</si>
  <si>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</si>
  <si>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</si>
  <si>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</si>
  <si>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</si>
  <si>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</si>
  <si>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</si>
  <si>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</si>
  <si>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</si>
  <si>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</si>
  <si>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</si>
  <si>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</si>
  <si>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</si>
  <si>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</si>
  <si>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</si>
  <si>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</si>
  <si>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</si>
  <si>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</si>
  <si>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</si>
  <si>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</si>
  <si>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</si>
  <si>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</si>
  <si>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</si>
  <si>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</si>
  <si>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</si>
  <si>
    <t>POLLO-QUESOS-LONGANIZA-PASTOR</t>
  </si>
  <si>
    <t xml:space="preserve">POLLO-QUESO </t>
  </si>
  <si>
    <t>NOMINA #  41</t>
  </si>
  <si>
    <t>QUESOS-TOCINETA-JAMON</t>
  </si>
  <si>
    <t>PAVO-QUESOS-CHISTORRA-POLLO-PASTOR</t>
  </si>
  <si>
    <t>LONGANIZA-CHORIZO-POLLO-SALCHICHA</t>
  </si>
  <si>
    <t>PICAÑA-QUESOS-POLLO-LONGANIZA-CHORIZO-PAPAS-NUGGUETS</t>
  </si>
  <si>
    <t>POLLO-MIXIOTES-QUESOS</t>
  </si>
  <si>
    <t>QUESOS-POLLO-PASTOR</t>
  </si>
  <si>
    <t>POLLO-CREMA-QUESOS</t>
  </si>
  <si>
    <t>NOMINA #  42</t>
  </si>
  <si>
    <t>NOMINA # 41</t>
  </si>
  <si>
    <t>CENTRAL--SALCHICHONERIA -POLLO-QUESOS-PASTOR-ARABE</t>
  </si>
  <si>
    <t>DOC NOTAS CENTRAL</t>
  </si>
  <si>
    <t>ENCHILADA-LONGANIZA-CHORIZO-QUESOS-SALCHICHA</t>
  </si>
  <si>
    <t>CREMA-QUESOS-POLLO-CHORIZO-LONGANIA</t>
  </si>
  <si>
    <t>QUESOS-POLLO-CHORIZO-LONGANIZA-PASTOR</t>
  </si>
  <si>
    <t>QUESOS-POLLO-PAPAS-CHORIZO-ENCHILADA-LONGANIZA</t>
  </si>
  <si>
    <t>NOMINA # 43</t>
  </si>
  <si>
    <t>NOMINA # 42</t>
  </si>
  <si>
    <t>QUESOS-CHISTORRA-PEPERONI-TOCINETA</t>
  </si>
  <si>
    <t>ARABE-MIXIOTES-ALITAS-JAMON-SALCHICHAS</t>
  </si>
  <si>
    <t>CHORIZO-POLLO-QUESOS-SALCHICHA-RIB-EYE</t>
  </si>
  <si>
    <t>QUESOS-POLLO-CHORIZO-ENCHILADA</t>
  </si>
  <si>
    <t>POLLO-QUESO-ENCHILADA-POSTRES</t>
  </si>
  <si>
    <t>POLLO-ENCHILADA-PASTOR-QUESOS-ARABE</t>
  </si>
  <si>
    <t>QUESOS-POLLO-ENCHILADA</t>
  </si>
  <si>
    <t>NOMINA # 44 Y Vacaciones</t>
  </si>
  <si>
    <t>Nomina #  44</t>
  </si>
  <si>
    <t>D-12562</t>
  </si>
  <si>
    <t>D-12752</t>
  </si>
  <si>
    <t>D-12794</t>
  </si>
  <si>
    <t>D-12860</t>
  </si>
  <si>
    <t>D-12981</t>
  </si>
  <si>
    <t>D-13037</t>
  </si>
  <si>
    <t>D-13175</t>
  </si>
  <si>
    <t>D-13340</t>
  </si>
  <si>
    <t>D-13341</t>
  </si>
  <si>
    <t>D-13343</t>
  </si>
  <si>
    <t>D-13407</t>
  </si>
  <si>
    <t>D-13480</t>
  </si>
  <si>
    <t>D-13572</t>
  </si>
  <si>
    <t>D-13598</t>
  </si>
  <si>
    <t>D-13697</t>
  </si>
  <si>
    <t>D-13795</t>
  </si>
  <si>
    <t>D-13938</t>
  </si>
  <si>
    <t>D-14205</t>
  </si>
  <si>
    <t>D-14319</t>
  </si>
  <si>
    <t>D-14335</t>
  </si>
  <si>
    <t>D-14345</t>
  </si>
  <si>
    <t>D-14483</t>
  </si>
  <si>
    <t>D-14584</t>
  </si>
  <si>
    <t>D-14664</t>
  </si>
  <si>
    <t>D-14677</t>
  </si>
  <si>
    <t>D-14945</t>
  </si>
  <si>
    <t>D-15060</t>
  </si>
  <si>
    <t>D-15206</t>
  </si>
  <si>
    <t>D-15324</t>
  </si>
  <si>
    <t>D-15342</t>
  </si>
  <si>
    <t>12-Oct-22--13-Oct-22</t>
  </si>
  <si>
    <t>13-Oct-22--14-Oct-22</t>
  </si>
  <si>
    <t>14-Oct-22--17-Oct-22</t>
  </si>
  <si>
    <t>17-Oct-22--21-Oct-22</t>
  </si>
  <si>
    <t>21-Oct-22--25-Oct-22</t>
  </si>
  <si>
    <t>25-Oct-22--3-Nov-22</t>
  </si>
  <si>
    <t>D-15444</t>
  </si>
  <si>
    <t xml:space="preserve">este pago del 19-Oct-22  contra notas de zavaleta </t>
  </si>
  <si>
    <t>3-oct-2022</t>
  </si>
  <si>
    <t>4-oct-2022</t>
  </si>
  <si>
    <t>5-oct-2022</t>
  </si>
  <si>
    <t>6-oct-2022</t>
  </si>
  <si>
    <t>7-oct-2022</t>
  </si>
  <si>
    <t>8-oct-2022</t>
  </si>
  <si>
    <t>10-oct-2022</t>
  </si>
  <si>
    <t>11-oct-2022</t>
  </si>
  <si>
    <t>12-oct-2022</t>
  </si>
  <si>
    <t>13-oct-2022</t>
  </si>
  <si>
    <t>14-oct-2022</t>
  </si>
  <si>
    <t>15-oct-2022</t>
  </si>
  <si>
    <t>16-oct-2022</t>
  </si>
  <si>
    <t>17-oct-2022</t>
  </si>
  <si>
    <t>18-oct-2022</t>
  </si>
  <si>
    <t>20-oct-2022</t>
  </si>
  <si>
    <t>21-oct-2022</t>
  </si>
  <si>
    <t>22-oct-2022</t>
  </si>
  <si>
    <t>24-oct-2022</t>
  </si>
  <si>
    <t>25-oct-2022</t>
  </si>
  <si>
    <t>26-oct-2022</t>
  </si>
  <si>
    <t>27-oct-2022</t>
  </si>
  <si>
    <t>28-oct-2022</t>
  </si>
  <si>
    <t>este pago del 19-Oct-22  contra notas de zavaleta   Y $  57,274.00  EN EFECTIVO</t>
  </si>
  <si>
    <t>BALANCE      ABASTO 4 CARNES    Z A V A L E T A    NOVIEMBRE          2 0 2 2</t>
  </si>
  <si>
    <t>SALCHICHONERIA-ROAS BEFF--QUESOS-MAIZ</t>
  </si>
  <si>
    <t>POLLO-QUESOS-CHORIZO-LONGANIZA</t>
  </si>
  <si>
    <t>JAMONES-CREMA-MANTEQUILLA</t>
  </si>
  <si>
    <t>QUESOS-POLLO-ARABE-PASTOR-LONGANIZA</t>
  </si>
  <si>
    <t>POLLO-QUESOS-</t>
  </si>
  <si>
    <t>QUESOS-POLLO-MIXIOTES-JAMON-LONGANIZA</t>
  </si>
  <si>
    <t>NOMINA # 45 Y VAC</t>
  </si>
  <si>
    <t>NOMINA #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</si>
</sst>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1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46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44" fontId="19" fillId="0" borderId="0" xfId="1" applyFont="1" applyFill="1" applyBorder="1" applyAlignment="1">
      <alignment horizontal="center" vertical="center"/>
    </xf>
    <xf numFmtId="0" fontId="64" fillId="14" borderId="28" xfId="0" applyFont="1" applyFill="1" applyBorder="1" applyAlignment="1">
      <alignment horizontal="center" wrapText="1"/>
    </xf>
    <xf numFmtId="44" fontId="3" fillId="13" borderId="26" xfId="1" applyFont="1" applyFill="1" applyBorder="1"/>
    <xf numFmtId="165" fontId="2" fillId="18" borderId="25" xfId="1" applyNumberFormat="1" applyFont="1" applyFill="1" applyBorder="1" applyAlignment="1">
      <alignment horizontal="center"/>
    </xf>
    <xf numFmtId="164" fontId="0" fillId="0" borderId="25" xfId="0" applyNumberFormat="1" applyFont="1" applyFill="1" applyBorder="1"/>
    <xf numFmtId="49" fontId="0" fillId="0" borderId="25" xfId="0" applyNumberFormat="1" applyFont="1" applyFill="1" applyBorder="1"/>
    <xf numFmtId="44" fontId="0" fillId="0" borderId="25" xfId="1" applyFont="1" applyFill="1" applyBorder="1"/>
    <xf numFmtId="44" fontId="3" fillId="3" borderId="86" xfId="1" applyFont="1" applyFill="1" applyBorder="1"/>
    <xf numFmtId="165" fontId="3" fillId="0" borderId="25" xfId="0" applyNumberFormat="1" applyFont="1" applyFill="1" applyBorder="1" applyAlignment="1">
      <alignment wrapText="1"/>
    </xf>
    <xf numFmtId="165" fontId="3" fillId="14" borderId="25" xfId="0" applyNumberFormat="1" applyFont="1" applyFill="1" applyBorder="1"/>
    <xf numFmtId="44" fontId="3" fillId="14" borderId="25" xfId="1" applyFont="1" applyFill="1" applyBorder="1"/>
    <xf numFmtId="44" fontId="3" fillId="16" borderId="86" xfId="1" applyFont="1" applyFill="1" applyBorder="1"/>
    <xf numFmtId="165" fontId="3" fillId="14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 applyAlignment="1">
      <alignment wrapText="1"/>
    </xf>
    <xf numFmtId="165" fontId="3" fillId="28" borderId="25" xfId="0" applyNumberFormat="1" applyFont="1" applyFill="1" applyBorder="1"/>
    <xf numFmtId="44" fontId="3" fillId="28" borderId="86" xfId="1" applyFont="1" applyFill="1" applyBorder="1"/>
    <xf numFmtId="44" fontId="3" fillId="0" borderId="88" xfId="1" applyFont="1" applyFill="1" applyBorder="1"/>
    <xf numFmtId="165" fontId="0" fillId="0" borderId="0" xfId="0" applyNumberFormat="1" applyBorder="1"/>
    <xf numFmtId="164" fontId="3" fillId="0" borderId="21" xfId="0" applyNumberFormat="1" applyFont="1" applyFill="1" applyBorder="1"/>
    <xf numFmtId="49" fontId="3" fillId="0" borderId="21" xfId="0" applyNumberFormat="1" applyFont="1" applyFill="1" applyBorder="1" applyAlignment="1">
      <alignment horizontal="center"/>
    </xf>
    <xf numFmtId="164" fontId="3" fillId="0" borderId="116" xfId="0" applyNumberFormat="1" applyFont="1" applyBorder="1" applyAlignment="1">
      <alignment horizontal="center"/>
    </xf>
    <xf numFmtId="0" fontId="3" fillId="0" borderId="117" xfId="0" applyFont="1" applyBorder="1" applyAlignment="1">
      <alignment horizontal="center"/>
    </xf>
    <xf numFmtId="44" fontId="3" fillId="0" borderId="117" xfId="1" applyFont="1" applyBorder="1" applyAlignment="1">
      <alignment horizontal="center"/>
    </xf>
    <xf numFmtId="165" fontId="3" fillId="0" borderId="117" xfId="0" applyNumberFormat="1" applyFont="1" applyBorder="1" applyAlignment="1">
      <alignment horizontal="center"/>
    </xf>
    <xf numFmtId="44" fontId="3" fillId="0" borderId="118" xfId="1" applyFont="1" applyBorder="1" applyAlignment="1">
      <alignment horizontal="center"/>
    </xf>
    <xf numFmtId="44" fontId="73" fillId="0" borderId="18" xfId="1" applyFont="1" applyFill="1" applyBorder="1"/>
    <xf numFmtId="44" fontId="13" fillId="9" borderId="86" xfId="1" applyFont="1" applyFill="1" applyBorder="1"/>
    <xf numFmtId="165" fontId="3" fillId="9" borderId="21" xfId="0" applyNumberFormat="1" applyFont="1" applyFill="1" applyBorder="1"/>
    <xf numFmtId="44" fontId="2" fillId="9" borderId="89" xfId="1" applyFont="1" applyFill="1" applyBorder="1"/>
    <xf numFmtId="44" fontId="2" fillId="9" borderId="25" xfId="1" applyFont="1" applyFill="1" applyBorder="1"/>
    <xf numFmtId="44" fontId="3" fillId="9" borderId="88" xfId="1" applyFont="1" applyFill="1" applyBorder="1"/>
    <xf numFmtId="44" fontId="3" fillId="9" borderId="86" xfId="1" applyFont="1" applyFill="1" applyBorder="1"/>
    <xf numFmtId="49" fontId="2" fillId="21" borderId="91" xfId="0" applyNumberFormat="1" applyFont="1" applyFill="1" applyBorder="1" applyAlignment="1">
      <alignment horizontal="center"/>
    </xf>
    <xf numFmtId="49" fontId="2" fillId="0" borderId="91" xfId="0" applyNumberFormat="1" applyFont="1" applyBorder="1" applyAlignment="1">
      <alignment horizontal="center"/>
    </xf>
    <xf numFmtId="44" fontId="2" fillId="9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49" fontId="2" fillId="0" borderId="91" xfId="0" applyNumberFormat="1" applyFont="1" applyFill="1" applyBorder="1" applyAlignment="1">
      <alignment horizontal="center"/>
    </xf>
    <xf numFmtId="0" fontId="64" fillId="0" borderId="28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9" fontId="11" fillId="9" borderId="78" xfId="0" applyNumberFormat="1" applyFont="1" applyFill="1" applyBorder="1" applyAlignment="1">
      <alignment horizontal="center" vertical="center" wrapText="1"/>
    </xf>
    <xf numFmtId="49" fontId="11" fillId="9" borderId="0" xfId="0" applyNumberFormat="1" applyFont="1" applyFill="1" applyBorder="1" applyAlignment="1">
      <alignment horizontal="center" vertical="center" wrapText="1"/>
    </xf>
    <xf numFmtId="49" fontId="11" fillId="9" borderId="90" xfId="0" applyNumberFormat="1" applyFont="1" applyFill="1" applyBorder="1" applyAlignment="1">
      <alignment horizontal="center" vertical="center" wrapText="1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44" fontId="33" fillId="16" borderId="1" xfId="1" applyFont="1" applyFill="1" applyBorder="1" applyAlignment="1">
      <alignment horizontal="center" vertical="center"/>
    </xf>
    <xf numFmtId="44" fontId="33" fillId="16" borderId="3" xfId="1" applyFont="1" applyFill="1" applyBorder="1" applyAlignment="1">
      <alignment horizontal="center" vertical="center"/>
    </xf>
    <xf numFmtId="49" fontId="11" fillId="0" borderId="78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1" fillId="0" borderId="9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CCFF66"/>
      <color rgb="FFCC99FF"/>
      <color rgb="FF66FFFF"/>
      <color rgb="FFFFCCFF"/>
      <color rgb="FF0000FF"/>
      <color rgb="FF990033"/>
      <color rgb="FF00FF00"/>
      <color rgb="FFFF00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6970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78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1601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494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1622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864"/>
      <c r="C1" s="866" t="s">
        <v>25</v>
      </c>
      <c r="D1" s="867"/>
      <c r="E1" s="867"/>
      <c r="F1" s="867"/>
      <c r="G1" s="867"/>
      <c r="H1" s="867"/>
      <c r="I1" s="867"/>
      <c r="J1" s="867"/>
      <c r="K1" s="867"/>
      <c r="L1" s="867"/>
      <c r="M1" s="867"/>
    </row>
    <row r="2" spans="1:19" ht="16.5" thickBot="1" x14ac:dyDescent="0.3">
      <c r="B2" s="865"/>
      <c r="C2" s="3"/>
      <c r="H2" s="5"/>
      <c r="I2" s="6"/>
      <c r="J2" s="7"/>
      <c r="L2" s="8"/>
      <c r="M2" s="6"/>
      <c r="N2" s="9"/>
    </row>
    <row r="3" spans="1:19" ht="21.75" thickBot="1" x14ac:dyDescent="0.35">
      <c r="B3" s="868" t="s">
        <v>0</v>
      </c>
      <c r="C3" s="869"/>
      <c r="D3" s="10"/>
      <c r="E3" s="11"/>
      <c r="F3" s="11"/>
      <c r="H3" s="870" t="s">
        <v>26</v>
      </c>
      <c r="I3" s="870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871" t="s">
        <v>2</v>
      </c>
      <c r="F4" s="872"/>
      <c r="H4" s="873" t="s">
        <v>3</v>
      </c>
      <c r="I4" s="874"/>
      <c r="J4" s="19"/>
      <c r="K4" s="166"/>
      <c r="L4" s="20"/>
      <c r="M4" s="21" t="s">
        <v>4</v>
      </c>
      <c r="N4" s="22" t="s">
        <v>5</v>
      </c>
      <c r="P4" s="880" t="s">
        <v>6</v>
      </c>
      <c r="Q4" s="881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882">
        <f>SUM(M5:M38)</f>
        <v>247061</v>
      </c>
      <c r="N39" s="884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883"/>
      <c r="N40" s="885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886" t="s">
        <v>11</v>
      </c>
      <c r="I52" s="887"/>
      <c r="J52" s="100"/>
      <c r="K52" s="888">
        <f>I50+L50</f>
        <v>53873.49</v>
      </c>
      <c r="L52" s="889"/>
      <c r="M52" s="890">
        <f>N39+M39</f>
        <v>419924</v>
      </c>
      <c r="N52" s="891"/>
      <c r="P52" s="34"/>
      <c r="Q52" s="9"/>
    </row>
    <row r="53" spans="1:17" ht="15.75" x14ac:dyDescent="0.25">
      <c r="D53" s="892" t="s">
        <v>12</v>
      </c>
      <c r="E53" s="892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892" t="s">
        <v>95</v>
      </c>
      <c r="E54" s="892"/>
      <c r="F54" s="96">
        <v>-549976.4</v>
      </c>
      <c r="I54" s="893" t="s">
        <v>13</v>
      </c>
      <c r="J54" s="894"/>
      <c r="K54" s="895">
        <f>F56+F57+F58</f>
        <v>-24577.400000000023</v>
      </c>
      <c r="L54" s="896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897">
        <f>-C4</f>
        <v>0</v>
      </c>
      <c r="L56" s="898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875" t="s">
        <v>18</v>
      </c>
      <c r="E58" s="876"/>
      <c r="F58" s="113">
        <v>567389.35</v>
      </c>
      <c r="I58" s="877" t="s">
        <v>97</v>
      </c>
      <c r="J58" s="878"/>
      <c r="K58" s="879">
        <f>K54+K56</f>
        <v>-24577.400000000023</v>
      </c>
      <c r="L58" s="879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960" t="s">
        <v>597</v>
      </c>
      <c r="J76" s="961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962"/>
      <c r="J77" s="963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26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927"/>
      <c r="K81" s="1"/>
      <c r="L81" s="97"/>
      <c r="M81" s="3"/>
      <c r="N81" s="1"/>
    </row>
    <row r="82" spans="1:14" ht="18.75" x14ac:dyDescent="0.3">
      <c r="A82" s="435"/>
      <c r="B82" s="959" t="s">
        <v>595</v>
      </c>
      <c r="C82" s="959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64"/>
      <c r="C1" s="930" t="s">
        <v>451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25" ht="16.5" thickBot="1" x14ac:dyDescent="0.3">
      <c r="B2" s="86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68" t="s">
        <v>0</v>
      </c>
      <c r="C3" s="869"/>
      <c r="D3" s="10"/>
      <c r="E3" s="11"/>
      <c r="F3" s="11"/>
      <c r="H3" s="870" t="s">
        <v>26</v>
      </c>
      <c r="I3" s="870"/>
      <c r="K3" s="165"/>
      <c r="L3" s="13"/>
      <c r="M3" s="14"/>
      <c r="P3" s="907" t="s">
        <v>6</v>
      </c>
      <c r="R3" s="928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871" t="s">
        <v>2</v>
      </c>
      <c r="F4" s="872"/>
      <c r="H4" s="873" t="s">
        <v>3</v>
      </c>
      <c r="I4" s="874"/>
      <c r="J4" s="19"/>
      <c r="K4" s="166"/>
      <c r="L4" s="20"/>
      <c r="M4" s="21" t="s">
        <v>4</v>
      </c>
      <c r="N4" s="22" t="s">
        <v>5</v>
      </c>
      <c r="P4" s="908"/>
      <c r="Q4" s="322" t="s">
        <v>217</v>
      </c>
      <c r="R4" s="929"/>
      <c r="W4" s="917" t="s">
        <v>124</v>
      </c>
      <c r="X4" s="917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917"/>
      <c r="X5" s="917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921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922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923"/>
      <c r="X21" s="923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924"/>
      <c r="X23" s="924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924"/>
      <c r="X24" s="924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925"/>
      <c r="X25" s="925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925"/>
      <c r="X26" s="925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918"/>
      <c r="X27" s="919"/>
      <c r="Y27" s="920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919"/>
      <c r="X28" s="919"/>
      <c r="Y28" s="920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909">
        <f>SUM(M5:M35)</f>
        <v>2220612.02</v>
      </c>
      <c r="N36" s="911">
        <f>SUM(N5:N35)</f>
        <v>833865</v>
      </c>
      <c r="O36" s="276"/>
      <c r="P36" s="277">
        <v>0</v>
      </c>
      <c r="Q36" s="955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910"/>
      <c r="N37" s="912"/>
      <c r="O37" s="276"/>
      <c r="P37" s="277">
        <v>0</v>
      </c>
      <c r="Q37" s="956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957">
        <f>M36+N36</f>
        <v>3054477.02</v>
      </c>
      <c r="N39" s="958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886" t="s">
        <v>11</v>
      </c>
      <c r="I68" s="887"/>
      <c r="J68" s="100"/>
      <c r="K68" s="888">
        <f>I66+L66</f>
        <v>314868.39999999997</v>
      </c>
      <c r="L68" s="915"/>
      <c r="M68" s="272"/>
      <c r="N68" s="272"/>
      <c r="P68" s="34"/>
      <c r="Q68" s="13"/>
    </row>
    <row r="69" spans="1:17" x14ac:dyDescent="0.25">
      <c r="D69" s="892" t="s">
        <v>12</v>
      </c>
      <c r="E69" s="892"/>
      <c r="F69" s="312">
        <f>F66-K68-C66</f>
        <v>1594593.8500000003</v>
      </c>
      <c r="I69" s="102"/>
      <c r="J69" s="103"/>
    </row>
    <row r="70" spans="1:17" ht="18.75" x14ac:dyDescent="0.3">
      <c r="D70" s="916" t="s">
        <v>95</v>
      </c>
      <c r="E70" s="916"/>
      <c r="F70" s="111">
        <v>-1360260.32</v>
      </c>
      <c r="I70" s="893" t="s">
        <v>13</v>
      </c>
      <c r="J70" s="894"/>
      <c r="K70" s="895">
        <f>F72+F73+F74</f>
        <v>1938640.11</v>
      </c>
      <c r="L70" s="895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897">
        <f>-C4</f>
        <v>-1266568.45</v>
      </c>
      <c r="L72" s="898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875" t="s">
        <v>18</v>
      </c>
      <c r="E74" s="876"/>
      <c r="F74" s="113">
        <v>1792817.68</v>
      </c>
      <c r="I74" s="877" t="s">
        <v>198</v>
      </c>
      <c r="J74" s="878"/>
      <c r="K74" s="879">
        <f>K70+K72</f>
        <v>672071.66000000015</v>
      </c>
      <c r="L74" s="879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968" t="s">
        <v>594</v>
      </c>
      <c r="J44" s="969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970"/>
      <c r="J45" s="971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972"/>
      <c r="J46" s="973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26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927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964" t="s">
        <v>594</v>
      </c>
      <c r="J83" s="965"/>
    </row>
    <row r="84" spans="1:14" ht="19.5" thickBot="1" x14ac:dyDescent="0.35">
      <c r="A84" s="513" t="s">
        <v>598</v>
      </c>
      <c r="B84" s="514"/>
      <c r="C84" s="515"/>
      <c r="D84" s="491"/>
      <c r="I84" s="966"/>
      <c r="J84" s="967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64"/>
      <c r="C1" s="930" t="s">
        <v>620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25" ht="16.5" thickBot="1" x14ac:dyDescent="0.3">
      <c r="B2" s="86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68" t="s">
        <v>0</v>
      </c>
      <c r="C3" s="869"/>
      <c r="D3" s="10"/>
      <c r="E3" s="11"/>
      <c r="F3" s="11"/>
      <c r="H3" s="870" t="s">
        <v>26</v>
      </c>
      <c r="I3" s="870"/>
      <c r="K3" s="165"/>
      <c r="L3" s="13"/>
      <c r="M3" s="14"/>
      <c r="P3" s="907" t="s">
        <v>6</v>
      </c>
      <c r="R3" s="928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871" t="s">
        <v>2</v>
      </c>
      <c r="F4" s="872"/>
      <c r="H4" s="873" t="s">
        <v>3</v>
      </c>
      <c r="I4" s="874"/>
      <c r="J4" s="19"/>
      <c r="K4" s="166"/>
      <c r="L4" s="20"/>
      <c r="M4" s="21" t="s">
        <v>4</v>
      </c>
      <c r="N4" s="22" t="s">
        <v>5</v>
      </c>
      <c r="P4" s="908"/>
      <c r="Q4" s="322" t="s">
        <v>217</v>
      </c>
      <c r="R4" s="929"/>
      <c r="W4" s="917" t="s">
        <v>124</v>
      </c>
      <c r="X4" s="917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917"/>
      <c r="X5" s="917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921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922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923"/>
      <c r="X21" s="923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924"/>
      <c r="X23" s="924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924"/>
      <c r="X24" s="924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925"/>
      <c r="X25" s="925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925"/>
      <c r="X26" s="925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918"/>
      <c r="X27" s="919"/>
      <c r="Y27" s="920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919"/>
      <c r="X28" s="919"/>
      <c r="Y28" s="920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909">
        <f>SUM(M5:M40)</f>
        <v>2479367.6100000003</v>
      </c>
      <c r="N41" s="909">
        <f>SUM(N5:N40)</f>
        <v>1195667</v>
      </c>
      <c r="P41" s="505">
        <f>SUM(P5:P40)</f>
        <v>4355326.74</v>
      </c>
      <c r="Q41" s="974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910"/>
      <c r="N42" s="910"/>
      <c r="P42" s="34"/>
      <c r="Q42" s="975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976">
        <f>M41+N41</f>
        <v>3675034.6100000003</v>
      </c>
      <c r="N45" s="977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886" t="s">
        <v>11</v>
      </c>
      <c r="I70" s="887"/>
      <c r="J70" s="100"/>
      <c r="K70" s="888">
        <f>I68+L68</f>
        <v>428155.54000000004</v>
      </c>
      <c r="L70" s="915"/>
      <c r="M70" s="272"/>
      <c r="N70" s="272"/>
      <c r="P70" s="34"/>
      <c r="Q70" s="13"/>
    </row>
    <row r="71" spans="1:17" x14ac:dyDescent="0.25">
      <c r="D71" s="892" t="s">
        <v>12</v>
      </c>
      <c r="E71" s="892"/>
      <c r="F71" s="312">
        <f>F68-K70-C68</f>
        <v>1631087.67</v>
      </c>
      <c r="I71" s="102"/>
      <c r="J71" s="103"/>
      <c r="P71" s="34"/>
    </row>
    <row r="72" spans="1:17" ht="18.75" x14ac:dyDescent="0.3">
      <c r="D72" s="916" t="s">
        <v>95</v>
      </c>
      <c r="E72" s="916"/>
      <c r="F72" s="111">
        <v>-1884975.46</v>
      </c>
      <c r="I72" s="893" t="s">
        <v>13</v>
      </c>
      <c r="J72" s="894"/>
      <c r="K72" s="895">
        <f>F74+F75+F76</f>
        <v>1777829.89</v>
      </c>
      <c r="L72" s="895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897">
        <f>-C4</f>
        <v>-1792817.68</v>
      </c>
      <c r="L74" s="898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875" t="s">
        <v>18</v>
      </c>
      <c r="E76" s="876"/>
      <c r="F76" s="113">
        <v>2112071.92</v>
      </c>
      <c r="I76" s="877" t="s">
        <v>852</v>
      </c>
      <c r="J76" s="878"/>
      <c r="K76" s="879">
        <f>K72+K74</f>
        <v>-14987.790000000037</v>
      </c>
      <c r="L76" s="879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968" t="s">
        <v>594</v>
      </c>
      <c r="J54" s="969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970"/>
      <c r="J55" s="971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972"/>
      <c r="J56" s="973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926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927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964" t="s">
        <v>594</v>
      </c>
      <c r="J93" s="965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966"/>
      <c r="J94" s="967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978">
        <f>SUM(D106:D129)</f>
        <v>759581.99999999988</v>
      </c>
      <c r="D130" s="979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993" t="s">
        <v>1242</v>
      </c>
      <c r="C2" s="994"/>
      <c r="D2" s="995"/>
      <c r="F2" s="981" t="s">
        <v>1241</v>
      </c>
      <c r="G2" s="982"/>
      <c r="H2" s="983"/>
    </row>
    <row r="3" spans="2:8" ht="27.75" customHeight="1" thickBot="1" x14ac:dyDescent="0.3">
      <c r="B3" s="996"/>
      <c r="C3" s="997"/>
      <c r="D3" s="998"/>
      <c r="F3" s="984"/>
      <c r="G3" s="985"/>
      <c r="H3" s="986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987">
        <f>SUM(H5:H10)</f>
        <v>334337</v>
      </c>
      <c r="H11" s="988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991" t="s">
        <v>749</v>
      </c>
      <c r="D15" s="989">
        <f>D11-D13</f>
        <v>-69877</v>
      </c>
      <c r="E15" s="999" t="s">
        <v>1243</v>
      </c>
      <c r="F15" s="1000"/>
      <c r="G15" s="1000"/>
      <c r="H15" s="1001"/>
    </row>
    <row r="16" spans="2:8" ht="18.75" customHeight="1" thickBot="1" x14ac:dyDescent="0.3">
      <c r="C16" s="992"/>
      <c r="D16" s="990"/>
      <c r="E16" s="1002"/>
      <c r="F16" s="1003"/>
      <c r="G16" s="1003"/>
      <c r="H16" s="1004"/>
    </row>
    <row r="17" spans="3:4" ht="18.75" x14ac:dyDescent="0.3">
      <c r="C17" s="980" t="s">
        <v>751</v>
      </c>
      <c r="D17" s="980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64"/>
      <c r="C1" s="930" t="s">
        <v>752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25" ht="16.5" thickBot="1" x14ac:dyDescent="0.3">
      <c r="B2" s="86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68" t="s">
        <v>0</v>
      </c>
      <c r="C3" s="869"/>
      <c r="D3" s="10"/>
      <c r="E3" s="553"/>
      <c r="F3" s="11"/>
      <c r="H3" s="870" t="s">
        <v>26</v>
      </c>
      <c r="I3" s="870"/>
      <c r="K3" s="165"/>
      <c r="L3" s="13"/>
      <c r="M3" s="14"/>
      <c r="P3" s="907" t="s">
        <v>6</v>
      </c>
      <c r="R3" s="928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871" t="s">
        <v>2</v>
      </c>
      <c r="F4" s="872"/>
      <c r="H4" s="873" t="s">
        <v>3</v>
      </c>
      <c r="I4" s="874"/>
      <c r="J4" s="556"/>
      <c r="K4" s="562"/>
      <c r="L4" s="563"/>
      <c r="M4" s="21" t="s">
        <v>4</v>
      </c>
      <c r="N4" s="22" t="s">
        <v>5</v>
      </c>
      <c r="P4" s="908"/>
      <c r="Q4" s="322" t="s">
        <v>217</v>
      </c>
      <c r="R4" s="929"/>
      <c r="U4" s="34"/>
      <c r="V4" s="128"/>
      <c r="W4" s="1005"/>
      <c r="X4" s="1005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1005"/>
      <c r="X5" s="1005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1006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1006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923"/>
      <c r="X21" s="923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924"/>
      <c r="X23" s="924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924"/>
      <c r="X24" s="924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925"/>
      <c r="X25" s="925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925"/>
      <c r="X26" s="925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918"/>
      <c r="X27" s="919"/>
      <c r="Y27" s="920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919"/>
      <c r="X28" s="919"/>
      <c r="Y28" s="920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909">
        <f>SUM(M5:M40)</f>
        <v>1509924.1</v>
      </c>
      <c r="N41" s="909">
        <f>SUM(N5:N40)</f>
        <v>1012291</v>
      </c>
      <c r="P41" s="505">
        <f>SUM(P5:P40)</f>
        <v>3152648.1</v>
      </c>
      <c r="Q41" s="974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910"/>
      <c r="N42" s="910"/>
      <c r="P42" s="34"/>
      <c r="Q42" s="975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976">
        <f>M41+N41</f>
        <v>2522215.1</v>
      </c>
      <c r="N45" s="977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886" t="s">
        <v>11</v>
      </c>
      <c r="I63" s="887"/>
      <c r="J63" s="559"/>
      <c r="K63" s="1011">
        <f>I61+L61</f>
        <v>340912.75</v>
      </c>
      <c r="L63" s="1012"/>
      <c r="M63" s="272"/>
      <c r="N63" s="272"/>
      <c r="P63" s="34"/>
      <c r="Q63" s="13"/>
    </row>
    <row r="64" spans="1:17" x14ac:dyDescent="0.25">
      <c r="D64" s="892" t="s">
        <v>12</v>
      </c>
      <c r="E64" s="892"/>
      <c r="F64" s="312">
        <f>F61-K63-C61</f>
        <v>1458827.53</v>
      </c>
      <c r="I64" s="102"/>
      <c r="J64" s="560"/>
    </row>
    <row r="65" spans="2:17" ht="18.75" x14ac:dyDescent="0.3">
      <c r="D65" s="916" t="s">
        <v>95</v>
      </c>
      <c r="E65" s="916"/>
      <c r="F65" s="111">
        <v>-1572197.3</v>
      </c>
      <c r="I65" s="893" t="s">
        <v>13</v>
      </c>
      <c r="J65" s="894"/>
      <c r="K65" s="895">
        <f>F67+F68+F69</f>
        <v>2392765.5300000003</v>
      </c>
      <c r="L65" s="895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1007">
        <f>-C4</f>
        <v>-2112071.92</v>
      </c>
      <c r="L67" s="895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875" t="s">
        <v>18</v>
      </c>
      <c r="E69" s="876"/>
      <c r="F69" s="113">
        <v>2546982.16</v>
      </c>
      <c r="I69" s="1008" t="s">
        <v>198</v>
      </c>
      <c r="J69" s="1009"/>
      <c r="K69" s="1010">
        <f>K65+K67</f>
        <v>280693.61000000034</v>
      </c>
      <c r="L69" s="1010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968" t="s">
        <v>594</v>
      </c>
      <c r="J38" s="969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970"/>
      <c r="J39" s="971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972"/>
      <c r="J40" s="973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926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927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964" t="s">
        <v>594</v>
      </c>
      <c r="J74" s="965"/>
    </row>
    <row r="75" spans="1:14" ht="19.5" thickBot="1" x14ac:dyDescent="0.35">
      <c r="A75" s="456"/>
      <c r="B75" s="649"/>
      <c r="C75" s="233"/>
      <c r="D75" s="650"/>
      <c r="E75" s="519"/>
      <c r="F75" s="111"/>
      <c r="I75" s="966"/>
      <c r="J75" s="967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1015" t="s">
        <v>804</v>
      </c>
      <c r="B89" s="1016"/>
      <c r="C89" s="1016"/>
      <c r="E89"/>
      <c r="F89" s="111"/>
      <c r="I89"/>
      <c r="J89" s="194"/>
      <c r="M89"/>
      <c r="N89"/>
    </row>
    <row r="90" spans="1:14" ht="18.75" x14ac:dyDescent="0.3">
      <c r="A90" s="454"/>
      <c r="B90" s="1017" t="s">
        <v>805</v>
      </c>
      <c r="C90" s="1018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1013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1014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64"/>
      <c r="C1" s="930" t="s">
        <v>882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18" ht="16.5" thickBot="1" x14ac:dyDescent="0.3">
      <c r="B2" s="865"/>
      <c r="C2" s="3"/>
      <c r="H2" s="5"/>
      <c r="I2" s="6"/>
      <c r="J2" s="7"/>
      <c r="L2" s="8"/>
      <c r="M2" s="6"/>
      <c r="N2" s="9"/>
    </row>
    <row r="3" spans="1:18" ht="21.75" thickBot="1" x14ac:dyDescent="0.35">
      <c r="B3" s="868" t="s">
        <v>0</v>
      </c>
      <c r="C3" s="869"/>
      <c r="D3" s="10"/>
      <c r="E3" s="553"/>
      <c r="F3" s="11"/>
      <c r="H3" s="870" t="s">
        <v>26</v>
      </c>
      <c r="I3" s="870"/>
      <c r="K3" s="165"/>
      <c r="L3" s="13"/>
      <c r="M3" s="14"/>
      <c r="P3" s="907" t="s">
        <v>6</v>
      </c>
      <c r="R3" s="928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871" t="s">
        <v>2</v>
      </c>
      <c r="F4" s="872"/>
      <c r="H4" s="873" t="s">
        <v>3</v>
      </c>
      <c r="I4" s="874"/>
      <c r="J4" s="556"/>
      <c r="K4" s="562"/>
      <c r="L4" s="563"/>
      <c r="M4" s="21" t="s">
        <v>4</v>
      </c>
      <c r="N4" s="22" t="s">
        <v>5</v>
      </c>
      <c r="P4" s="908"/>
      <c r="Q4" s="322" t="s">
        <v>217</v>
      </c>
      <c r="R4" s="929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909">
        <f>SUM(M5:M40)</f>
        <v>1737024</v>
      </c>
      <c r="N41" s="909">
        <f>SUM(N5:N40)</f>
        <v>1314313</v>
      </c>
      <c r="P41" s="505">
        <f>SUM(P5:P40)</f>
        <v>3810957.55</v>
      </c>
      <c r="Q41" s="974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910"/>
      <c r="N42" s="910"/>
      <c r="P42" s="34"/>
      <c r="Q42" s="975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976">
        <f>M41+N41</f>
        <v>3051337</v>
      </c>
      <c r="N45" s="977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86" t="s">
        <v>11</v>
      </c>
      <c r="I69" s="887"/>
      <c r="J69" s="559"/>
      <c r="K69" s="1011">
        <f>I67+L67</f>
        <v>534683.29</v>
      </c>
      <c r="L69" s="1012"/>
      <c r="M69" s="272"/>
      <c r="N69" s="272"/>
      <c r="P69" s="34"/>
      <c r="Q69" s="13"/>
    </row>
    <row r="70" spans="1:17" x14ac:dyDescent="0.25">
      <c r="D70" s="892" t="s">
        <v>12</v>
      </c>
      <c r="E70" s="892"/>
      <c r="F70" s="312">
        <f>F67-K69-C67</f>
        <v>1883028.8699999999</v>
      </c>
      <c r="I70" s="102"/>
      <c r="J70" s="560"/>
    </row>
    <row r="71" spans="1:17" ht="18.75" x14ac:dyDescent="0.3">
      <c r="D71" s="916" t="s">
        <v>95</v>
      </c>
      <c r="E71" s="916"/>
      <c r="F71" s="111">
        <v>-2122394.9</v>
      </c>
      <c r="I71" s="893" t="s">
        <v>13</v>
      </c>
      <c r="J71" s="894"/>
      <c r="K71" s="895">
        <f>F73+F74+F75</f>
        <v>2367293.46</v>
      </c>
      <c r="L71" s="895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1007">
        <f>-C4</f>
        <v>-2546982.16</v>
      </c>
      <c r="L73" s="895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875" t="s">
        <v>18</v>
      </c>
      <c r="E75" s="876"/>
      <c r="F75" s="113">
        <v>2355426.54</v>
      </c>
      <c r="I75" s="877" t="s">
        <v>97</v>
      </c>
      <c r="J75" s="878"/>
      <c r="K75" s="879">
        <f>K71+K73</f>
        <v>-179688.70000000019</v>
      </c>
      <c r="L75" s="87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968" t="s">
        <v>594</v>
      </c>
      <c r="I43" s="96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970"/>
      <c r="I44" s="971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972"/>
      <c r="I45" s="973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964" t="s">
        <v>594</v>
      </c>
      <c r="I67" s="965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26" t="s">
        <v>207</v>
      </c>
      <c r="H68" s="966"/>
      <c r="I68" s="967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27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899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900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64"/>
      <c r="C1" s="930" t="s">
        <v>1025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18" ht="16.5" thickBot="1" x14ac:dyDescent="0.3">
      <c r="B2" s="865"/>
      <c r="C2" s="3"/>
      <c r="H2" s="5"/>
      <c r="I2" s="6"/>
      <c r="J2" s="7"/>
      <c r="L2" s="8"/>
      <c r="M2" s="6"/>
      <c r="N2" s="9"/>
    </row>
    <row r="3" spans="1:18" ht="21.75" thickBot="1" x14ac:dyDescent="0.35">
      <c r="B3" s="868" t="s">
        <v>0</v>
      </c>
      <c r="C3" s="869"/>
      <c r="D3" s="10"/>
      <c r="E3" s="553"/>
      <c r="F3" s="11"/>
      <c r="H3" s="870" t="s">
        <v>26</v>
      </c>
      <c r="I3" s="870"/>
      <c r="K3" s="165"/>
      <c r="L3" s="13"/>
      <c r="M3" s="14"/>
      <c r="P3" s="907" t="s">
        <v>6</v>
      </c>
      <c r="R3" s="928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871" t="s">
        <v>2</v>
      </c>
      <c r="F4" s="872"/>
      <c r="H4" s="873" t="s">
        <v>3</v>
      </c>
      <c r="I4" s="874"/>
      <c r="J4" s="556"/>
      <c r="K4" s="562"/>
      <c r="L4" s="563"/>
      <c r="M4" s="21" t="s">
        <v>4</v>
      </c>
      <c r="N4" s="22" t="s">
        <v>5</v>
      </c>
      <c r="P4" s="908"/>
      <c r="Q4" s="322" t="s">
        <v>217</v>
      </c>
      <c r="R4" s="929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909">
        <f>SUM(M5:M40)</f>
        <v>2180659.5</v>
      </c>
      <c r="N41" s="909">
        <f>SUM(N5:N40)</f>
        <v>1072718</v>
      </c>
      <c r="P41" s="505">
        <f>SUM(P5:P40)</f>
        <v>4807723.83</v>
      </c>
      <c r="Q41" s="974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910"/>
      <c r="N42" s="910"/>
      <c r="P42" s="34"/>
      <c r="Q42" s="975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976">
        <f>M41+N41</f>
        <v>3253377.5</v>
      </c>
      <c r="N45" s="977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86" t="s">
        <v>11</v>
      </c>
      <c r="I69" s="887"/>
      <c r="J69" s="559"/>
      <c r="K69" s="1011">
        <f>I67+L67</f>
        <v>515778.65000000026</v>
      </c>
      <c r="L69" s="1012"/>
      <c r="M69" s="272"/>
      <c r="N69" s="272"/>
      <c r="P69" s="34"/>
      <c r="Q69" s="13"/>
    </row>
    <row r="70" spans="1:17" x14ac:dyDescent="0.25">
      <c r="D70" s="892" t="s">
        <v>12</v>
      </c>
      <c r="E70" s="892"/>
      <c r="F70" s="312">
        <f>F67-K69-C67</f>
        <v>1573910.5599999998</v>
      </c>
      <c r="I70" s="102"/>
      <c r="J70" s="560"/>
    </row>
    <row r="71" spans="1:17" ht="18.75" x14ac:dyDescent="0.3">
      <c r="D71" s="916" t="s">
        <v>95</v>
      </c>
      <c r="E71" s="916"/>
      <c r="F71" s="111">
        <v>-1727771.26</v>
      </c>
      <c r="I71" s="893" t="s">
        <v>13</v>
      </c>
      <c r="J71" s="894"/>
      <c r="K71" s="895">
        <f>F73+F74+F75</f>
        <v>2141254.8899999997</v>
      </c>
      <c r="L71" s="895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1007">
        <f>-C4</f>
        <v>-2355426.54</v>
      </c>
      <c r="L73" s="895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875" t="s">
        <v>18</v>
      </c>
      <c r="E75" s="876"/>
      <c r="F75" s="113">
        <v>2274653.09</v>
      </c>
      <c r="I75" s="1008" t="s">
        <v>97</v>
      </c>
      <c r="J75" s="1009"/>
      <c r="K75" s="1010">
        <f>K71+K73</f>
        <v>-214171.65000000037</v>
      </c>
      <c r="L75" s="1010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D13" workbookViewId="0">
      <selection activeCell="H33" sqref="H33:K3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582">
        <v>44853</v>
      </c>
      <c r="L23" s="852">
        <v>300</v>
      </c>
      <c r="M23" s="137">
        <f t="shared" si="1"/>
        <v>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582">
        <v>44853</v>
      </c>
      <c r="L24" s="852">
        <v>4003.3</v>
      </c>
      <c r="M24" s="137">
        <f t="shared" si="1"/>
        <v>0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582">
        <v>44853</v>
      </c>
      <c r="L25" s="852">
        <v>300</v>
      </c>
      <c r="M25" s="137">
        <f t="shared" si="1"/>
        <v>0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582">
        <v>44853</v>
      </c>
      <c r="L26" s="852">
        <v>880</v>
      </c>
      <c r="M26" s="137">
        <f t="shared" si="1"/>
        <v>0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582">
        <v>44853</v>
      </c>
      <c r="L27" s="852">
        <v>2989.5</v>
      </c>
      <c r="M27" s="137">
        <f t="shared" si="1"/>
        <v>0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582">
        <v>44853</v>
      </c>
      <c r="L28" s="852">
        <v>300</v>
      </c>
      <c r="M28" s="137">
        <f t="shared" si="1"/>
        <v>0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582">
        <v>44853</v>
      </c>
      <c r="L29" s="852">
        <v>300</v>
      </c>
      <c r="M29" s="137">
        <f t="shared" si="1"/>
        <v>0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582">
        <v>44853</v>
      </c>
      <c r="L30" s="852">
        <v>440</v>
      </c>
      <c r="M30" s="137">
        <f t="shared" si="1"/>
        <v>0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582">
        <v>44853</v>
      </c>
      <c r="L31" s="852">
        <v>500</v>
      </c>
      <c r="M31" s="137">
        <f t="shared" si="1"/>
        <v>0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customHeight="1" x14ac:dyDescent="0.25">
      <c r="A33" s="454"/>
      <c r="B33" s="246"/>
      <c r="C33" s="111"/>
      <c r="D33" s="412"/>
      <c r="E33" s="111"/>
      <c r="F33" s="544">
        <f t="shared" si="0"/>
        <v>0</v>
      </c>
      <c r="H33" s="1019" t="s">
        <v>1450</v>
      </c>
      <c r="I33" s="1020"/>
      <c r="J33" s="1020"/>
      <c r="K33" s="1021"/>
      <c r="L33" s="111"/>
      <c r="M33" s="137">
        <f t="shared" si="1"/>
        <v>0</v>
      </c>
    </row>
    <row r="34" spans="1:13" ht="17.25" customHeight="1" x14ac:dyDescent="0.25">
      <c r="A34" s="454"/>
      <c r="B34" s="246"/>
      <c r="C34" s="111"/>
      <c r="D34" s="412"/>
      <c r="E34" s="111"/>
      <c r="F34" s="544">
        <f t="shared" si="0"/>
        <v>0</v>
      </c>
      <c r="H34" s="1019"/>
      <c r="I34" s="1020"/>
      <c r="J34" s="1020"/>
      <c r="K34" s="1021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68" t="s">
        <v>594</v>
      </c>
      <c r="I40" s="969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70"/>
      <c r="I41" s="971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72"/>
      <c r="I42" s="973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964" t="s">
        <v>594</v>
      </c>
      <c r="I67" s="965"/>
      <c r="J67" s="642">
        <f>SUM(J3:J66)</f>
        <v>128177.49999999997</v>
      </c>
      <c r="K67" s="713"/>
      <c r="L67" s="209">
        <f>SUM(L3:L66)</f>
        <v>128177.49999999997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26" t="s">
        <v>207</v>
      </c>
      <c r="H68" s="966"/>
      <c r="I68" s="967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27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4">
    <mergeCell ref="H67:I68"/>
    <mergeCell ref="F68:F69"/>
    <mergeCell ref="H40:I42"/>
    <mergeCell ref="H33:K34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864"/>
      <c r="C1" s="930" t="s">
        <v>1142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19" ht="16.5" thickBot="1" x14ac:dyDescent="0.3">
      <c r="B2" s="865"/>
      <c r="C2" s="3"/>
      <c r="H2" s="5"/>
      <c r="I2" s="6"/>
      <c r="J2" s="7"/>
      <c r="L2" s="8"/>
      <c r="M2" s="6"/>
      <c r="N2" s="9"/>
    </row>
    <row r="3" spans="1:19" ht="21.75" thickBot="1" x14ac:dyDescent="0.35">
      <c r="B3" s="868" t="s">
        <v>0</v>
      </c>
      <c r="C3" s="869"/>
      <c r="D3" s="10"/>
      <c r="E3" s="553"/>
      <c r="F3" s="11"/>
      <c r="H3" s="870" t="s">
        <v>26</v>
      </c>
      <c r="I3" s="870"/>
      <c r="K3" s="165"/>
      <c r="L3" s="13"/>
      <c r="M3" s="14"/>
      <c r="P3" s="907" t="s">
        <v>6</v>
      </c>
      <c r="R3" s="928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871" t="s">
        <v>2</v>
      </c>
      <c r="F4" s="872"/>
      <c r="H4" s="873" t="s">
        <v>3</v>
      </c>
      <c r="I4" s="874"/>
      <c r="J4" s="556"/>
      <c r="K4" s="562"/>
      <c r="L4" s="563"/>
      <c r="M4" s="21" t="s">
        <v>4</v>
      </c>
      <c r="N4" s="22" t="s">
        <v>5</v>
      </c>
      <c r="P4" s="908"/>
      <c r="Q4" s="322" t="s">
        <v>217</v>
      </c>
      <c r="R4" s="929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909">
        <f>SUM(M5:M40)</f>
        <v>1553743.1800000002</v>
      </c>
      <c r="N41" s="909">
        <f>SUM(N5:N40)</f>
        <v>1198132</v>
      </c>
      <c r="P41" s="505">
        <f>SUM(P5:P40)</f>
        <v>3384938.6799999997</v>
      </c>
      <c r="Q41" s="974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910"/>
      <c r="N42" s="910"/>
      <c r="P42" s="34"/>
      <c r="Q42" s="975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976">
        <f>M41+N41</f>
        <v>2751875.18</v>
      </c>
      <c r="N45" s="977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86" t="s">
        <v>11</v>
      </c>
      <c r="I69" s="887"/>
      <c r="J69" s="559"/>
      <c r="K69" s="1011">
        <f>I67+L67</f>
        <v>573073.52</v>
      </c>
      <c r="L69" s="1012"/>
      <c r="M69" s="272"/>
      <c r="N69" s="272"/>
      <c r="P69" s="34"/>
      <c r="Q69" s="13"/>
    </row>
    <row r="70" spans="1:17" x14ac:dyDescent="0.25">
      <c r="D70" s="892" t="s">
        <v>12</v>
      </c>
      <c r="E70" s="892"/>
      <c r="F70" s="312">
        <f>F67-K69-C67</f>
        <v>1262114.75</v>
      </c>
      <c r="I70" s="102"/>
      <c r="J70" s="560"/>
    </row>
    <row r="71" spans="1:17" ht="18.75" x14ac:dyDescent="0.3">
      <c r="D71" s="916" t="s">
        <v>95</v>
      </c>
      <c r="E71" s="916"/>
      <c r="F71" s="111">
        <v>-1715125.23</v>
      </c>
      <c r="I71" s="893" t="s">
        <v>13</v>
      </c>
      <c r="J71" s="894"/>
      <c r="K71" s="895">
        <f>F73+F74+F75</f>
        <v>2249865.5500000003</v>
      </c>
      <c r="L71" s="895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1007">
        <f>-C4</f>
        <v>-2274653.09</v>
      </c>
      <c r="L73" s="895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875" t="s">
        <v>18</v>
      </c>
      <c r="E75" s="876"/>
      <c r="F75" s="113">
        <v>2672555.9900000002</v>
      </c>
      <c r="I75" s="877" t="s">
        <v>97</v>
      </c>
      <c r="J75" s="878"/>
      <c r="K75" s="879">
        <f>K71+K73</f>
        <v>-24787.539999999572</v>
      </c>
      <c r="L75" s="87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E31" workbookViewId="0">
      <selection activeCell="L47" sqref="L4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25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853">
        <v>44853</v>
      </c>
      <c r="L3" s="854">
        <v>20969</v>
      </c>
      <c r="M3" s="183">
        <f>J3-L3</f>
        <v>0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853">
        <v>44853</v>
      </c>
      <c r="L4" s="855">
        <v>1080</v>
      </c>
      <c r="M4" s="137">
        <f>M3+J4-L4</f>
        <v>0</v>
      </c>
    </row>
    <row r="5" spans="1:13" ht="15.75" x14ac:dyDescent="0.25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853">
        <v>44853</v>
      </c>
      <c r="L5" s="855">
        <v>300</v>
      </c>
      <c r="M5" s="137">
        <f t="shared" ref="M5:M65" si="1">M4+J5-L5</f>
        <v>0</v>
      </c>
    </row>
    <row r="6" spans="1:13" ht="15.75" x14ac:dyDescent="0.25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853">
        <v>44853</v>
      </c>
      <c r="L6" s="855">
        <v>1907.2</v>
      </c>
      <c r="M6" s="137">
        <f t="shared" si="1"/>
        <v>0</v>
      </c>
    </row>
    <row r="7" spans="1:13" ht="15.75" x14ac:dyDescent="0.25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853">
        <v>44853</v>
      </c>
      <c r="L7" s="855">
        <v>500</v>
      </c>
      <c r="M7" s="137">
        <f t="shared" si="1"/>
        <v>0</v>
      </c>
    </row>
    <row r="8" spans="1:13" ht="15.75" x14ac:dyDescent="0.25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853">
        <v>44853</v>
      </c>
      <c r="L8" s="855">
        <v>2866.38</v>
      </c>
      <c r="M8" s="137">
        <f t="shared" si="1"/>
        <v>0</v>
      </c>
    </row>
    <row r="9" spans="1:13" ht="15.75" x14ac:dyDescent="0.25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853">
        <v>44853</v>
      </c>
      <c r="L9" s="855">
        <v>13086.8</v>
      </c>
      <c r="M9" s="137">
        <f t="shared" si="1"/>
        <v>0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853">
        <v>44853</v>
      </c>
      <c r="L10" s="855">
        <v>300</v>
      </c>
      <c r="M10" s="137">
        <f t="shared" si="1"/>
        <v>0</v>
      </c>
    </row>
    <row r="11" spans="1:13" ht="15.75" x14ac:dyDescent="0.25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853">
        <v>44853</v>
      </c>
      <c r="L11" s="855">
        <v>3566.2</v>
      </c>
      <c r="M11" s="137">
        <f t="shared" si="1"/>
        <v>0</v>
      </c>
    </row>
    <row r="12" spans="1:13" ht="15.75" x14ac:dyDescent="0.25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853">
        <v>44853</v>
      </c>
      <c r="L12" s="855">
        <v>500</v>
      </c>
      <c r="M12" s="137">
        <f t="shared" si="1"/>
        <v>0</v>
      </c>
    </row>
    <row r="13" spans="1:13" ht="15.75" x14ac:dyDescent="0.25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853">
        <v>44853</v>
      </c>
      <c r="L13" s="855">
        <v>1380</v>
      </c>
      <c r="M13" s="137">
        <f t="shared" si="1"/>
        <v>0</v>
      </c>
    </row>
    <row r="14" spans="1:13" ht="31.5" x14ac:dyDescent="0.25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853">
        <v>44853</v>
      </c>
      <c r="L14" s="855">
        <v>1800</v>
      </c>
      <c r="M14" s="137">
        <f t="shared" si="1"/>
        <v>0</v>
      </c>
    </row>
    <row r="15" spans="1:13" ht="15.75" x14ac:dyDescent="0.25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853">
        <v>44853</v>
      </c>
      <c r="L15" s="855">
        <v>13000.8</v>
      </c>
      <c r="M15" s="137">
        <f t="shared" si="1"/>
        <v>0</v>
      </c>
    </row>
    <row r="16" spans="1:13" ht="15.75" x14ac:dyDescent="0.25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853">
        <v>44853</v>
      </c>
      <c r="L16" s="855">
        <v>30306.68</v>
      </c>
      <c r="M16" s="137">
        <f t="shared" si="1"/>
        <v>0</v>
      </c>
    </row>
    <row r="17" spans="1:13" ht="15.75" x14ac:dyDescent="0.25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853">
        <v>44853</v>
      </c>
      <c r="L17" s="855">
        <v>400</v>
      </c>
      <c r="M17" s="137">
        <f t="shared" si="1"/>
        <v>0</v>
      </c>
    </row>
    <row r="18" spans="1:13" ht="15.75" x14ac:dyDescent="0.25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853">
        <v>44853</v>
      </c>
      <c r="L18" s="855">
        <v>0</v>
      </c>
      <c r="M18" s="137">
        <f t="shared" si="1"/>
        <v>0</v>
      </c>
    </row>
    <row r="19" spans="1:13" ht="31.5" x14ac:dyDescent="0.25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853">
        <v>44853</v>
      </c>
      <c r="L19" s="855">
        <v>65604</v>
      </c>
      <c r="M19" s="137">
        <f t="shared" si="1"/>
        <v>0</v>
      </c>
    </row>
    <row r="20" spans="1:13" ht="15.75" x14ac:dyDescent="0.25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853">
        <v>44853</v>
      </c>
      <c r="L20" s="855">
        <v>24654.400000000001</v>
      </c>
      <c r="M20" s="137">
        <f t="shared" si="1"/>
        <v>0</v>
      </c>
    </row>
    <row r="21" spans="1:13" ht="15.75" x14ac:dyDescent="0.25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853">
        <v>44853</v>
      </c>
      <c r="L21" s="855">
        <v>2029.1</v>
      </c>
      <c r="M21" s="137">
        <f t="shared" si="1"/>
        <v>0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853">
        <v>44853</v>
      </c>
      <c r="L22" s="855">
        <v>16779.599999999999</v>
      </c>
      <c r="M22" s="137">
        <f t="shared" si="1"/>
        <v>0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853">
        <v>44853</v>
      </c>
      <c r="L23" s="855">
        <v>3162</v>
      </c>
      <c r="M23" s="137">
        <f t="shared" si="1"/>
        <v>0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853">
        <v>44853</v>
      </c>
      <c r="L24" s="855">
        <v>43133.2</v>
      </c>
      <c r="M24" s="137">
        <f t="shared" si="1"/>
        <v>0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853">
        <v>44853</v>
      </c>
      <c r="L25" s="855">
        <v>11058</v>
      </c>
      <c r="M25" s="137">
        <f t="shared" si="1"/>
        <v>0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853">
        <v>44853</v>
      </c>
      <c r="L26" s="855">
        <v>2038</v>
      </c>
      <c r="M26" s="137">
        <f t="shared" si="1"/>
        <v>0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853">
        <v>44853</v>
      </c>
      <c r="L27" s="855">
        <v>26455.599999999999</v>
      </c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853">
        <v>44853</v>
      </c>
      <c r="L28" s="855">
        <v>1670</v>
      </c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853">
        <v>44853</v>
      </c>
      <c r="L29" s="855">
        <v>550</v>
      </c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853">
        <v>44853</v>
      </c>
      <c r="L30" s="855">
        <v>440</v>
      </c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853">
        <v>44853</v>
      </c>
      <c r="L31" s="855">
        <v>1298</v>
      </c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853">
        <v>44853</v>
      </c>
      <c r="L32" s="855">
        <v>9934</v>
      </c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853">
        <v>44853</v>
      </c>
      <c r="L33" s="855">
        <v>550</v>
      </c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853">
        <v>44853</v>
      </c>
      <c r="L34" s="855">
        <v>440</v>
      </c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4">
        <f t="shared" si="0"/>
        <v>0</v>
      </c>
      <c r="H37" s="1019" t="s">
        <v>1450</v>
      </c>
      <c r="I37" s="1020"/>
      <c r="J37" s="1020"/>
      <c r="K37" s="1021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4">
        <f t="shared" si="0"/>
        <v>0</v>
      </c>
      <c r="H38" s="1019"/>
      <c r="I38" s="1020"/>
      <c r="J38" s="1020"/>
      <c r="K38" s="1021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68" t="s">
        <v>594</v>
      </c>
      <c r="I40" s="969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70"/>
      <c r="I41" s="971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72"/>
      <c r="I42" s="973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964" t="s">
        <v>594</v>
      </c>
      <c r="I67" s="965"/>
      <c r="J67" s="642">
        <f>SUM(J3:J66)</f>
        <v>301758.95999999996</v>
      </c>
      <c r="K67" s="713"/>
      <c r="L67" s="209">
        <f>SUM(L3:L66)</f>
        <v>301758.95999999996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26" t="s">
        <v>207</v>
      </c>
      <c r="H68" s="966"/>
      <c r="I68" s="967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27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1028" t="s">
        <v>1376</v>
      </c>
      <c r="I73" s="1029"/>
      <c r="J73" s="1030"/>
      <c r="L73"/>
      <c r="M73"/>
    </row>
    <row r="74" spans="1:13" ht="18.75" customHeight="1" thickBot="1" x14ac:dyDescent="0.3">
      <c r="A74" s="98"/>
      <c r="B74" s="799"/>
      <c r="C74" s="129"/>
      <c r="D74" s="800"/>
      <c r="E74" s="1034" t="s">
        <v>1375</v>
      </c>
      <c r="F74" s="1035"/>
      <c r="H74" s="1031"/>
      <c r="I74" s="1032"/>
      <c r="J74" s="1033"/>
      <c r="L74"/>
      <c r="M74"/>
    </row>
    <row r="75" spans="1:13" ht="17.25" thickTop="1" thickBot="1" x14ac:dyDescent="0.3">
      <c r="A75" s="98"/>
      <c r="B75" s="799"/>
      <c r="C75" s="233"/>
      <c r="D75" s="800"/>
      <c r="E75" s="1036"/>
      <c r="F75" s="1037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1023">
        <v>642271.04</v>
      </c>
      <c r="F77" s="1024"/>
      <c r="H77" s="1025">
        <v>584997.29</v>
      </c>
      <c r="I77" s="1026"/>
      <c r="J77" s="1027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1022" t="s">
        <v>1377</v>
      </c>
      <c r="G80" s="1022"/>
      <c r="H80" s="1022"/>
      <c r="I80" s="1022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1022"/>
      <c r="G81" s="1022"/>
      <c r="H81" s="1022"/>
      <c r="I81" s="1022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9">
    <mergeCell ref="H37:K38"/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66" activePane="bottomRight" state="frozen"/>
      <selection pane="topRight" activeCell="B1" sqref="B1"/>
      <selection pane="bottomLeft" activeCell="A5" sqref="A5"/>
      <selection pane="bottomRight" activeCell="F74" sqref="F7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864"/>
      <c r="C1" s="930" t="s">
        <v>1244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22" ht="16.5" thickBot="1" x14ac:dyDescent="0.3">
      <c r="B2" s="865"/>
      <c r="C2" s="3"/>
      <c r="H2" s="5"/>
      <c r="I2" s="6"/>
      <c r="J2" s="7"/>
      <c r="L2" s="8"/>
      <c r="M2" s="6"/>
      <c r="N2" s="9"/>
    </row>
    <row r="3" spans="1:22" ht="21.75" thickBot="1" x14ac:dyDescent="0.35">
      <c r="B3" s="868" t="s">
        <v>0</v>
      </c>
      <c r="C3" s="869"/>
      <c r="D3" s="10"/>
      <c r="E3" s="553"/>
      <c r="F3" s="11"/>
      <c r="H3" s="870" t="s">
        <v>26</v>
      </c>
      <c r="I3" s="870"/>
      <c r="K3" s="165"/>
      <c r="L3" s="13"/>
      <c r="M3" s="14"/>
      <c r="P3" s="907" t="s">
        <v>6</v>
      </c>
      <c r="R3" s="928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871" t="s">
        <v>2</v>
      </c>
      <c r="F4" s="872"/>
      <c r="H4" s="873" t="s">
        <v>3</v>
      </c>
      <c r="I4" s="874"/>
      <c r="J4" s="556"/>
      <c r="K4" s="562"/>
      <c r="L4" s="563"/>
      <c r="M4" s="21" t="s">
        <v>4</v>
      </c>
      <c r="N4" s="22" t="s">
        <v>5</v>
      </c>
      <c r="P4" s="908"/>
      <c r="Q4" s="322" t="s">
        <v>217</v>
      </c>
      <c r="R4" s="929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909">
        <f>SUM(M5:M40)</f>
        <v>2172487.6799999997</v>
      </c>
      <c r="N41" s="909">
        <f>SUM(N5:N40)</f>
        <v>1625219</v>
      </c>
      <c r="P41" s="505">
        <f>SUM(P5:P40)</f>
        <v>4566318.68</v>
      </c>
      <c r="Q41" s="974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910"/>
      <c r="N42" s="910"/>
      <c r="P42" s="34"/>
      <c r="Q42" s="975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976">
        <f>M41+N41</f>
        <v>3797706.6799999997</v>
      </c>
      <c r="N45" s="977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86" t="s">
        <v>11</v>
      </c>
      <c r="I69" s="887"/>
      <c r="J69" s="559"/>
      <c r="K69" s="1011">
        <f>I67+L67</f>
        <v>401450.39</v>
      </c>
      <c r="L69" s="1012"/>
      <c r="M69" s="272"/>
      <c r="N69" s="272"/>
      <c r="P69" s="34"/>
      <c r="Q69" s="13"/>
    </row>
    <row r="70" spans="1:17" x14ac:dyDescent="0.25">
      <c r="D70" s="892" t="s">
        <v>12</v>
      </c>
      <c r="E70" s="892"/>
      <c r="F70" s="312">
        <f>F67-K69-C67</f>
        <v>1484547.7999999998</v>
      </c>
      <c r="I70" s="102"/>
      <c r="J70" s="560"/>
    </row>
    <row r="71" spans="1:17" ht="18.75" x14ac:dyDescent="0.3">
      <c r="D71" s="916" t="s">
        <v>95</v>
      </c>
      <c r="E71" s="916"/>
      <c r="F71" s="111">
        <v>-2600214.79</v>
      </c>
      <c r="I71" s="893" t="s">
        <v>13</v>
      </c>
      <c r="J71" s="894"/>
      <c r="K71" s="895">
        <f>F73+F74+F75</f>
        <v>2724761.13</v>
      </c>
      <c r="L71" s="895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1007">
        <f>-C4</f>
        <v>-2672555.9900000002</v>
      </c>
      <c r="L73" s="895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875" t="s">
        <v>18</v>
      </c>
      <c r="E75" s="876"/>
      <c r="F75" s="113">
        <v>3773503.4</v>
      </c>
      <c r="I75" s="1038" t="s">
        <v>198</v>
      </c>
      <c r="J75" s="1039"/>
      <c r="K75" s="1040">
        <f>K71+K73</f>
        <v>52205.139999999665</v>
      </c>
      <c r="L75" s="1040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E19" workbookViewId="0">
      <selection activeCell="L41" sqref="L41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1.5" x14ac:dyDescent="0.25">
      <c r="B3" s="454">
        <v>44802</v>
      </c>
      <c r="C3" s="246" t="s">
        <v>1312</v>
      </c>
      <c r="D3" s="111">
        <v>121622.37</v>
      </c>
      <c r="E3" s="834" t="s">
        <v>1443</v>
      </c>
      <c r="F3" s="111">
        <f>71753.5+49868.87</f>
        <v>121622.37</v>
      </c>
      <c r="G3" s="410">
        <f>D3-F3</f>
        <v>0</v>
      </c>
      <c r="I3" s="789" t="s">
        <v>1309</v>
      </c>
      <c r="J3" s="790">
        <v>10198</v>
      </c>
      <c r="K3" s="791">
        <v>3903.92</v>
      </c>
      <c r="L3" s="853">
        <v>44853</v>
      </c>
      <c r="M3" s="856">
        <v>3903.92</v>
      </c>
      <c r="N3" s="183">
        <f>K3-M3</f>
        <v>0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652">
        <v>44847</v>
      </c>
      <c r="F4" s="653">
        <v>7506</v>
      </c>
      <c r="G4" s="544">
        <f t="shared" ref="G4:G65" si="0">D4-F4</f>
        <v>0</v>
      </c>
      <c r="H4" s="138"/>
      <c r="I4" s="500" t="s">
        <v>1310</v>
      </c>
      <c r="J4" s="501">
        <v>10204</v>
      </c>
      <c r="K4" s="502">
        <v>9566.7999999999993</v>
      </c>
      <c r="L4" s="853">
        <v>44853</v>
      </c>
      <c r="M4" s="857">
        <v>9566.7999999999993</v>
      </c>
      <c r="N4" s="137">
        <f>N3+K4-M4</f>
        <v>0</v>
      </c>
    </row>
    <row r="5" spans="2:14" ht="15.75" x14ac:dyDescent="0.25">
      <c r="B5" s="454">
        <v>44803</v>
      </c>
      <c r="C5" s="246" t="s">
        <v>1314</v>
      </c>
      <c r="D5" s="111">
        <v>60096.32</v>
      </c>
      <c r="E5" s="652">
        <v>44847</v>
      </c>
      <c r="F5" s="653">
        <v>60096.32</v>
      </c>
      <c r="G5" s="544">
        <f t="shared" si="0"/>
        <v>0</v>
      </c>
      <c r="I5" s="500" t="s">
        <v>1311</v>
      </c>
      <c r="J5" s="501">
        <v>10211</v>
      </c>
      <c r="K5" s="502">
        <v>330</v>
      </c>
      <c r="L5" s="853">
        <v>44853</v>
      </c>
      <c r="M5" s="857">
        <v>330</v>
      </c>
      <c r="N5" s="137">
        <f t="shared" ref="N5:N65" si="1">N4+K5-M5</f>
        <v>0</v>
      </c>
    </row>
    <row r="6" spans="2:14" ht="15.75" x14ac:dyDescent="0.25">
      <c r="B6" s="454">
        <v>44804</v>
      </c>
      <c r="C6" s="246" t="s">
        <v>1315</v>
      </c>
      <c r="D6" s="111">
        <v>70935.199999999997</v>
      </c>
      <c r="E6" s="652">
        <v>44847</v>
      </c>
      <c r="F6" s="653">
        <v>70935.199999999997</v>
      </c>
      <c r="G6" s="544">
        <f t="shared" si="0"/>
        <v>0</v>
      </c>
      <c r="I6" s="500" t="s">
        <v>1283</v>
      </c>
      <c r="J6" s="501">
        <v>10237</v>
      </c>
      <c r="K6" s="502">
        <v>1450.6</v>
      </c>
      <c r="L6" s="853">
        <v>44853</v>
      </c>
      <c r="M6" s="857">
        <v>1450.6</v>
      </c>
      <c r="N6" s="137">
        <f t="shared" si="1"/>
        <v>0</v>
      </c>
    </row>
    <row r="7" spans="2:14" ht="15.75" x14ac:dyDescent="0.25">
      <c r="B7" s="452">
        <v>44805</v>
      </c>
      <c r="C7" s="437" t="s">
        <v>1318</v>
      </c>
      <c r="D7" s="392">
        <v>135900.6</v>
      </c>
      <c r="E7" s="652">
        <v>44847</v>
      </c>
      <c r="F7" s="837">
        <v>135900.6</v>
      </c>
      <c r="G7" s="544">
        <f t="shared" si="0"/>
        <v>0</v>
      </c>
      <c r="I7" s="497" t="s">
        <v>1284</v>
      </c>
      <c r="J7" s="498">
        <v>10243</v>
      </c>
      <c r="K7" s="499">
        <v>2480</v>
      </c>
      <c r="L7" s="853">
        <v>44853</v>
      </c>
      <c r="M7" s="857">
        <v>2480</v>
      </c>
      <c r="N7" s="137">
        <f t="shared" si="1"/>
        <v>0</v>
      </c>
    </row>
    <row r="8" spans="2:14" ht="15.75" x14ac:dyDescent="0.25">
      <c r="B8" s="452">
        <v>44713</v>
      </c>
      <c r="C8" s="437" t="s">
        <v>1319</v>
      </c>
      <c r="D8" s="392">
        <v>4028</v>
      </c>
      <c r="E8" s="652">
        <v>44847</v>
      </c>
      <c r="F8" s="837">
        <v>4028</v>
      </c>
      <c r="G8" s="544">
        <f t="shared" si="0"/>
        <v>0</v>
      </c>
      <c r="I8" s="497" t="s">
        <v>1284</v>
      </c>
      <c r="J8" s="498">
        <v>10245</v>
      </c>
      <c r="K8" s="499">
        <v>3712</v>
      </c>
      <c r="L8" s="853">
        <v>44853</v>
      </c>
      <c r="M8" s="857">
        <v>3712</v>
      </c>
      <c r="N8" s="137">
        <f t="shared" si="1"/>
        <v>0</v>
      </c>
    </row>
    <row r="9" spans="2:14" ht="15.75" x14ac:dyDescent="0.25">
      <c r="B9" s="452">
        <v>44806</v>
      </c>
      <c r="C9" s="437" t="s">
        <v>1320</v>
      </c>
      <c r="D9" s="392">
        <v>71698.3</v>
      </c>
      <c r="E9" s="652">
        <v>44847</v>
      </c>
      <c r="F9" s="837">
        <v>71698.3</v>
      </c>
      <c r="G9" s="544">
        <f t="shared" si="0"/>
        <v>0</v>
      </c>
      <c r="I9" s="500" t="s">
        <v>1285</v>
      </c>
      <c r="J9" s="501">
        <v>10252</v>
      </c>
      <c r="K9" s="502">
        <v>8863</v>
      </c>
      <c r="L9" s="853">
        <v>44853</v>
      </c>
      <c r="M9" s="857">
        <v>8863</v>
      </c>
      <c r="N9" s="137">
        <f t="shared" si="1"/>
        <v>0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652">
        <v>44847</v>
      </c>
      <c r="F10" s="837">
        <v>76677.600000000006</v>
      </c>
      <c r="G10" s="544">
        <f t="shared" si="0"/>
        <v>0</v>
      </c>
      <c r="H10" s="138"/>
      <c r="I10" s="500" t="s">
        <v>1286</v>
      </c>
      <c r="J10" s="501">
        <v>10256</v>
      </c>
      <c r="K10" s="502">
        <v>6457.76</v>
      </c>
      <c r="L10" s="853">
        <v>44853</v>
      </c>
      <c r="M10" s="857">
        <v>6457.76</v>
      </c>
      <c r="N10" s="137">
        <f t="shared" si="1"/>
        <v>0</v>
      </c>
    </row>
    <row r="11" spans="2:14" ht="15.75" x14ac:dyDescent="0.25">
      <c r="B11" s="452">
        <v>44809</v>
      </c>
      <c r="C11" s="437" t="s">
        <v>1322</v>
      </c>
      <c r="D11" s="392">
        <v>74432.399999999994</v>
      </c>
      <c r="E11" s="652">
        <v>44847</v>
      </c>
      <c r="F11" s="837">
        <v>74432.399999999994</v>
      </c>
      <c r="G11" s="544">
        <f t="shared" si="0"/>
        <v>0</v>
      </c>
      <c r="I11" s="500" t="s">
        <v>1287</v>
      </c>
      <c r="J11" s="501">
        <v>10264</v>
      </c>
      <c r="K11" s="502">
        <v>6040</v>
      </c>
      <c r="L11" s="853">
        <v>44853</v>
      </c>
      <c r="M11" s="857">
        <v>6040</v>
      </c>
      <c r="N11" s="137">
        <f t="shared" si="1"/>
        <v>0</v>
      </c>
    </row>
    <row r="12" spans="2:14" ht="15.75" x14ac:dyDescent="0.25">
      <c r="B12" s="452">
        <v>44810</v>
      </c>
      <c r="C12" s="437" t="s">
        <v>1323</v>
      </c>
      <c r="D12" s="392">
        <v>88952.15</v>
      </c>
      <c r="E12" s="652">
        <v>44847</v>
      </c>
      <c r="F12" s="837">
        <v>88952.15</v>
      </c>
      <c r="G12" s="544">
        <f t="shared" si="0"/>
        <v>0</v>
      </c>
      <c r="I12" s="497" t="s">
        <v>1288</v>
      </c>
      <c r="J12" s="498">
        <v>10274</v>
      </c>
      <c r="K12" s="499">
        <v>9717.6</v>
      </c>
      <c r="L12" s="853">
        <v>44853</v>
      </c>
      <c r="M12" s="857">
        <v>9717.6</v>
      </c>
      <c r="N12" s="137">
        <f t="shared" si="1"/>
        <v>0</v>
      </c>
    </row>
    <row r="13" spans="2:14" ht="15.75" x14ac:dyDescent="0.25">
      <c r="B13" s="452">
        <v>44811</v>
      </c>
      <c r="C13" s="437" t="s">
        <v>1324</v>
      </c>
      <c r="D13" s="392">
        <v>156034.5</v>
      </c>
      <c r="E13" s="652">
        <v>44847</v>
      </c>
      <c r="F13" s="837">
        <v>156034.5</v>
      </c>
      <c r="G13" s="544">
        <f t="shared" si="0"/>
        <v>0</v>
      </c>
      <c r="I13" s="500" t="s">
        <v>1289</v>
      </c>
      <c r="J13" s="501">
        <v>10300</v>
      </c>
      <c r="K13" s="502">
        <v>16135.8</v>
      </c>
      <c r="L13" s="853">
        <v>44853</v>
      </c>
      <c r="M13" s="857">
        <v>16135.8</v>
      </c>
      <c r="N13" s="137">
        <f t="shared" si="1"/>
        <v>0</v>
      </c>
    </row>
    <row r="14" spans="2:14" ht="15.75" x14ac:dyDescent="0.25">
      <c r="B14" s="452">
        <v>44812</v>
      </c>
      <c r="C14" s="437" t="s">
        <v>1325</v>
      </c>
      <c r="D14" s="392">
        <v>39036</v>
      </c>
      <c r="E14" s="652">
        <v>44847</v>
      </c>
      <c r="F14" s="837">
        <v>39036</v>
      </c>
      <c r="G14" s="544">
        <f t="shared" si="0"/>
        <v>0</v>
      </c>
      <c r="I14" s="497" t="s">
        <v>1290</v>
      </c>
      <c r="J14" s="498">
        <v>10305</v>
      </c>
      <c r="K14" s="499">
        <v>440</v>
      </c>
      <c r="L14" s="853">
        <v>44853</v>
      </c>
      <c r="M14" s="857">
        <v>440</v>
      </c>
      <c r="N14" s="137">
        <f t="shared" si="1"/>
        <v>0</v>
      </c>
    </row>
    <row r="15" spans="2:14" ht="15.75" x14ac:dyDescent="0.25">
      <c r="B15" s="452">
        <v>44813</v>
      </c>
      <c r="C15" s="437" t="s">
        <v>1326</v>
      </c>
      <c r="D15" s="392">
        <v>45856.7</v>
      </c>
      <c r="E15" s="652">
        <v>44847</v>
      </c>
      <c r="F15" s="837">
        <v>45856.7</v>
      </c>
      <c r="G15" s="544">
        <f t="shared" si="0"/>
        <v>0</v>
      </c>
      <c r="I15" s="497" t="s">
        <v>1291</v>
      </c>
      <c r="J15" s="498">
        <v>10315</v>
      </c>
      <c r="K15" s="499">
        <v>9204</v>
      </c>
      <c r="L15" s="853">
        <v>44853</v>
      </c>
      <c r="M15" s="857">
        <v>9204</v>
      </c>
      <c r="N15" s="137">
        <f t="shared" si="1"/>
        <v>0</v>
      </c>
    </row>
    <row r="16" spans="2:14" ht="15.75" x14ac:dyDescent="0.25">
      <c r="B16" s="452">
        <v>44814</v>
      </c>
      <c r="C16" s="437" t="s">
        <v>1327</v>
      </c>
      <c r="D16" s="392">
        <v>90919.73</v>
      </c>
      <c r="E16" s="652">
        <v>44847</v>
      </c>
      <c r="F16" s="837">
        <v>90919.73</v>
      </c>
      <c r="G16" s="544">
        <f t="shared" si="0"/>
        <v>0</v>
      </c>
      <c r="I16" s="500" t="s">
        <v>1292</v>
      </c>
      <c r="J16" s="501">
        <v>10323</v>
      </c>
      <c r="K16" s="502">
        <v>880</v>
      </c>
      <c r="L16" s="853">
        <v>44853</v>
      </c>
      <c r="M16" s="857">
        <v>880</v>
      </c>
      <c r="N16" s="137">
        <f t="shared" si="1"/>
        <v>0</v>
      </c>
    </row>
    <row r="17" spans="2:14" ht="15.75" x14ac:dyDescent="0.25">
      <c r="B17" s="452">
        <v>44814</v>
      </c>
      <c r="C17" s="437" t="s">
        <v>1328</v>
      </c>
      <c r="D17" s="392">
        <v>4788</v>
      </c>
      <c r="E17" s="652">
        <v>44847</v>
      </c>
      <c r="F17" s="837">
        <v>4788</v>
      </c>
      <c r="G17" s="544">
        <f t="shared" si="0"/>
        <v>0</v>
      </c>
      <c r="I17" s="500" t="s">
        <v>1293</v>
      </c>
      <c r="J17" s="501">
        <v>10332</v>
      </c>
      <c r="K17" s="502">
        <v>1990</v>
      </c>
      <c r="L17" s="853">
        <v>44853</v>
      </c>
      <c r="M17" s="857">
        <v>1990</v>
      </c>
      <c r="N17" s="137">
        <f t="shared" si="1"/>
        <v>0</v>
      </c>
    </row>
    <row r="18" spans="2:14" ht="31.5" x14ac:dyDescent="0.25">
      <c r="B18" s="452">
        <v>44816</v>
      </c>
      <c r="C18" s="437" t="s">
        <v>1329</v>
      </c>
      <c r="D18" s="833">
        <v>132050.23999999999</v>
      </c>
      <c r="E18" s="797" t="s">
        <v>1444</v>
      </c>
      <c r="F18" s="653">
        <f>123269.63+8780.61</f>
        <v>132050.23999999999</v>
      </c>
      <c r="G18" s="544">
        <f t="shared" si="0"/>
        <v>0</v>
      </c>
      <c r="I18" s="497" t="s">
        <v>1294</v>
      </c>
      <c r="J18" s="498">
        <v>10350</v>
      </c>
      <c r="K18" s="499">
        <v>440</v>
      </c>
      <c r="L18" s="853">
        <v>44853</v>
      </c>
      <c r="M18" s="857">
        <v>440</v>
      </c>
      <c r="N18" s="137">
        <f t="shared" si="1"/>
        <v>0</v>
      </c>
    </row>
    <row r="19" spans="2:14" ht="15.75" x14ac:dyDescent="0.25">
      <c r="B19" s="452">
        <v>44816</v>
      </c>
      <c r="C19" s="437" t="s">
        <v>1330</v>
      </c>
      <c r="D19" s="392">
        <v>6858</v>
      </c>
      <c r="E19" s="835">
        <v>44848</v>
      </c>
      <c r="F19" s="836">
        <v>6858</v>
      </c>
      <c r="G19" s="544">
        <f t="shared" si="0"/>
        <v>0</v>
      </c>
      <c r="I19" s="497" t="s">
        <v>1294</v>
      </c>
      <c r="J19" s="498">
        <v>10355</v>
      </c>
      <c r="K19" s="499">
        <v>760</v>
      </c>
      <c r="L19" s="853">
        <v>44853</v>
      </c>
      <c r="M19" s="857">
        <v>760</v>
      </c>
      <c r="N19" s="137">
        <f t="shared" si="1"/>
        <v>0</v>
      </c>
    </row>
    <row r="20" spans="2:14" ht="15.75" x14ac:dyDescent="0.25">
      <c r="B20" s="452">
        <v>44817</v>
      </c>
      <c r="C20" s="437" t="s">
        <v>1331</v>
      </c>
      <c r="D20" s="392">
        <v>93240.65</v>
      </c>
      <c r="E20" s="835">
        <v>44848</v>
      </c>
      <c r="F20" s="836">
        <v>93240.65</v>
      </c>
      <c r="G20" s="544">
        <f t="shared" si="0"/>
        <v>0</v>
      </c>
      <c r="I20" s="500" t="s">
        <v>1295</v>
      </c>
      <c r="J20" s="501">
        <v>10374</v>
      </c>
      <c r="K20" s="502">
        <v>440</v>
      </c>
      <c r="L20" s="853">
        <v>44853</v>
      </c>
      <c r="M20" s="857">
        <v>440</v>
      </c>
      <c r="N20" s="137">
        <f t="shared" si="1"/>
        <v>0</v>
      </c>
    </row>
    <row r="21" spans="2:14" ht="15.75" x14ac:dyDescent="0.25">
      <c r="B21" s="452">
        <v>44818</v>
      </c>
      <c r="C21" s="437" t="s">
        <v>1332</v>
      </c>
      <c r="D21" s="392">
        <v>38351.199999999997</v>
      </c>
      <c r="E21" s="835">
        <v>44848</v>
      </c>
      <c r="F21" s="836">
        <v>38351.199999999997</v>
      </c>
      <c r="G21" s="544">
        <f t="shared" si="0"/>
        <v>0</v>
      </c>
      <c r="I21" s="497" t="s">
        <v>1296</v>
      </c>
      <c r="J21" s="498">
        <v>10377</v>
      </c>
      <c r="K21" s="499">
        <v>3060</v>
      </c>
      <c r="L21" s="853">
        <v>44853</v>
      </c>
      <c r="M21" s="857">
        <v>3060</v>
      </c>
      <c r="N21" s="137">
        <f t="shared" si="1"/>
        <v>0</v>
      </c>
    </row>
    <row r="22" spans="2:14" ht="32.25" x14ac:dyDescent="0.3">
      <c r="B22" s="452">
        <v>44819</v>
      </c>
      <c r="C22" s="437" t="s">
        <v>1333</v>
      </c>
      <c r="D22" s="392">
        <v>48115.16</v>
      </c>
      <c r="E22" s="838" t="s">
        <v>1445</v>
      </c>
      <c r="F22" s="836">
        <f>13836.04+34279.12</f>
        <v>48115.16</v>
      </c>
      <c r="G22" s="544">
        <f t="shared" si="0"/>
        <v>0</v>
      </c>
      <c r="H22" s="644"/>
      <c r="I22" s="500" t="s">
        <v>1297</v>
      </c>
      <c r="J22" s="501">
        <v>10388</v>
      </c>
      <c r="K22" s="502">
        <v>330</v>
      </c>
      <c r="L22" s="853">
        <v>44853</v>
      </c>
      <c r="M22" s="857">
        <v>330</v>
      </c>
      <c r="N22" s="137">
        <f t="shared" si="1"/>
        <v>0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807">
        <v>44851</v>
      </c>
      <c r="F23" s="707">
        <v>53088</v>
      </c>
      <c r="G23" s="544">
        <f t="shared" si="0"/>
        <v>0</v>
      </c>
      <c r="H23" s="2"/>
      <c r="I23" s="500" t="s">
        <v>1298</v>
      </c>
      <c r="J23" s="501">
        <v>10396</v>
      </c>
      <c r="K23" s="502">
        <v>330</v>
      </c>
      <c r="L23" s="853">
        <v>44853</v>
      </c>
      <c r="M23" s="857">
        <v>330</v>
      </c>
      <c r="N23" s="137">
        <f t="shared" si="1"/>
        <v>0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807">
        <v>44851</v>
      </c>
      <c r="F24" s="707">
        <v>71394.820000000007</v>
      </c>
      <c r="G24" s="544">
        <f t="shared" si="0"/>
        <v>0</v>
      </c>
      <c r="H24" s="2"/>
      <c r="I24" s="497" t="s">
        <v>1299</v>
      </c>
      <c r="J24" s="498">
        <v>10403</v>
      </c>
      <c r="K24" s="499">
        <v>330</v>
      </c>
      <c r="L24" s="853">
        <v>44853</v>
      </c>
      <c r="M24" s="857">
        <v>330</v>
      </c>
      <c r="N24" s="137">
        <f t="shared" si="1"/>
        <v>0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807">
        <v>44851</v>
      </c>
      <c r="F25" s="707">
        <v>7659</v>
      </c>
      <c r="G25" s="544">
        <f t="shared" si="0"/>
        <v>0</v>
      </c>
      <c r="H25" s="645"/>
      <c r="I25" s="500" t="s">
        <v>1300</v>
      </c>
      <c r="J25" s="501">
        <v>10408</v>
      </c>
      <c r="K25" s="502">
        <v>312</v>
      </c>
      <c r="L25" s="853">
        <v>44853</v>
      </c>
      <c r="M25" s="857">
        <v>312</v>
      </c>
      <c r="N25" s="137">
        <f t="shared" si="1"/>
        <v>0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807">
        <v>44851</v>
      </c>
      <c r="F26" s="707">
        <v>78067.399999999994</v>
      </c>
      <c r="G26" s="544">
        <f t="shared" si="0"/>
        <v>0</v>
      </c>
      <c r="H26" s="645"/>
      <c r="I26" s="497" t="s">
        <v>1301</v>
      </c>
      <c r="J26" s="498">
        <v>10413</v>
      </c>
      <c r="K26" s="499">
        <v>10749.4</v>
      </c>
      <c r="L26" s="853">
        <v>44853</v>
      </c>
      <c r="M26" s="857">
        <v>10749.4</v>
      </c>
      <c r="N26" s="137">
        <f t="shared" si="1"/>
        <v>0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807">
        <v>44851</v>
      </c>
      <c r="F27" s="707">
        <v>4317.6000000000004</v>
      </c>
      <c r="G27" s="544">
        <f t="shared" si="0"/>
        <v>0</v>
      </c>
      <c r="H27" s="645"/>
      <c r="I27" s="500" t="s">
        <v>1302</v>
      </c>
      <c r="J27" s="501">
        <v>10426</v>
      </c>
      <c r="K27" s="502">
        <v>440</v>
      </c>
      <c r="L27" s="853">
        <v>44853</v>
      </c>
      <c r="M27" s="857">
        <v>440</v>
      </c>
      <c r="N27" s="137">
        <f t="shared" si="1"/>
        <v>0</v>
      </c>
    </row>
    <row r="28" spans="2:14" ht="31.5" x14ac:dyDescent="0.25">
      <c r="B28" s="452">
        <v>44824</v>
      </c>
      <c r="C28" s="437" t="s">
        <v>1339</v>
      </c>
      <c r="D28" s="392">
        <v>64961.4</v>
      </c>
      <c r="E28" s="839" t="s">
        <v>1446</v>
      </c>
      <c r="F28" s="707">
        <f>3144.56+61816.84</f>
        <v>64961.399999999994</v>
      </c>
      <c r="G28" s="544">
        <f t="shared" si="0"/>
        <v>0</v>
      </c>
      <c r="H28" s="645"/>
      <c r="I28" s="500" t="s">
        <v>1302</v>
      </c>
      <c r="J28" s="501">
        <v>10430</v>
      </c>
      <c r="K28" s="502">
        <v>83796</v>
      </c>
      <c r="L28" s="853">
        <v>44853</v>
      </c>
      <c r="M28" s="857">
        <v>83796</v>
      </c>
      <c r="N28" s="137">
        <f t="shared" si="1"/>
        <v>0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584">
        <v>44855</v>
      </c>
      <c r="F29" s="585">
        <v>8619.2000000000007</v>
      </c>
      <c r="G29" s="544">
        <f t="shared" si="0"/>
        <v>0</v>
      </c>
      <c r="H29" s="645"/>
      <c r="I29" s="500" t="s">
        <v>1302</v>
      </c>
      <c r="J29" s="501">
        <v>10431</v>
      </c>
      <c r="K29" s="502">
        <v>32</v>
      </c>
      <c r="L29" s="853">
        <v>44853</v>
      </c>
      <c r="M29" s="857">
        <v>32</v>
      </c>
      <c r="N29" s="137">
        <f t="shared" si="1"/>
        <v>0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584">
        <v>44855</v>
      </c>
      <c r="F30" s="585">
        <v>26763.09</v>
      </c>
      <c r="G30" s="544">
        <f t="shared" si="0"/>
        <v>0</v>
      </c>
      <c r="H30" s="645"/>
      <c r="I30" s="497" t="s">
        <v>1302</v>
      </c>
      <c r="J30" s="498">
        <v>10432</v>
      </c>
      <c r="K30" s="499">
        <v>15527.2</v>
      </c>
      <c r="L30" s="853">
        <v>44853</v>
      </c>
      <c r="M30" s="857">
        <v>15527.2</v>
      </c>
      <c r="N30" s="137">
        <f t="shared" si="1"/>
        <v>0</v>
      </c>
    </row>
    <row r="31" spans="2:14" ht="31.5" x14ac:dyDescent="0.25">
      <c r="B31" s="452">
        <v>44827</v>
      </c>
      <c r="C31" s="437" t="s">
        <v>1342</v>
      </c>
      <c r="D31" s="392">
        <v>449824.82</v>
      </c>
      <c r="E31" s="806" t="s">
        <v>1447</v>
      </c>
      <c r="F31" s="583">
        <f>90216.87+359607.95</f>
        <v>449824.82</v>
      </c>
      <c r="G31" s="544">
        <f t="shared" si="0"/>
        <v>0</v>
      </c>
      <c r="H31" s="2"/>
      <c r="I31" s="497" t="s">
        <v>1303</v>
      </c>
      <c r="J31" s="498">
        <v>10439</v>
      </c>
      <c r="K31" s="499">
        <v>9833.2000000000007</v>
      </c>
      <c r="L31" s="853">
        <v>44853</v>
      </c>
      <c r="M31" s="857">
        <v>9833.2000000000007</v>
      </c>
      <c r="N31" s="137">
        <f t="shared" si="1"/>
        <v>0</v>
      </c>
    </row>
    <row r="32" spans="2:14" ht="31.5" x14ac:dyDescent="0.25">
      <c r="B32" s="452">
        <v>44828</v>
      </c>
      <c r="C32" s="437" t="s">
        <v>1343</v>
      </c>
      <c r="D32" s="392">
        <v>75805.399999999994</v>
      </c>
      <c r="E32" s="646" t="s">
        <v>1448</v>
      </c>
      <c r="F32" s="583">
        <f>5417.05+70388.35</f>
        <v>75805.400000000009</v>
      </c>
      <c r="G32" s="544">
        <f t="shared" si="0"/>
        <v>0</v>
      </c>
      <c r="H32" s="2"/>
      <c r="I32" s="497" t="s">
        <v>1304</v>
      </c>
      <c r="J32" s="498">
        <v>10447</v>
      </c>
      <c r="K32" s="499">
        <v>330</v>
      </c>
      <c r="L32" s="853">
        <v>44853</v>
      </c>
      <c r="M32" s="857">
        <v>330</v>
      </c>
      <c r="N32" s="137">
        <f t="shared" si="1"/>
        <v>0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840">
        <v>44868</v>
      </c>
      <c r="F33" s="841">
        <v>10260</v>
      </c>
      <c r="G33" s="544">
        <f t="shared" si="0"/>
        <v>0</v>
      </c>
      <c r="I33" s="500" t="s">
        <v>1305</v>
      </c>
      <c r="J33" s="501">
        <v>10454</v>
      </c>
      <c r="K33" s="502">
        <v>3738</v>
      </c>
      <c r="L33" s="853">
        <v>44853</v>
      </c>
      <c r="M33" s="857">
        <v>3738</v>
      </c>
      <c r="N33" s="137">
        <f t="shared" si="1"/>
        <v>0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840">
        <v>44868</v>
      </c>
      <c r="F34" s="841">
        <v>66227.5</v>
      </c>
      <c r="G34" s="544">
        <f t="shared" si="0"/>
        <v>0</v>
      </c>
      <c r="I34" s="497" t="s">
        <v>1306</v>
      </c>
      <c r="J34" s="498">
        <v>10473</v>
      </c>
      <c r="K34" s="499">
        <v>1760</v>
      </c>
      <c r="L34" s="853">
        <v>44853</v>
      </c>
      <c r="M34" s="857">
        <v>1760</v>
      </c>
      <c r="N34" s="137">
        <f t="shared" si="1"/>
        <v>0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840">
        <v>44868</v>
      </c>
      <c r="F35" s="841">
        <v>61159.199999999997</v>
      </c>
      <c r="G35" s="544">
        <f t="shared" si="0"/>
        <v>0</v>
      </c>
      <c r="I35" s="500" t="s">
        <v>1307</v>
      </c>
      <c r="J35" s="501">
        <v>10482</v>
      </c>
      <c r="K35" s="502">
        <v>550</v>
      </c>
      <c r="L35" s="853">
        <v>44853</v>
      </c>
      <c r="M35" s="857">
        <v>550</v>
      </c>
      <c r="N35" s="137">
        <f t="shared" si="1"/>
        <v>0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840">
        <v>44868</v>
      </c>
      <c r="F36" s="841">
        <v>90739.06</v>
      </c>
      <c r="G36" s="544">
        <f t="shared" si="0"/>
        <v>0</v>
      </c>
      <c r="I36" s="497" t="s">
        <v>1307</v>
      </c>
      <c r="J36" s="498">
        <v>10483</v>
      </c>
      <c r="K36" s="499">
        <v>34040</v>
      </c>
      <c r="L36" s="853">
        <v>44853</v>
      </c>
      <c r="M36" s="857">
        <v>34040</v>
      </c>
      <c r="N36" s="137">
        <f t="shared" si="1"/>
        <v>0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840">
        <v>44868</v>
      </c>
      <c r="F37" s="841">
        <v>27945.95</v>
      </c>
      <c r="G37" s="544">
        <f t="shared" si="0"/>
        <v>0</v>
      </c>
      <c r="I37" s="500" t="s">
        <v>1307</v>
      </c>
      <c r="J37" s="501">
        <v>10484</v>
      </c>
      <c r="K37" s="502">
        <v>1800</v>
      </c>
      <c r="L37" s="853">
        <v>44853</v>
      </c>
      <c r="M37" s="857">
        <v>1800</v>
      </c>
      <c r="N37" s="137">
        <f t="shared" si="1"/>
        <v>0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840">
        <v>44868</v>
      </c>
      <c r="F38" s="841">
        <v>101737.82</v>
      </c>
      <c r="G38" s="544">
        <f t="shared" si="0"/>
        <v>0</v>
      </c>
      <c r="I38" s="500" t="s">
        <v>1308</v>
      </c>
      <c r="J38" s="501">
        <v>10492</v>
      </c>
      <c r="K38" s="502">
        <v>330</v>
      </c>
      <c r="L38" s="853">
        <v>44853</v>
      </c>
      <c r="M38" s="857">
        <v>330</v>
      </c>
      <c r="N38" s="137">
        <f t="shared" si="1"/>
        <v>0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840">
        <v>44868</v>
      </c>
      <c r="F39" s="841">
        <v>5241.6000000000004</v>
      </c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840">
        <v>44868</v>
      </c>
      <c r="F40" s="841">
        <v>29303.81</v>
      </c>
      <c r="G40" s="111">
        <f t="shared" si="0"/>
        <v>0</v>
      </c>
      <c r="I40" s="968" t="s">
        <v>594</v>
      </c>
      <c r="J40" s="969"/>
      <c r="K40" s="69"/>
      <c r="L40" s="253"/>
      <c r="M40" s="69"/>
      <c r="N40" s="137">
        <f t="shared" si="1"/>
        <v>0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970"/>
      <c r="J41" s="971"/>
      <c r="K41" s="69"/>
      <c r="L41" s="253"/>
      <c r="M41" s="69"/>
      <c r="N41" s="137">
        <f t="shared" si="1"/>
        <v>0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972"/>
      <c r="J42" s="973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019" t="s">
        <v>1450</v>
      </c>
      <c r="J45" s="1020"/>
      <c r="K45" s="1020"/>
      <c r="L45" s="1021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019"/>
      <c r="J46" s="1020"/>
      <c r="K46" s="1020"/>
      <c r="L46" s="1021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2600214.79</v>
      </c>
      <c r="G67" s="153">
        <f>SUM(G3:G66)</f>
        <v>0</v>
      </c>
      <c r="I67" s="964" t="s">
        <v>594</v>
      </c>
      <c r="J67" s="965"/>
      <c r="K67" s="642">
        <f>SUM(K3:K66)</f>
        <v>250099.28000000003</v>
      </c>
      <c r="L67" s="713"/>
      <c r="M67" s="209">
        <f>SUM(M3:M66)</f>
        <v>250099.28000000003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26" t="s">
        <v>207</v>
      </c>
      <c r="I68" s="966"/>
      <c r="J68" s="967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27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E71" s="843"/>
      <c r="F71" s="777"/>
      <c r="H71" s="2"/>
      <c r="I71" s="426"/>
      <c r="J71" s="503"/>
      <c r="K71" s="6"/>
      <c r="L71" s="714"/>
      <c r="M71"/>
    </row>
    <row r="72" spans="2:14" ht="15" customHeight="1" x14ac:dyDescent="0.25">
      <c r="C72" s="799"/>
      <c r="D72" s="777"/>
      <c r="E72" s="800"/>
      <c r="F72" s="233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799"/>
      <c r="D73" s="233"/>
      <c r="E73" s="800"/>
      <c r="F73" s="233"/>
      <c r="H73" s="2"/>
      <c r="I73" s="792"/>
      <c r="J73" s="793"/>
      <c r="K73" s="794"/>
      <c r="L73" s="794"/>
      <c r="M73"/>
      <c r="N73"/>
    </row>
    <row r="74" spans="2:14" ht="15.75" x14ac:dyDescent="0.25">
      <c r="C74" s="799"/>
      <c r="D74" s="233"/>
      <c r="E74" s="800"/>
      <c r="F74" s="233"/>
      <c r="H74" s="2"/>
      <c r="I74" s="792"/>
      <c r="J74" s="793"/>
      <c r="K74" s="794"/>
      <c r="L74" s="794"/>
      <c r="M74"/>
      <c r="N74"/>
    </row>
    <row r="75" spans="2:14" ht="15.75" x14ac:dyDescent="0.25">
      <c r="C75" s="799"/>
      <c r="D75" s="233"/>
      <c r="E75" s="800"/>
      <c r="F75" s="233"/>
      <c r="H75" s="2"/>
      <c r="I75" s="2"/>
      <c r="J75" s="2"/>
      <c r="K75" s="2"/>
      <c r="L75" s="714"/>
      <c r="M75"/>
      <c r="N75"/>
    </row>
    <row r="76" spans="2:14" ht="15.75" x14ac:dyDescent="0.25">
      <c r="C76" s="799"/>
      <c r="D76" s="233"/>
      <c r="E76" s="800"/>
      <c r="F76" s="233"/>
      <c r="H76" s="2"/>
      <c r="I76" s="2"/>
      <c r="J76" s="2"/>
      <c r="K76" s="2"/>
      <c r="L76" s="714"/>
      <c r="M76"/>
      <c r="N76"/>
    </row>
    <row r="77" spans="2:14" ht="15.75" x14ac:dyDescent="0.25">
      <c r="C77" s="799"/>
      <c r="D77" s="233"/>
      <c r="E77" s="800"/>
      <c r="F77" s="126"/>
      <c r="I77"/>
      <c r="J77"/>
      <c r="K77"/>
      <c r="M77"/>
      <c r="N77"/>
    </row>
    <row r="78" spans="2:14" ht="15.75" x14ac:dyDescent="0.25">
      <c r="C78" s="799"/>
      <c r="D78" s="233"/>
      <c r="E78" s="800"/>
      <c r="F78" s="126"/>
      <c r="I78"/>
      <c r="J78"/>
      <c r="K78"/>
      <c r="M78"/>
      <c r="N78"/>
    </row>
    <row r="79" spans="2:14" ht="15.75" x14ac:dyDescent="0.25">
      <c r="C79" s="799"/>
      <c r="D79" s="233"/>
      <c r="E79" s="800"/>
      <c r="F79" s="126"/>
      <c r="I79"/>
      <c r="J79"/>
      <c r="K79"/>
      <c r="M79"/>
      <c r="N79"/>
    </row>
    <row r="80" spans="2:14" ht="15.75" x14ac:dyDescent="0.25">
      <c r="C80" s="799"/>
      <c r="D80" s="233"/>
      <c r="E80" s="800"/>
      <c r="F80" s="126"/>
      <c r="I80"/>
      <c r="J80"/>
      <c r="K80"/>
      <c r="M80"/>
      <c r="N80"/>
    </row>
    <row r="81" spans="3:14" ht="15.75" x14ac:dyDescent="0.25">
      <c r="C81" s="757"/>
      <c r="D81" s="233"/>
      <c r="E81" s="800"/>
      <c r="F81" s="126"/>
      <c r="I81"/>
      <c r="J81"/>
      <c r="K81"/>
      <c r="M81"/>
      <c r="N81"/>
    </row>
    <row r="82" spans="3:14" ht="15.75" x14ac:dyDescent="0.25">
      <c r="C82" s="757"/>
      <c r="D82" s="233"/>
      <c r="E82" s="800"/>
      <c r="F82" s="126"/>
      <c r="I82"/>
      <c r="J82"/>
      <c r="K82"/>
      <c r="M82"/>
      <c r="N82"/>
    </row>
    <row r="83" spans="3:14" ht="15.75" x14ac:dyDescent="0.25">
      <c r="C83" s="757"/>
      <c r="D83" s="233"/>
      <c r="E83" s="800"/>
      <c r="F83" s="126"/>
      <c r="I83"/>
      <c r="J83"/>
      <c r="K83"/>
      <c r="M83"/>
      <c r="N83"/>
    </row>
    <row r="84" spans="3:14" ht="15.75" x14ac:dyDescent="0.25">
      <c r="C84" s="757"/>
      <c r="D84" s="233"/>
      <c r="E84" s="800"/>
      <c r="F84" s="126"/>
      <c r="I84"/>
      <c r="J84"/>
      <c r="K84"/>
      <c r="M84"/>
      <c r="N84"/>
    </row>
    <row r="85" spans="3:14" ht="15.75" x14ac:dyDescent="0.25">
      <c r="C85" s="757"/>
      <c r="D85" s="233"/>
      <c r="E85" s="800"/>
      <c r="F85" s="126"/>
      <c r="I85"/>
      <c r="J85"/>
      <c r="K85"/>
      <c r="M85"/>
      <c r="N85"/>
    </row>
    <row r="86" spans="3:14" ht="15.75" x14ac:dyDescent="0.25">
      <c r="C86" s="757"/>
      <c r="D86" s="233"/>
      <c r="E86" s="800"/>
      <c r="F86" s="126"/>
      <c r="I86"/>
      <c r="J86"/>
      <c r="K86"/>
      <c r="M86"/>
      <c r="N86"/>
    </row>
    <row r="87" spans="3:14" ht="15.75" x14ac:dyDescent="0.25">
      <c r="C87" s="757"/>
      <c r="D87" s="233"/>
      <c r="E87" s="800"/>
      <c r="F87" s="126"/>
      <c r="I87"/>
      <c r="J87"/>
      <c r="K87"/>
      <c r="M87"/>
      <c r="N87"/>
    </row>
    <row r="88" spans="3:14" ht="15.75" x14ac:dyDescent="0.25">
      <c r="C88" s="757"/>
      <c r="D88" s="233"/>
      <c r="E88" s="800"/>
      <c r="F88" s="126"/>
      <c r="I88"/>
      <c r="J88"/>
      <c r="K88"/>
      <c r="M88"/>
      <c r="N88"/>
    </row>
    <row r="89" spans="3:14" ht="15.75" x14ac:dyDescent="0.25">
      <c r="C89" s="757"/>
      <c r="D89" s="233"/>
      <c r="E89" s="800"/>
      <c r="F89" s="126"/>
      <c r="I89"/>
      <c r="J89"/>
      <c r="K89"/>
      <c r="M89"/>
      <c r="N89"/>
    </row>
    <row r="90" spans="3:14" ht="15.75" x14ac:dyDescent="0.25">
      <c r="C90" s="757"/>
      <c r="D90" s="233"/>
      <c r="E90" s="800"/>
      <c r="F90" s="126"/>
      <c r="I90"/>
      <c r="J90"/>
      <c r="K90"/>
      <c r="M90"/>
      <c r="N90"/>
    </row>
    <row r="91" spans="3:14" ht="15.75" x14ac:dyDescent="0.25">
      <c r="C91" s="116"/>
      <c r="D91" s="842"/>
      <c r="E91" s="456"/>
      <c r="I91"/>
      <c r="J91"/>
      <c r="K91"/>
      <c r="M91"/>
      <c r="N91"/>
    </row>
    <row r="92" spans="3:14" ht="15.75" x14ac:dyDescent="0.25">
      <c r="C92" s="116"/>
      <c r="D92" s="392"/>
      <c r="E92" s="456"/>
      <c r="I92"/>
      <c r="J92"/>
      <c r="K92"/>
      <c r="M92"/>
      <c r="N92"/>
    </row>
    <row r="93" spans="3:14" ht="15.75" x14ac:dyDescent="0.25">
      <c r="C93" s="116"/>
      <c r="D93" s="392"/>
      <c r="E93" s="456"/>
      <c r="I93"/>
      <c r="J93"/>
      <c r="K93"/>
      <c r="M93"/>
      <c r="N93"/>
    </row>
    <row r="94" spans="3:14" ht="15.75" x14ac:dyDescent="0.25">
      <c r="C94" s="116"/>
      <c r="D94" s="392"/>
      <c r="E94" s="456"/>
      <c r="I94"/>
      <c r="J94"/>
      <c r="K94"/>
      <c r="M94"/>
      <c r="N94"/>
    </row>
    <row r="95" spans="3:14" ht="15.75" x14ac:dyDescent="0.25">
      <c r="C95" s="116"/>
      <c r="D95" s="392"/>
      <c r="E95" s="456"/>
      <c r="I95"/>
      <c r="J95"/>
      <c r="K95"/>
      <c r="M95"/>
      <c r="N95"/>
    </row>
    <row r="96" spans="3:14" ht="15.75" x14ac:dyDescent="0.25">
      <c r="C96" s="116"/>
      <c r="D96" s="392"/>
      <c r="E96" s="456"/>
      <c r="I96"/>
      <c r="J96"/>
      <c r="K96"/>
      <c r="M96"/>
      <c r="N96"/>
    </row>
    <row r="97" spans="3:14" ht="15.75" x14ac:dyDescent="0.25">
      <c r="C97" s="116"/>
      <c r="D97" s="392"/>
      <c r="E97" s="456"/>
      <c r="I97"/>
      <c r="J97"/>
      <c r="K97"/>
      <c r="M97"/>
      <c r="N97"/>
    </row>
    <row r="98" spans="3:14" ht="15.75" x14ac:dyDescent="0.25">
      <c r="C98" s="116"/>
      <c r="D98" s="392"/>
      <c r="E98" s="456"/>
      <c r="I98"/>
      <c r="J98"/>
      <c r="K98"/>
      <c r="M98"/>
      <c r="N98"/>
    </row>
    <row r="99" spans="3:14" ht="15.75" x14ac:dyDescent="0.25">
      <c r="C99" s="116"/>
      <c r="D99" s="392"/>
      <c r="E99" s="456"/>
      <c r="I99"/>
      <c r="J99"/>
      <c r="K99"/>
      <c r="M99"/>
      <c r="N99"/>
    </row>
    <row r="100" spans="3:14" ht="15.75" x14ac:dyDescent="0.25">
      <c r="C100" s="116"/>
      <c r="D100" s="392"/>
      <c r="E100" s="456"/>
      <c r="I100"/>
      <c r="J100"/>
      <c r="K100"/>
      <c r="M100"/>
      <c r="N100"/>
    </row>
    <row r="101" spans="3:14" x14ac:dyDescent="0.25">
      <c r="C101" s="116"/>
      <c r="D101" s="129">
        <f>SUM(D73:D100)</f>
        <v>0</v>
      </c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45:L46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opLeftCell="E13" workbookViewId="0">
      <selection activeCell="F30" sqref="F30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64"/>
      <c r="C1" s="930" t="s">
        <v>1378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18" ht="16.5" thickBot="1" x14ac:dyDescent="0.3">
      <c r="B2" s="865"/>
      <c r="C2" s="3"/>
      <c r="H2" s="5"/>
      <c r="I2" s="6"/>
      <c r="J2" s="7"/>
      <c r="L2" s="8"/>
      <c r="M2" s="6"/>
      <c r="N2" s="9"/>
    </row>
    <row r="3" spans="1:18" ht="21.75" thickBot="1" x14ac:dyDescent="0.35">
      <c r="B3" s="868" t="s">
        <v>0</v>
      </c>
      <c r="C3" s="869"/>
      <c r="D3" s="10"/>
      <c r="E3" s="553"/>
      <c r="F3" s="11"/>
      <c r="H3" s="870" t="s">
        <v>26</v>
      </c>
      <c r="I3" s="870"/>
      <c r="K3" s="165"/>
      <c r="L3" s="13"/>
      <c r="M3" s="14"/>
      <c r="P3" s="907" t="s">
        <v>6</v>
      </c>
      <c r="R3" s="928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871" t="s">
        <v>2</v>
      </c>
      <c r="F4" s="872"/>
      <c r="H4" s="873" t="s">
        <v>3</v>
      </c>
      <c r="I4" s="874"/>
      <c r="J4" s="556"/>
      <c r="K4" s="562"/>
      <c r="L4" s="563"/>
      <c r="M4" s="21" t="s">
        <v>4</v>
      </c>
      <c r="N4" s="22" t="s">
        <v>5</v>
      </c>
      <c r="P4" s="908"/>
      <c r="Q4" s="322" t="s">
        <v>217</v>
      </c>
      <c r="R4" s="929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3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>
        <v>12292</v>
      </c>
      <c r="D9" s="42" t="s">
        <v>1384</v>
      </c>
      <c r="E9" s="27">
        <v>44841</v>
      </c>
      <c r="F9" s="28">
        <v>147860</v>
      </c>
      <c r="G9" s="572"/>
      <c r="H9" s="29">
        <v>44841</v>
      </c>
      <c r="I9" s="30">
        <v>1713</v>
      </c>
      <c r="J9" s="37" t="s">
        <v>7</v>
      </c>
      <c r="K9" s="223"/>
      <c r="L9" s="39"/>
      <c r="M9" s="32">
        <f>790+82887</f>
        <v>83677</v>
      </c>
      <c r="N9" s="33">
        <v>50178</v>
      </c>
      <c r="O9" s="176" t="s">
        <v>937</v>
      </c>
      <c r="P9" s="39">
        <f t="shared" si="1"/>
        <v>147860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>
        <v>7027</v>
      </c>
      <c r="D10" s="40" t="s">
        <v>1385</v>
      </c>
      <c r="E10" s="27">
        <v>44842</v>
      </c>
      <c r="F10" s="28">
        <v>167297</v>
      </c>
      <c r="G10" s="572"/>
      <c r="H10" s="29">
        <v>44842</v>
      </c>
      <c r="I10" s="30">
        <v>3545</v>
      </c>
      <c r="J10" s="37">
        <v>44842</v>
      </c>
      <c r="K10" s="167" t="s">
        <v>1386</v>
      </c>
      <c r="L10" s="45">
        <v>18318</v>
      </c>
      <c r="M10" s="32">
        <f>47979.5+26327.5</f>
        <v>74307</v>
      </c>
      <c r="N10" s="33">
        <v>64100</v>
      </c>
      <c r="O10" s="176" t="s">
        <v>937</v>
      </c>
      <c r="P10" s="39">
        <f>N10+M10+L10+I10+C10</f>
        <v>167297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>
        <v>4241</v>
      </c>
      <c r="D11" s="35" t="s">
        <v>1387</v>
      </c>
      <c r="E11" s="27">
        <v>44843</v>
      </c>
      <c r="F11" s="28">
        <v>103804</v>
      </c>
      <c r="G11" s="572"/>
      <c r="H11" s="29">
        <v>44843</v>
      </c>
      <c r="I11" s="30">
        <v>1149</v>
      </c>
      <c r="J11" s="43"/>
      <c r="K11" s="168"/>
      <c r="L11" s="39"/>
      <c r="M11" s="32">
        <v>45426</v>
      </c>
      <c r="N11" s="33">
        <v>52988</v>
      </c>
      <c r="O11" s="176" t="s">
        <v>937</v>
      </c>
      <c r="P11" s="39">
        <f t="shared" si="1"/>
        <v>103804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>
        <v>14100</v>
      </c>
      <c r="D12" s="35" t="s">
        <v>1388</v>
      </c>
      <c r="E12" s="27">
        <v>44844</v>
      </c>
      <c r="F12" s="28">
        <v>184072</v>
      </c>
      <c r="G12" s="572"/>
      <c r="H12" s="29">
        <v>44844</v>
      </c>
      <c r="I12" s="30">
        <v>1909</v>
      </c>
      <c r="J12" s="37"/>
      <c r="K12" s="169"/>
      <c r="L12" s="39"/>
      <c r="M12" s="32">
        <f>55141+29712+20530+19029</f>
        <v>124412</v>
      </c>
      <c r="N12" s="33">
        <v>43651</v>
      </c>
      <c r="O12" s="176" t="s">
        <v>937</v>
      </c>
      <c r="P12" s="39">
        <f t="shared" si="1"/>
        <v>184072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>
        <v>18726</v>
      </c>
      <c r="D13" s="42" t="s">
        <v>1389</v>
      </c>
      <c r="E13" s="27">
        <v>44845</v>
      </c>
      <c r="F13" s="28">
        <v>136978</v>
      </c>
      <c r="G13" s="572"/>
      <c r="H13" s="29">
        <v>44845</v>
      </c>
      <c r="I13" s="30">
        <v>1610</v>
      </c>
      <c r="J13" s="37"/>
      <c r="K13" s="38"/>
      <c r="L13" s="39"/>
      <c r="M13" s="32">
        <f>7090+75957</f>
        <v>83047</v>
      </c>
      <c r="N13" s="33">
        <v>33595</v>
      </c>
      <c r="O13" s="176" t="s">
        <v>937</v>
      </c>
      <c r="P13" s="39">
        <f>N13+M13+L13+I13+C13</f>
        <v>136978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>
        <v>37133</v>
      </c>
      <c r="D14" s="40" t="s">
        <v>1390</v>
      </c>
      <c r="E14" s="27">
        <v>44846</v>
      </c>
      <c r="F14" s="28">
        <v>99399</v>
      </c>
      <c r="G14" s="572"/>
      <c r="H14" s="29">
        <v>44846</v>
      </c>
      <c r="I14" s="30">
        <v>1941.5</v>
      </c>
      <c r="J14" s="37"/>
      <c r="K14" s="38"/>
      <c r="L14" s="39"/>
      <c r="M14" s="32">
        <f>11225+29968.5</f>
        <v>41193.5</v>
      </c>
      <c r="N14" s="33">
        <v>23281</v>
      </c>
      <c r="O14" s="176" t="s">
        <v>937</v>
      </c>
      <c r="P14" s="39">
        <f t="shared" si="1"/>
        <v>103549</v>
      </c>
      <c r="Q14" s="325">
        <v>0</v>
      </c>
      <c r="R14" s="388">
        <v>4150</v>
      </c>
    </row>
    <row r="15" spans="1:18" ht="18" thickBot="1" x14ac:dyDescent="0.35">
      <c r="A15" s="23"/>
      <c r="B15" s="24">
        <v>44847</v>
      </c>
      <c r="C15" s="25">
        <v>11178</v>
      </c>
      <c r="D15" s="40" t="s">
        <v>1391</v>
      </c>
      <c r="E15" s="27">
        <v>44847</v>
      </c>
      <c r="F15" s="28">
        <v>117443</v>
      </c>
      <c r="G15" s="572"/>
      <c r="H15" s="29">
        <v>44847</v>
      </c>
      <c r="I15" s="30">
        <v>4002</v>
      </c>
      <c r="J15" s="37"/>
      <c r="K15" s="38"/>
      <c r="L15" s="39"/>
      <c r="M15" s="32">
        <f>66150</f>
        <v>66150</v>
      </c>
      <c r="N15" s="33">
        <v>36114</v>
      </c>
      <c r="O15" s="176" t="s">
        <v>937</v>
      </c>
      <c r="P15" s="39">
        <f t="shared" si="1"/>
        <v>117444</v>
      </c>
      <c r="Q15" s="325">
        <f t="shared" si="0"/>
        <v>1</v>
      </c>
      <c r="R15" s="319">
        <v>0</v>
      </c>
    </row>
    <row r="16" spans="1:18" ht="18" thickBot="1" x14ac:dyDescent="0.35">
      <c r="A16" s="23"/>
      <c r="B16" s="24">
        <v>44848</v>
      </c>
      <c r="C16" s="25">
        <v>7077.5</v>
      </c>
      <c r="D16" s="35" t="s">
        <v>1392</v>
      </c>
      <c r="E16" s="27">
        <v>44848</v>
      </c>
      <c r="F16" s="28">
        <v>135341</v>
      </c>
      <c r="G16" s="572"/>
      <c r="H16" s="29">
        <v>44848</v>
      </c>
      <c r="I16" s="30">
        <v>1710</v>
      </c>
      <c r="J16" s="37"/>
      <c r="K16" s="169"/>
      <c r="L16" s="9"/>
      <c r="M16" s="32">
        <v>77006.5</v>
      </c>
      <c r="N16" s="33">
        <v>49547</v>
      </c>
      <c r="O16" s="176" t="s">
        <v>937</v>
      </c>
      <c r="P16" s="39">
        <f t="shared" si="1"/>
        <v>135341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>
        <v>7361</v>
      </c>
      <c r="D17" s="42" t="s">
        <v>1393</v>
      </c>
      <c r="E17" s="27">
        <v>44849</v>
      </c>
      <c r="F17" s="28">
        <v>156982</v>
      </c>
      <c r="G17" s="572"/>
      <c r="H17" s="29">
        <v>44849</v>
      </c>
      <c r="I17" s="30">
        <v>2666.5</v>
      </c>
      <c r="J17" s="37">
        <v>44849</v>
      </c>
      <c r="K17" s="38" t="s">
        <v>1394</v>
      </c>
      <c r="L17" s="45">
        <v>18357</v>
      </c>
      <c r="M17" s="32">
        <v>76392.5</v>
      </c>
      <c r="N17" s="33">
        <v>52205</v>
      </c>
      <c r="O17" s="176" t="s">
        <v>937</v>
      </c>
      <c r="P17" s="39">
        <f t="shared" si="1"/>
        <v>156982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>
        <v>21626</v>
      </c>
      <c r="D18" s="35" t="s">
        <v>639</v>
      </c>
      <c r="E18" s="27">
        <v>44850</v>
      </c>
      <c r="F18" s="28">
        <v>92253</v>
      </c>
      <c r="G18" s="572"/>
      <c r="H18" s="29">
        <v>44850</v>
      </c>
      <c r="I18" s="30">
        <v>600.5</v>
      </c>
      <c r="J18" s="37"/>
      <c r="K18" s="564"/>
      <c r="L18" s="39"/>
      <c r="M18" s="32">
        <v>32401.5</v>
      </c>
      <c r="N18" s="33">
        <v>37625</v>
      </c>
      <c r="O18" s="176" t="s">
        <v>937</v>
      </c>
      <c r="P18" s="39">
        <f t="shared" si="1"/>
        <v>92253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851">
        <f>15181+57274</f>
        <v>72455</v>
      </c>
      <c r="D19" s="35" t="s">
        <v>1396</v>
      </c>
      <c r="E19" s="27">
        <v>44851</v>
      </c>
      <c r="F19" s="28">
        <v>335060</v>
      </c>
      <c r="G19" s="572"/>
      <c r="H19" s="29">
        <v>44851</v>
      </c>
      <c r="I19" s="30">
        <v>2459</v>
      </c>
      <c r="J19" s="37">
        <v>44851</v>
      </c>
      <c r="K19" s="827" t="s">
        <v>1397</v>
      </c>
      <c r="L19" s="47">
        <v>125623</v>
      </c>
      <c r="M19" s="32">
        <f>59314+3825+15405+22027</f>
        <v>100571</v>
      </c>
      <c r="N19" s="33">
        <v>46654</v>
      </c>
      <c r="O19" s="176" t="s">
        <v>937</v>
      </c>
      <c r="P19" s="39">
        <f t="shared" si="1"/>
        <v>347762</v>
      </c>
      <c r="Q19" s="325">
        <v>0</v>
      </c>
      <c r="R19" s="388">
        <v>12702</v>
      </c>
    </row>
    <row r="20" spans="1:18" ht="18" customHeight="1" thickBot="1" x14ac:dyDescent="0.35">
      <c r="A20" s="23"/>
      <c r="B20" s="24">
        <v>44852</v>
      </c>
      <c r="C20" s="25">
        <v>20132</v>
      </c>
      <c r="D20" s="35" t="s">
        <v>1398</v>
      </c>
      <c r="E20" s="27">
        <v>44852</v>
      </c>
      <c r="F20" s="28">
        <v>112448</v>
      </c>
      <c r="G20" s="572"/>
      <c r="H20" s="29">
        <v>44852</v>
      </c>
      <c r="I20" s="30">
        <v>12996</v>
      </c>
      <c r="J20" s="37"/>
      <c r="K20" s="171"/>
      <c r="L20" s="45"/>
      <c r="M20" s="32">
        <f>50356+40030</f>
        <v>90386</v>
      </c>
      <c r="N20" s="33">
        <v>38783</v>
      </c>
      <c r="O20" s="176" t="s">
        <v>937</v>
      </c>
      <c r="P20" s="39">
        <f t="shared" si="1"/>
        <v>162297</v>
      </c>
      <c r="Q20" s="325">
        <v>0</v>
      </c>
      <c r="R20" s="388">
        <v>49849</v>
      </c>
    </row>
    <row r="21" spans="1:18" ht="18" thickBot="1" x14ac:dyDescent="0.35">
      <c r="A21" s="23"/>
      <c r="B21" s="24">
        <v>44853</v>
      </c>
      <c r="C21" s="25">
        <v>20347</v>
      </c>
      <c r="D21" s="35" t="s">
        <v>1399</v>
      </c>
      <c r="E21" s="27">
        <v>44853</v>
      </c>
      <c r="F21" s="28">
        <v>112085</v>
      </c>
      <c r="G21" s="572"/>
      <c r="H21" s="29">
        <v>44853</v>
      </c>
      <c r="I21" s="30">
        <v>990.5</v>
      </c>
      <c r="J21" s="37"/>
      <c r="K21" s="565"/>
      <c r="L21" s="45"/>
      <c r="M21" s="32">
        <f>11000+26716+12485+13100</f>
        <v>63301</v>
      </c>
      <c r="N21" s="33">
        <v>27446</v>
      </c>
      <c r="O21" s="176" t="s">
        <v>937</v>
      </c>
      <c r="P21" s="39">
        <f t="shared" si="1"/>
        <v>112084.5</v>
      </c>
      <c r="Q21" s="325">
        <f t="shared" si="0"/>
        <v>-0.5</v>
      </c>
      <c r="R21" s="319">
        <v>0</v>
      </c>
    </row>
    <row r="22" spans="1:18" ht="18" thickBot="1" x14ac:dyDescent="0.35">
      <c r="A22" s="23"/>
      <c r="B22" s="24">
        <v>44854</v>
      </c>
      <c r="C22" s="25">
        <v>13240.5</v>
      </c>
      <c r="D22" s="35" t="s">
        <v>1400</v>
      </c>
      <c r="E22" s="27">
        <v>44854</v>
      </c>
      <c r="F22" s="28">
        <v>125544</v>
      </c>
      <c r="G22" s="572"/>
      <c r="H22" s="29">
        <v>44854</v>
      </c>
      <c r="I22" s="30">
        <v>1065</v>
      </c>
      <c r="J22" s="37"/>
      <c r="K22" s="773"/>
      <c r="L22" s="49"/>
      <c r="M22" s="32">
        <f>4423+1978+70094.5+500</f>
        <v>76995.5</v>
      </c>
      <c r="N22" s="33">
        <f>34743</f>
        <v>34743</v>
      </c>
      <c r="O22" s="176" t="s">
        <v>937</v>
      </c>
      <c r="P22" s="39">
        <f t="shared" si="1"/>
        <v>126044</v>
      </c>
      <c r="Q22" s="325">
        <f t="shared" si="0"/>
        <v>500</v>
      </c>
      <c r="R22" s="319">
        <v>0</v>
      </c>
    </row>
    <row r="23" spans="1:18" ht="18" customHeight="1" thickBot="1" x14ac:dyDescent="0.35">
      <c r="A23" s="23"/>
      <c r="B23" s="24">
        <v>44855</v>
      </c>
      <c r="C23" s="25">
        <v>6653.5</v>
      </c>
      <c r="D23" s="35" t="s">
        <v>334</v>
      </c>
      <c r="E23" s="27">
        <v>44855</v>
      </c>
      <c r="F23" s="28">
        <v>142617</v>
      </c>
      <c r="G23" s="572"/>
      <c r="H23" s="29">
        <v>44855</v>
      </c>
      <c r="I23" s="30">
        <v>3138</v>
      </c>
      <c r="J23" s="50"/>
      <c r="K23" s="172"/>
      <c r="L23" s="45"/>
      <c r="M23" s="32">
        <v>80491.5</v>
      </c>
      <c r="N23" s="33">
        <v>52118</v>
      </c>
      <c r="O23" s="176" t="s">
        <v>937</v>
      </c>
      <c r="P23" s="39">
        <f t="shared" si="1"/>
        <v>142401</v>
      </c>
      <c r="Q23" s="828">
        <f t="shared" si="0"/>
        <v>-216</v>
      </c>
      <c r="R23" s="319">
        <v>0</v>
      </c>
    </row>
    <row r="24" spans="1:18" ht="18" customHeight="1" thickBot="1" x14ac:dyDescent="0.35">
      <c r="A24" s="23"/>
      <c r="B24" s="24">
        <v>44856</v>
      </c>
      <c r="C24" s="25">
        <v>28062</v>
      </c>
      <c r="D24" s="42" t="s">
        <v>1401</v>
      </c>
      <c r="E24" s="27">
        <v>44856</v>
      </c>
      <c r="F24" s="28">
        <v>162964</v>
      </c>
      <c r="G24" s="572"/>
      <c r="H24" s="29">
        <v>44856</v>
      </c>
      <c r="I24" s="30">
        <v>3901</v>
      </c>
      <c r="J24" s="51">
        <v>44856</v>
      </c>
      <c r="K24" s="172" t="s">
        <v>1402</v>
      </c>
      <c r="L24" s="52">
        <v>18363</v>
      </c>
      <c r="M24" s="32">
        <v>61506</v>
      </c>
      <c r="N24" s="33">
        <v>51132</v>
      </c>
      <c r="O24" s="176" t="s">
        <v>937</v>
      </c>
      <c r="P24" s="39">
        <f>N24+M24+L24+I24+C24</f>
        <v>162964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44857</v>
      </c>
      <c r="C25" s="25">
        <v>15549</v>
      </c>
      <c r="D25" s="35" t="s">
        <v>1404</v>
      </c>
      <c r="E25" s="27">
        <v>44857</v>
      </c>
      <c r="F25" s="28">
        <v>158176</v>
      </c>
      <c r="G25" s="572"/>
      <c r="H25" s="29">
        <v>44857</v>
      </c>
      <c r="I25" s="30">
        <v>210</v>
      </c>
      <c r="J25" s="50"/>
      <c r="K25" s="38"/>
      <c r="L25" s="54"/>
      <c r="M25" s="32">
        <f>98113+12000</f>
        <v>110113</v>
      </c>
      <c r="N25" s="33">
        <v>32304</v>
      </c>
      <c r="O25" s="176" t="s">
        <v>937</v>
      </c>
      <c r="P25" s="283">
        <f t="shared" si="1"/>
        <v>158176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44858</v>
      </c>
      <c r="C26" s="25">
        <v>10271</v>
      </c>
      <c r="D26" s="35" t="s">
        <v>1405</v>
      </c>
      <c r="E26" s="27">
        <v>44858</v>
      </c>
      <c r="F26" s="28">
        <v>164192</v>
      </c>
      <c r="G26" s="572"/>
      <c r="H26" s="29">
        <v>44858</v>
      </c>
      <c r="I26" s="30">
        <v>1084</v>
      </c>
      <c r="J26" s="37"/>
      <c r="K26" s="728"/>
      <c r="L26" s="729"/>
      <c r="M26" s="32">
        <f>42320+18000+17955+16315+7924</f>
        <v>102514</v>
      </c>
      <c r="N26" s="33">
        <f>50323</f>
        <v>50323</v>
      </c>
      <c r="O26" s="176" t="s">
        <v>7</v>
      </c>
      <c r="P26" s="283">
        <f t="shared" si="1"/>
        <v>164192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44859</v>
      </c>
      <c r="C27" s="25">
        <v>34616</v>
      </c>
      <c r="D27" s="42" t="s">
        <v>1406</v>
      </c>
      <c r="E27" s="27">
        <v>44859</v>
      </c>
      <c r="F27" s="28">
        <v>125063</v>
      </c>
      <c r="G27" s="572"/>
      <c r="H27" s="29">
        <v>44859</v>
      </c>
      <c r="I27" s="30">
        <v>3549</v>
      </c>
      <c r="J27" s="55"/>
      <c r="K27" s="174"/>
      <c r="L27" s="54"/>
      <c r="M27" s="32">
        <v>51280</v>
      </c>
      <c r="N27" s="33">
        <v>35618</v>
      </c>
      <c r="P27" s="283">
        <f t="shared" si="1"/>
        <v>125063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>
        <v>15813</v>
      </c>
      <c r="D28" s="42" t="s">
        <v>1407</v>
      </c>
      <c r="E28" s="27">
        <v>44860</v>
      </c>
      <c r="F28" s="28">
        <v>126017</v>
      </c>
      <c r="G28" s="572"/>
      <c r="H28" s="29">
        <v>44860</v>
      </c>
      <c r="I28" s="30">
        <v>452</v>
      </c>
      <c r="J28" s="829"/>
      <c r="K28" s="57"/>
      <c r="L28" s="54"/>
      <c r="M28" s="32">
        <f>39321+6763</f>
        <v>46084</v>
      </c>
      <c r="N28" s="33">
        <v>63668</v>
      </c>
      <c r="P28" s="283">
        <f t="shared" si="1"/>
        <v>126017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>
        <v>6397</v>
      </c>
      <c r="D29" s="58" t="s">
        <v>1408</v>
      </c>
      <c r="E29" s="27">
        <v>44861</v>
      </c>
      <c r="F29" s="28">
        <v>166135</v>
      </c>
      <c r="G29" s="572"/>
      <c r="H29" s="29">
        <v>44861</v>
      </c>
      <c r="I29" s="30">
        <v>1832</v>
      </c>
      <c r="J29" s="59"/>
      <c r="K29" s="175"/>
      <c r="L29" s="54"/>
      <c r="M29" s="32">
        <f>103432+5190+10223.4</f>
        <v>118845.4</v>
      </c>
      <c r="N29" s="33">
        <v>39061</v>
      </c>
      <c r="P29" s="283">
        <f t="shared" si="1"/>
        <v>166135.4</v>
      </c>
      <c r="Q29" s="325">
        <f t="shared" si="0"/>
        <v>0.39999999999417923</v>
      </c>
      <c r="R29" s="319">
        <v>0</v>
      </c>
    </row>
    <row r="30" spans="1:18" ht="18" thickBot="1" x14ac:dyDescent="0.35">
      <c r="A30" s="23"/>
      <c r="B30" s="24">
        <v>44862</v>
      </c>
      <c r="C30" s="25">
        <v>10473</v>
      </c>
      <c r="D30" s="58" t="s">
        <v>1409</v>
      </c>
      <c r="E30" s="27">
        <v>44862</v>
      </c>
      <c r="F30" s="28">
        <v>137191</v>
      </c>
      <c r="G30" s="572"/>
      <c r="H30" s="29">
        <v>44862</v>
      </c>
      <c r="I30" s="30">
        <v>3957</v>
      </c>
      <c r="J30" s="56"/>
      <c r="K30" s="38"/>
      <c r="L30" s="39"/>
      <c r="M30" s="32">
        <v>72100</v>
      </c>
      <c r="N30" s="33">
        <v>50664</v>
      </c>
      <c r="P30" s="283">
        <f t="shared" si="1"/>
        <v>137194</v>
      </c>
      <c r="Q30" s="325">
        <f t="shared" si="0"/>
        <v>3</v>
      </c>
      <c r="R30" s="319">
        <v>0</v>
      </c>
    </row>
    <row r="31" spans="1:18" ht="31.5" thickBot="1" x14ac:dyDescent="0.35">
      <c r="A31" s="23"/>
      <c r="B31" s="24">
        <v>44863</v>
      </c>
      <c r="C31" s="25">
        <v>16268</v>
      </c>
      <c r="D31" s="67" t="s">
        <v>1410</v>
      </c>
      <c r="E31" s="27">
        <v>44863</v>
      </c>
      <c r="F31" s="28">
        <v>194467</v>
      </c>
      <c r="G31" s="572"/>
      <c r="H31" s="29">
        <v>44863</v>
      </c>
      <c r="I31" s="30">
        <v>2492</v>
      </c>
      <c r="J31" s="56">
        <v>44863</v>
      </c>
      <c r="K31" s="821" t="s">
        <v>1411</v>
      </c>
      <c r="L31" s="54">
        <v>21822</v>
      </c>
      <c r="M31" s="32">
        <v>110525</v>
      </c>
      <c r="N31" s="33">
        <v>43360</v>
      </c>
      <c r="P31" s="34">
        <f t="shared" si="1"/>
        <v>194467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>
        <v>0</v>
      </c>
      <c r="D32" s="64"/>
      <c r="E32" s="27">
        <v>44864</v>
      </c>
      <c r="F32" s="28">
        <v>145645</v>
      </c>
      <c r="G32" s="572"/>
      <c r="H32" s="29">
        <v>44864</v>
      </c>
      <c r="I32" s="30">
        <v>224</v>
      </c>
      <c r="J32" s="56"/>
      <c r="K32" s="38"/>
      <c r="L32" s="39"/>
      <c r="M32" s="32">
        <v>95861</v>
      </c>
      <c r="N32" s="33">
        <v>49560</v>
      </c>
      <c r="P32" s="34">
        <f t="shared" si="1"/>
        <v>145645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44842</v>
      </c>
      <c r="K34" s="739" t="s">
        <v>1395</v>
      </c>
      <c r="L34" s="39">
        <v>19093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44849</v>
      </c>
      <c r="K35" s="740" t="s">
        <v>1403</v>
      </c>
      <c r="L35" s="702">
        <v>21415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>
        <v>44856</v>
      </c>
      <c r="K36" s="739" t="s">
        <v>1402</v>
      </c>
      <c r="L36" s="39">
        <v>20413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>
        <v>44863</v>
      </c>
      <c r="K37" s="739" t="s">
        <v>1412</v>
      </c>
      <c r="L37" s="39">
        <f>20914.58+1808.25</f>
        <v>22722.83</v>
      </c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51"/>
      <c r="L41" s="39"/>
      <c r="M41" s="909">
        <f>SUM(M5:M40)</f>
        <v>2247959.2000000002</v>
      </c>
      <c r="N41" s="909">
        <f>SUM(N5:N40)</f>
        <v>1207891</v>
      </c>
      <c r="P41" s="505">
        <f>SUM(P5:P40)</f>
        <v>4224165.1999999993</v>
      </c>
      <c r="Q41" s="1041">
        <f>SUM(Q5:Q40)</f>
        <v>293.20000000001164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52"/>
      <c r="L42" s="702"/>
      <c r="M42" s="910"/>
      <c r="N42" s="910"/>
      <c r="P42" s="34"/>
      <c r="Q42" s="1042"/>
      <c r="R42" s="788">
        <f>SUM(R5:R41)</f>
        <v>66701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751"/>
      <c r="L43" s="39"/>
      <c r="M43" s="820"/>
      <c r="N43" s="82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20"/>
      <c r="N44" s="82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976">
        <f>M41+N41</f>
        <v>3455850.2</v>
      </c>
      <c r="N45" s="977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20"/>
      <c r="N46" s="82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20"/>
      <c r="N47" s="82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20"/>
      <c r="N48" s="82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20"/>
      <c r="N49" s="82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20"/>
      <c r="N50" s="82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20"/>
      <c r="N51" s="82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20"/>
      <c r="N52" s="82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20"/>
      <c r="N53" s="82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20"/>
      <c r="N54" s="82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20"/>
      <c r="N55" s="82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20"/>
      <c r="N56" s="820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20"/>
      <c r="N57" s="820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20"/>
      <c r="N58" s="820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20"/>
      <c r="N59" s="820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486080</v>
      </c>
      <c r="D67" s="88"/>
      <c r="E67" s="91" t="s">
        <v>8</v>
      </c>
      <c r="F67" s="90">
        <f>SUM(F5:F60)</f>
        <v>4120859</v>
      </c>
      <c r="G67" s="573"/>
      <c r="H67" s="91" t="s">
        <v>9</v>
      </c>
      <c r="I67" s="92">
        <f>SUM(I5:I60)</f>
        <v>70078</v>
      </c>
      <c r="J67" s="93"/>
      <c r="K67" s="94" t="s">
        <v>10</v>
      </c>
      <c r="L67" s="95">
        <f>SUM(L5:L65)-L26</f>
        <v>295800.83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86" t="s">
        <v>11</v>
      </c>
      <c r="I69" s="887"/>
      <c r="J69" s="559"/>
      <c r="K69" s="1011">
        <f>I67+L67</f>
        <v>365878.83</v>
      </c>
      <c r="L69" s="1012"/>
      <c r="M69" s="272"/>
      <c r="N69" s="272"/>
      <c r="P69" s="34"/>
      <c r="Q69" s="13"/>
    </row>
    <row r="70" spans="1:17" x14ac:dyDescent="0.25">
      <c r="D70" s="892" t="s">
        <v>12</v>
      </c>
      <c r="E70" s="892"/>
      <c r="F70" s="312">
        <f>F67-K69-C67</f>
        <v>3268900.17</v>
      </c>
      <c r="I70" s="102"/>
      <c r="J70" s="560"/>
    </row>
    <row r="71" spans="1:17" ht="18.75" x14ac:dyDescent="0.3">
      <c r="D71" s="916" t="s">
        <v>95</v>
      </c>
      <c r="E71" s="916"/>
      <c r="F71" s="111">
        <v>-2010648.49</v>
      </c>
      <c r="I71" s="893" t="s">
        <v>13</v>
      </c>
      <c r="J71" s="894"/>
      <c r="K71" s="895">
        <f>F73+F74+F75</f>
        <v>4333031.13</v>
      </c>
      <c r="L71" s="895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-176791.2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1081460.48</v>
      </c>
      <c r="H73" s="555"/>
      <c r="I73" s="108" t="s">
        <v>15</v>
      </c>
      <c r="J73" s="109"/>
      <c r="K73" s="1007">
        <f>-C4</f>
        <v>-3773503.4</v>
      </c>
      <c r="L73" s="895"/>
    </row>
    <row r="74" spans="1:17" ht="16.5" thickBot="1" x14ac:dyDescent="0.3">
      <c r="D74" s="110" t="s">
        <v>16</v>
      </c>
      <c r="E74" s="98" t="s">
        <v>17</v>
      </c>
      <c r="F74" s="111">
        <v>74985</v>
      </c>
    </row>
    <row r="75" spans="1:17" ht="20.25" thickTop="1" thickBot="1" x14ac:dyDescent="0.35">
      <c r="C75" s="112">
        <v>44864</v>
      </c>
      <c r="D75" s="875" t="s">
        <v>18</v>
      </c>
      <c r="E75" s="876"/>
      <c r="F75" s="113">
        <v>3176585.65</v>
      </c>
      <c r="I75" s="1038" t="s">
        <v>198</v>
      </c>
      <c r="J75" s="1039"/>
      <c r="K75" s="1040">
        <f>K71+K73</f>
        <v>559527.73</v>
      </c>
      <c r="L75" s="1040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N123"/>
  <sheetViews>
    <sheetView workbookViewId="0">
      <selection activeCell="G24" sqref="G24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44837</v>
      </c>
      <c r="C3" s="845" t="s">
        <v>1413</v>
      </c>
      <c r="D3" s="307">
        <v>88125.66</v>
      </c>
      <c r="E3" s="732"/>
      <c r="F3" s="307"/>
      <c r="G3" s="410">
        <f>D3-F3</f>
        <v>88125.66</v>
      </c>
      <c r="I3" s="858" t="s">
        <v>1451</v>
      </c>
      <c r="J3" s="748">
        <v>10499</v>
      </c>
      <c r="K3" s="749">
        <v>2150</v>
      </c>
      <c r="L3" s="853">
        <v>44853</v>
      </c>
      <c r="M3" s="860">
        <v>2150</v>
      </c>
      <c r="N3" s="183">
        <f>K3-M3</f>
        <v>0</v>
      </c>
    </row>
    <row r="4" spans="2:14" ht="18.75" x14ac:dyDescent="0.3">
      <c r="B4" s="454">
        <v>44838</v>
      </c>
      <c r="C4" s="246" t="s">
        <v>1414</v>
      </c>
      <c r="D4" s="111">
        <v>56205.15</v>
      </c>
      <c r="E4" s="412"/>
      <c r="F4" s="111"/>
      <c r="G4" s="544">
        <f t="shared" ref="G4:G65" si="0">D4-F4</f>
        <v>56205.15</v>
      </c>
      <c r="H4" s="138"/>
      <c r="I4" s="858" t="s">
        <v>1452</v>
      </c>
      <c r="J4" s="748">
        <v>10507</v>
      </c>
      <c r="K4" s="749">
        <v>4000</v>
      </c>
      <c r="L4" s="853">
        <v>44853</v>
      </c>
      <c r="M4" s="860">
        <v>4000</v>
      </c>
      <c r="N4" s="137">
        <f>N3+K4-M4</f>
        <v>0</v>
      </c>
    </row>
    <row r="5" spans="2:14" ht="15.75" x14ac:dyDescent="0.25">
      <c r="B5" s="454">
        <v>44839</v>
      </c>
      <c r="C5" s="246" t="s">
        <v>1415</v>
      </c>
      <c r="D5" s="111">
        <v>65950</v>
      </c>
      <c r="E5" s="412"/>
      <c r="F5" s="111"/>
      <c r="G5" s="544">
        <f t="shared" si="0"/>
        <v>65950</v>
      </c>
      <c r="I5" s="858" t="s">
        <v>1452</v>
      </c>
      <c r="J5" s="748">
        <v>10508</v>
      </c>
      <c r="K5" s="749">
        <v>330</v>
      </c>
      <c r="L5" s="853">
        <v>44853</v>
      </c>
      <c r="M5" s="860">
        <v>330</v>
      </c>
      <c r="N5" s="137">
        <f t="shared" ref="N5:N65" si="1">N4+K5-M5</f>
        <v>0</v>
      </c>
    </row>
    <row r="6" spans="2:14" ht="15.75" x14ac:dyDescent="0.25">
      <c r="B6" s="454">
        <v>44839</v>
      </c>
      <c r="C6" s="246" t="s">
        <v>1416</v>
      </c>
      <c r="D6" s="111">
        <v>11783.6</v>
      </c>
      <c r="E6" s="412"/>
      <c r="F6" s="111"/>
      <c r="G6" s="544">
        <f t="shared" si="0"/>
        <v>11783.6</v>
      </c>
      <c r="I6" s="859" t="s">
        <v>1453</v>
      </c>
      <c r="J6" s="745">
        <v>10516</v>
      </c>
      <c r="K6" s="746">
        <v>330</v>
      </c>
      <c r="L6" s="853">
        <v>44853</v>
      </c>
      <c r="M6" s="860">
        <v>330</v>
      </c>
      <c r="N6" s="137">
        <f t="shared" si="1"/>
        <v>0</v>
      </c>
    </row>
    <row r="7" spans="2:14" ht="15.75" x14ac:dyDescent="0.25">
      <c r="B7" s="454">
        <v>44840</v>
      </c>
      <c r="C7" s="246" t="s">
        <v>1417</v>
      </c>
      <c r="D7" s="111">
        <v>43663.74</v>
      </c>
      <c r="E7" s="412"/>
      <c r="F7" s="111"/>
      <c r="G7" s="544">
        <f t="shared" si="0"/>
        <v>43663.74</v>
      </c>
      <c r="I7" s="859" t="s">
        <v>1454</v>
      </c>
      <c r="J7" s="745">
        <v>10522</v>
      </c>
      <c r="K7" s="746">
        <v>3646.4</v>
      </c>
      <c r="L7" s="853">
        <v>44853</v>
      </c>
      <c r="M7" s="860">
        <v>3646.4</v>
      </c>
      <c r="N7" s="137">
        <f t="shared" si="1"/>
        <v>0</v>
      </c>
    </row>
    <row r="8" spans="2:14" ht="15.75" x14ac:dyDescent="0.25">
      <c r="B8" s="454">
        <v>44841</v>
      </c>
      <c r="C8" s="246" t="s">
        <v>1418</v>
      </c>
      <c r="D8" s="111">
        <v>134361.29999999999</v>
      </c>
      <c r="E8" s="412"/>
      <c r="F8" s="111"/>
      <c r="G8" s="544">
        <f t="shared" si="0"/>
        <v>134361.29999999999</v>
      </c>
      <c r="I8" s="858" t="s">
        <v>1455</v>
      </c>
      <c r="J8" s="748">
        <v>10535</v>
      </c>
      <c r="K8" s="749">
        <v>330</v>
      </c>
      <c r="L8" s="853">
        <v>44853</v>
      </c>
      <c r="M8" s="860">
        <v>330</v>
      </c>
      <c r="N8" s="137">
        <f t="shared" si="1"/>
        <v>0</v>
      </c>
    </row>
    <row r="9" spans="2:14" ht="15.75" x14ac:dyDescent="0.25">
      <c r="B9" s="454">
        <v>44842</v>
      </c>
      <c r="C9" s="246" t="s">
        <v>1419</v>
      </c>
      <c r="D9" s="111">
        <v>119152.93</v>
      </c>
      <c r="E9" s="412"/>
      <c r="F9" s="111"/>
      <c r="G9" s="544">
        <f t="shared" si="0"/>
        <v>119152.93</v>
      </c>
      <c r="I9" s="859" t="s">
        <v>1456</v>
      </c>
      <c r="J9" s="745">
        <v>10544</v>
      </c>
      <c r="K9" s="746">
        <v>11444.8</v>
      </c>
      <c r="L9" s="853">
        <v>44853</v>
      </c>
      <c r="M9" s="860">
        <v>11444.8</v>
      </c>
      <c r="N9" s="137">
        <f t="shared" si="1"/>
        <v>0</v>
      </c>
    </row>
    <row r="10" spans="2:14" ht="18.75" x14ac:dyDescent="0.3">
      <c r="B10" s="454">
        <v>44844</v>
      </c>
      <c r="C10" s="246" t="s">
        <v>1420</v>
      </c>
      <c r="D10" s="111">
        <v>56609.8</v>
      </c>
      <c r="E10" s="412"/>
      <c r="F10" s="111"/>
      <c r="G10" s="544">
        <f t="shared" si="0"/>
        <v>56609.8</v>
      </c>
      <c r="H10" s="138"/>
      <c r="I10" s="859" t="s">
        <v>1456</v>
      </c>
      <c r="J10" s="745">
        <v>10546</v>
      </c>
      <c r="K10" s="746">
        <v>550</v>
      </c>
      <c r="L10" s="853">
        <v>44853</v>
      </c>
      <c r="M10" s="860">
        <v>550</v>
      </c>
      <c r="N10" s="137">
        <f t="shared" si="1"/>
        <v>0</v>
      </c>
    </row>
    <row r="11" spans="2:14" ht="15.75" x14ac:dyDescent="0.25">
      <c r="B11" s="454">
        <v>44844</v>
      </c>
      <c r="C11" s="246" t="s">
        <v>1421</v>
      </c>
      <c r="D11" s="111">
        <v>11900.34</v>
      </c>
      <c r="E11" s="412"/>
      <c r="F11" s="111"/>
      <c r="G11" s="544">
        <f t="shared" si="0"/>
        <v>11900.34</v>
      </c>
      <c r="I11" s="858" t="s">
        <v>1457</v>
      </c>
      <c r="J11" s="748">
        <v>10556</v>
      </c>
      <c r="K11" s="749">
        <v>3917.2</v>
      </c>
      <c r="L11" s="853">
        <v>44853</v>
      </c>
      <c r="M11" s="860">
        <v>3917.2</v>
      </c>
      <c r="N11" s="137">
        <f t="shared" si="1"/>
        <v>0</v>
      </c>
    </row>
    <row r="12" spans="2:14" ht="15.75" x14ac:dyDescent="0.25">
      <c r="B12" s="454">
        <v>44844</v>
      </c>
      <c r="C12" s="246" t="s">
        <v>1422</v>
      </c>
      <c r="D12" s="111">
        <v>4077.4</v>
      </c>
      <c r="E12" s="412"/>
      <c r="F12" s="111"/>
      <c r="G12" s="544">
        <f t="shared" si="0"/>
        <v>4077.4</v>
      </c>
      <c r="I12" s="858" t="s">
        <v>1457</v>
      </c>
      <c r="J12" s="748">
        <v>10561</v>
      </c>
      <c r="K12" s="749">
        <v>738</v>
      </c>
      <c r="L12" s="853">
        <v>44853</v>
      </c>
      <c r="M12" s="860">
        <v>738</v>
      </c>
      <c r="N12" s="137">
        <f t="shared" si="1"/>
        <v>0</v>
      </c>
    </row>
    <row r="13" spans="2:14" ht="15.75" x14ac:dyDescent="0.25">
      <c r="B13" s="454">
        <v>44844</v>
      </c>
      <c r="C13" s="246" t="s">
        <v>1423</v>
      </c>
      <c r="D13" s="111">
        <v>34319.599999999999</v>
      </c>
      <c r="E13" s="412"/>
      <c r="F13" s="111"/>
      <c r="G13" s="544">
        <f t="shared" si="0"/>
        <v>34319.599999999999</v>
      </c>
      <c r="I13" s="859" t="s">
        <v>1458</v>
      </c>
      <c r="J13" s="745">
        <v>10566</v>
      </c>
      <c r="K13" s="746">
        <v>330</v>
      </c>
      <c r="L13" s="853">
        <v>44853</v>
      </c>
      <c r="M13" s="860">
        <v>330</v>
      </c>
      <c r="N13" s="137">
        <f t="shared" si="1"/>
        <v>0</v>
      </c>
    </row>
    <row r="14" spans="2:14" ht="15.75" x14ac:dyDescent="0.25">
      <c r="B14" s="454">
        <v>44845</v>
      </c>
      <c r="C14" s="246" t="s">
        <v>1424</v>
      </c>
      <c r="D14" s="111">
        <v>75381.73</v>
      </c>
      <c r="E14" s="412"/>
      <c r="F14" s="111"/>
      <c r="G14" s="544">
        <f t="shared" si="0"/>
        <v>75381.73</v>
      </c>
      <c r="I14" s="858" t="s">
        <v>1459</v>
      </c>
      <c r="J14" s="748">
        <v>10575</v>
      </c>
      <c r="K14" s="749">
        <v>330</v>
      </c>
      <c r="L14" s="853">
        <v>44853</v>
      </c>
      <c r="M14" s="860">
        <v>330</v>
      </c>
      <c r="N14" s="137">
        <f t="shared" si="1"/>
        <v>0</v>
      </c>
    </row>
    <row r="15" spans="2:14" ht="15.75" x14ac:dyDescent="0.25">
      <c r="B15" s="454">
        <v>44846</v>
      </c>
      <c r="C15" s="246" t="s">
        <v>1425</v>
      </c>
      <c r="D15" s="111">
        <v>16980.2</v>
      </c>
      <c r="E15" s="412"/>
      <c r="F15" s="111"/>
      <c r="G15" s="544">
        <f t="shared" si="0"/>
        <v>16980.2</v>
      </c>
      <c r="I15" s="859" t="s">
        <v>1460</v>
      </c>
      <c r="J15" s="745">
        <v>10583</v>
      </c>
      <c r="K15" s="746">
        <v>24229.599999999999</v>
      </c>
      <c r="L15" s="853">
        <v>44853</v>
      </c>
      <c r="M15" s="860">
        <v>24229.599999999999</v>
      </c>
      <c r="N15" s="137">
        <f t="shared" si="1"/>
        <v>0</v>
      </c>
    </row>
    <row r="16" spans="2:14" ht="15.75" x14ac:dyDescent="0.25">
      <c r="B16" s="454">
        <v>44846</v>
      </c>
      <c r="C16" s="246" t="s">
        <v>1426</v>
      </c>
      <c r="D16" s="111">
        <v>105790.02</v>
      </c>
      <c r="E16" s="412"/>
      <c r="F16" s="111"/>
      <c r="G16" s="544">
        <f t="shared" si="0"/>
        <v>105790.02</v>
      </c>
      <c r="I16" s="859" t="s">
        <v>1461</v>
      </c>
      <c r="J16" s="745">
        <v>10598</v>
      </c>
      <c r="K16" s="746">
        <v>585</v>
      </c>
      <c r="L16" s="853">
        <v>44853</v>
      </c>
      <c r="M16" s="860">
        <v>585</v>
      </c>
      <c r="N16" s="137">
        <f t="shared" si="1"/>
        <v>0</v>
      </c>
    </row>
    <row r="17" spans="2:14" ht="15.75" x14ac:dyDescent="0.25">
      <c r="B17" s="454">
        <v>44847</v>
      </c>
      <c r="C17" s="246" t="s">
        <v>1427</v>
      </c>
      <c r="D17" s="111">
        <v>24981.4</v>
      </c>
      <c r="E17" s="412"/>
      <c r="F17" s="111"/>
      <c r="G17" s="544">
        <f t="shared" si="0"/>
        <v>24981.4</v>
      </c>
      <c r="I17" s="858" t="s">
        <v>1462</v>
      </c>
      <c r="J17" s="748">
        <v>10609</v>
      </c>
      <c r="K17" s="749">
        <v>550</v>
      </c>
      <c r="L17" s="853">
        <v>44853</v>
      </c>
      <c r="M17" s="860">
        <v>550</v>
      </c>
      <c r="N17" s="137">
        <f t="shared" si="1"/>
        <v>0</v>
      </c>
    </row>
    <row r="18" spans="2:14" ht="15.75" x14ac:dyDescent="0.25">
      <c r="B18" s="454">
        <v>44848</v>
      </c>
      <c r="C18" s="246" t="s">
        <v>1428</v>
      </c>
      <c r="D18" s="111">
        <v>86391.58</v>
      </c>
      <c r="E18" s="412"/>
      <c r="F18" s="111"/>
      <c r="G18" s="544">
        <f t="shared" si="0"/>
        <v>86391.58</v>
      </c>
      <c r="I18" s="858" t="s">
        <v>1463</v>
      </c>
      <c r="J18" s="748">
        <v>10622</v>
      </c>
      <c r="K18" s="749">
        <v>26499</v>
      </c>
      <c r="L18" s="853">
        <v>44853</v>
      </c>
      <c r="M18" s="860">
        <v>26499</v>
      </c>
      <c r="N18" s="137">
        <f t="shared" si="1"/>
        <v>0</v>
      </c>
    </row>
    <row r="19" spans="2:14" ht="15.75" x14ac:dyDescent="0.25">
      <c r="B19" s="454">
        <v>44849</v>
      </c>
      <c r="C19" s="246" t="s">
        <v>1429</v>
      </c>
      <c r="D19" s="111">
        <v>94144.84</v>
      </c>
      <c r="E19" s="412"/>
      <c r="F19" s="111"/>
      <c r="G19" s="544">
        <f t="shared" si="0"/>
        <v>94144.84</v>
      </c>
      <c r="I19" s="859" t="s">
        <v>1464</v>
      </c>
      <c r="J19" s="745">
        <v>10624</v>
      </c>
      <c r="K19" s="746">
        <v>440</v>
      </c>
      <c r="L19" s="853">
        <v>44853</v>
      </c>
      <c r="M19" s="860">
        <v>440</v>
      </c>
      <c r="N19" s="137">
        <f t="shared" si="1"/>
        <v>0</v>
      </c>
    </row>
    <row r="20" spans="2:14" ht="17.25" x14ac:dyDescent="0.3">
      <c r="B20" s="454">
        <v>44852</v>
      </c>
      <c r="C20" s="246" t="s">
        <v>1430</v>
      </c>
      <c r="D20" s="111">
        <v>70298.16</v>
      </c>
      <c r="E20" s="412"/>
      <c r="F20" s="111"/>
      <c r="G20" s="544">
        <f t="shared" si="0"/>
        <v>70298.16</v>
      </c>
      <c r="I20" s="859" t="s">
        <v>1465</v>
      </c>
      <c r="J20" s="745">
        <v>10632</v>
      </c>
      <c r="K20" s="746">
        <v>550</v>
      </c>
      <c r="L20" s="732"/>
      <c r="M20" s="706"/>
      <c r="N20" s="137">
        <f t="shared" si="1"/>
        <v>550</v>
      </c>
    </row>
    <row r="21" spans="2:14" ht="17.25" x14ac:dyDescent="0.3">
      <c r="B21" s="454">
        <v>44853</v>
      </c>
      <c r="C21" s="246" t="s">
        <v>1431</v>
      </c>
      <c r="D21" s="111">
        <v>146110.1</v>
      </c>
      <c r="E21" s="412"/>
      <c r="F21" s="111"/>
      <c r="G21" s="544">
        <f t="shared" si="0"/>
        <v>146110.1</v>
      </c>
      <c r="I21" s="859" t="s">
        <v>1466</v>
      </c>
      <c r="J21" s="745">
        <v>10646</v>
      </c>
      <c r="K21" s="746">
        <v>10860</v>
      </c>
      <c r="L21" s="732"/>
      <c r="M21" s="706"/>
      <c r="N21" s="137">
        <f t="shared" si="1"/>
        <v>11410</v>
      </c>
    </row>
    <row r="22" spans="2:14" ht="18.75" x14ac:dyDescent="0.3">
      <c r="B22" s="454">
        <v>44853</v>
      </c>
      <c r="C22" s="246" t="s">
        <v>1432</v>
      </c>
      <c r="D22" s="111">
        <v>57043.199999999997</v>
      </c>
      <c r="E22" s="412"/>
      <c r="F22" s="111"/>
      <c r="G22" s="544">
        <f t="shared" si="0"/>
        <v>57043.199999999997</v>
      </c>
      <c r="H22" s="644"/>
      <c r="I22" s="859" t="s">
        <v>1467</v>
      </c>
      <c r="J22" s="745">
        <v>10664</v>
      </c>
      <c r="K22" s="746">
        <v>7291</v>
      </c>
      <c r="L22" s="732"/>
      <c r="M22" s="706"/>
      <c r="N22" s="137">
        <f t="shared" si="1"/>
        <v>18701</v>
      </c>
    </row>
    <row r="23" spans="2:14" ht="15.75" x14ac:dyDescent="0.25">
      <c r="B23" s="454">
        <v>44853</v>
      </c>
      <c r="C23" s="246" t="s">
        <v>1433</v>
      </c>
      <c r="D23" s="111">
        <v>20156.400000000001</v>
      </c>
      <c r="E23" s="412"/>
      <c r="F23" s="111"/>
      <c r="G23" s="544">
        <f t="shared" si="0"/>
        <v>20156.400000000001</v>
      </c>
      <c r="H23" s="2"/>
      <c r="I23" s="859" t="s">
        <v>1468</v>
      </c>
      <c r="J23" s="745">
        <v>10665</v>
      </c>
      <c r="K23" s="746">
        <v>2880</v>
      </c>
      <c r="L23" s="412"/>
      <c r="M23" s="111"/>
      <c r="N23" s="137">
        <f t="shared" si="1"/>
        <v>21581</v>
      </c>
    </row>
    <row r="24" spans="2:14" ht="21" customHeight="1" x14ac:dyDescent="0.25">
      <c r="B24" s="454">
        <v>44854</v>
      </c>
      <c r="C24" s="246" t="s">
        <v>1434</v>
      </c>
      <c r="D24" s="111">
        <v>27112.25</v>
      </c>
      <c r="E24" s="412"/>
      <c r="F24" s="111"/>
      <c r="G24" s="544">
        <f t="shared" si="0"/>
        <v>27112.25</v>
      </c>
      <c r="H24" s="2"/>
      <c r="I24" s="858" t="s">
        <v>1468</v>
      </c>
      <c r="J24" s="748">
        <v>10666</v>
      </c>
      <c r="K24" s="749">
        <v>440</v>
      </c>
      <c r="L24" s="412"/>
      <c r="M24" s="111"/>
      <c r="N24" s="137">
        <f t="shared" si="1"/>
        <v>22021</v>
      </c>
    </row>
    <row r="25" spans="2:14" ht="15.75" x14ac:dyDescent="0.25">
      <c r="B25" s="454">
        <v>44855</v>
      </c>
      <c r="C25" s="246" t="s">
        <v>1435</v>
      </c>
      <c r="D25" s="111">
        <v>89839.6</v>
      </c>
      <c r="E25" s="412"/>
      <c r="F25" s="111"/>
      <c r="G25" s="544">
        <f t="shared" si="0"/>
        <v>89839.6</v>
      </c>
      <c r="H25" s="645"/>
      <c r="I25" s="858" t="s">
        <v>1469</v>
      </c>
      <c r="J25" s="748">
        <v>10673</v>
      </c>
      <c r="K25" s="749">
        <v>1334.6</v>
      </c>
      <c r="L25" s="412"/>
      <c r="M25" s="111"/>
      <c r="N25" s="137">
        <f t="shared" si="1"/>
        <v>23355.599999999999</v>
      </c>
    </row>
    <row r="26" spans="2:14" ht="15.75" x14ac:dyDescent="0.25">
      <c r="B26" s="454">
        <v>44856</v>
      </c>
      <c r="C26" s="246" t="s">
        <v>1436</v>
      </c>
      <c r="D26" s="111">
        <v>63880.7</v>
      </c>
      <c r="E26" s="412"/>
      <c r="F26" s="111"/>
      <c r="G26" s="544">
        <f t="shared" si="0"/>
        <v>63880.7</v>
      </c>
      <c r="H26" s="645"/>
      <c r="I26" s="858" t="s">
        <v>1470</v>
      </c>
      <c r="J26" s="748">
        <v>10681</v>
      </c>
      <c r="K26" s="749">
        <v>330</v>
      </c>
      <c r="L26" s="412"/>
      <c r="M26" s="111"/>
      <c r="N26" s="137">
        <f t="shared" si="1"/>
        <v>23685.599999999999</v>
      </c>
    </row>
    <row r="27" spans="2:14" ht="15.75" x14ac:dyDescent="0.25">
      <c r="B27" s="454">
        <v>44856</v>
      </c>
      <c r="C27" s="246" t="s">
        <v>1437</v>
      </c>
      <c r="D27" s="111">
        <v>33646.400000000001</v>
      </c>
      <c r="E27" s="412"/>
      <c r="F27" s="111"/>
      <c r="G27" s="544">
        <f t="shared" si="0"/>
        <v>33646.400000000001</v>
      </c>
      <c r="H27" s="645"/>
      <c r="I27" s="858" t="s">
        <v>1471</v>
      </c>
      <c r="J27" s="748">
        <v>10689</v>
      </c>
      <c r="K27" s="749">
        <v>18840</v>
      </c>
      <c r="L27" s="412"/>
      <c r="M27" s="111"/>
      <c r="N27" s="137">
        <f t="shared" si="1"/>
        <v>42525.599999999999</v>
      </c>
    </row>
    <row r="28" spans="2:14" ht="15.75" x14ac:dyDescent="0.25">
      <c r="B28" s="454">
        <v>44859</v>
      </c>
      <c r="C28" s="246" t="s">
        <v>1438</v>
      </c>
      <c r="D28" s="111">
        <v>103246.58</v>
      </c>
      <c r="E28" s="412"/>
      <c r="F28" s="111"/>
      <c r="G28" s="544">
        <f t="shared" si="0"/>
        <v>103246.58</v>
      </c>
      <c r="H28" s="645"/>
      <c r="I28" s="859" t="s">
        <v>1471</v>
      </c>
      <c r="J28" s="745">
        <v>10692</v>
      </c>
      <c r="K28" s="746">
        <v>6241</v>
      </c>
      <c r="L28" s="412"/>
      <c r="M28" s="111"/>
      <c r="N28" s="137">
        <f t="shared" si="1"/>
        <v>48766.6</v>
      </c>
    </row>
    <row r="29" spans="2:14" ht="15.75" x14ac:dyDescent="0.25">
      <c r="B29" s="454">
        <v>44860</v>
      </c>
      <c r="C29" s="246" t="s">
        <v>1439</v>
      </c>
      <c r="D29" s="111">
        <v>144593.79999999999</v>
      </c>
      <c r="E29" s="412"/>
      <c r="F29" s="111"/>
      <c r="G29" s="544">
        <f t="shared" si="0"/>
        <v>144593.79999999999</v>
      </c>
      <c r="H29" s="645"/>
      <c r="I29" s="859" t="s">
        <v>1472</v>
      </c>
      <c r="J29" s="745">
        <v>10699</v>
      </c>
      <c r="K29" s="746">
        <v>15297.6</v>
      </c>
      <c r="L29" s="412"/>
      <c r="M29" s="111"/>
      <c r="N29" s="137">
        <f t="shared" si="1"/>
        <v>64064.2</v>
      </c>
    </row>
    <row r="30" spans="2:14" ht="15.75" x14ac:dyDescent="0.25">
      <c r="B30" s="454">
        <v>44861</v>
      </c>
      <c r="C30" s="246" t="s">
        <v>1440</v>
      </c>
      <c r="D30" s="111">
        <v>89553.91</v>
      </c>
      <c r="E30" s="412"/>
      <c r="F30" s="111"/>
      <c r="G30" s="544">
        <f t="shared" si="0"/>
        <v>89553.91</v>
      </c>
      <c r="H30" s="645"/>
      <c r="I30" s="859" t="s">
        <v>1472</v>
      </c>
      <c r="J30" s="745">
        <v>10704</v>
      </c>
      <c r="K30" s="746">
        <v>4465</v>
      </c>
      <c r="L30" s="412"/>
      <c r="M30" s="111"/>
      <c r="N30" s="137">
        <f t="shared" si="1"/>
        <v>68529.2</v>
      </c>
    </row>
    <row r="31" spans="2:14" ht="15.75" x14ac:dyDescent="0.25">
      <c r="B31" s="454">
        <v>44862</v>
      </c>
      <c r="C31" s="246" t="s">
        <v>1441</v>
      </c>
      <c r="D31" s="111">
        <v>24569.3</v>
      </c>
      <c r="E31" s="412"/>
      <c r="F31" s="111"/>
      <c r="G31" s="544">
        <f t="shared" si="0"/>
        <v>24569.3</v>
      </c>
      <c r="H31" s="2"/>
      <c r="I31" s="858" t="s">
        <v>1473</v>
      </c>
      <c r="J31" s="748">
        <v>10716</v>
      </c>
      <c r="K31" s="749">
        <v>26098</v>
      </c>
      <c r="L31" s="412"/>
      <c r="M31" s="111"/>
      <c r="N31" s="137">
        <f t="shared" si="1"/>
        <v>94627.199999999997</v>
      </c>
    </row>
    <row r="32" spans="2:14" ht="15.75" x14ac:dyDescent="0.25">
      <c r="B32" s="454">
        <v>44862</v>
      </c>
      <c r="C32" s="246" t="s">
        <v>1442</v>
      </c>
      <c r="D32" s="111">
        <v>3740</v>
      </c>
      <c r="E32" s="412"/>
      <c r="F32" s="111"/>
      <c r="G32" s="544">
        <f t="shared" si="0"/>
        <v>3740</v>
      </c>
      <c r="H32" s="2"/>
      <c r="I32" s="859" t="s">
        <v>1473</v>
      </c>
      <c r="J32" s="745">
        <v>10717</v>
      </c>
      <c r="K32" s="746">
        <v>1764</v>
      </c>
      <c r="L32" s="412"/>
      <c r="M32" s="111"/>
      <c r="N32" s="137">
        <f t="shared" si="1"/>
        <v>96391.2</v>
      </c>
    </row>
    <row r="33" spans="2:14" ht="15.75" x14ac:dyDescent="0.25">
      <c r="B33" s="454">
        <v>44863</v>
      </c>
      <c r="C33" s="246" t="s">
        <v>1449</v>
      </c>
      <c r="D33" s="111">
        <v>107038.8</v>
      </c>
      <c r="E33" s="412"/>
      <c r="F33" s="111"/>
      <c r="G33" s="544">
        <f t="shared" si="0"/>
        <v>107038.8</v>
      </c>
      <c r="I33" s="500"/>
      <c r="J33" s="501"/>
      <c r="K33" s="502"/>
      <c r="L33" s="412"/>
      <c r="M33" s="111"/>
      <c r="N33" s="137">
        <f t="shared" si="1"/>
        <v>96391.2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96391.2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96391.2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19" t="s">
        <v>1474</v>
      </c>
      <c r="J36" s="1020"/>
      <c r="K36" s="1020"/>
      <c r="L36" s="1021"/>
      <c r="M36" s="111"/>
      <c r="N36" s="137">
        <f t="shared" si="1"/>
        <v>96391.2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19"/>
      <c r="J37" s="1020"/>
      <c r="K37" s="1020"/>
      <c r="L37" s="1021"/>
      <c r="M37" s="111"/>
      <c r="N37" s="137">
        <f t="shared" si="1"/>
        <v>96391.2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96391.2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96391.2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68" t="s">
        <v>594</v>
      </c>
      <c r="J40" s="969"/>
      <c r="K40" s="69"/>
      <c r="L40" s="253"/>
      <c r="M40" s="69"/>
      <c r="N40" s="137">
        <f t="shared" si="1"/>
        <v>96391.2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70"/>
      <c r="J41" s="971"/>
      <c r="K41" s="69"/>
      <c r="L41" s="253"/>
      <c r="M41" s="69"/>
      <c r="N41" s="137">
        <f t="shared" si="1"/>
        <v>96391.2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972"/>
      <c r="J42" s="973"/>
      <c r="K42" s="69"/>
      <c r="L42" s="253"/>
      <c r="M42" s="69"/>
      <c r="N42" s="137">
        <f t="shared" si="1"/>
        <v>96391.2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96391.2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96391.2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96391.2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96391.2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96391.2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96391.2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96391.2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96391.2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96391.2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96391.2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96391.2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96391.2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96391.2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96391.2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96391.2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96391.2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96391.2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96391.2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96391.2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96391.2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96391.2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96391.2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96391.2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2010648.49</v>
      </c>
      <c r="E67" s="407"/>
      <c r="F67" s="395">
        <f>SUM(F3:F66)</f>
        <v>0</v>
      </c>
      <c r="G67" s="153">
        <f>SUM(G3:G66)</f>
        <v>2010648.49</v>
      </c>
      <c r="I67" s="964" t="s">
        <v>594</v>
      </c>
      <c r="J67" s="965"/>
      <c r="K67" s="642">
        <f>SUM(K3:K66)</f>
        <v>176791.2</v>
      </c>
      <c r="L67" s="713"/>
      <c r="M67" s="209">
        <f>SUM(M3:M66)</f>
        <v>80400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26" t="s">
        <v>207</v>
      </c>
      <c r="I68" s="966"/>
      <c r="J68" s="967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27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36:L3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R97"/>
  <sheetViews>
    <sheetView tabSelected="1" topLeftCell="J1" workbookViewId="0">
      <selection activeCell="M11" sqref="M11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64"/>
      <c r="C1" s="930" t="s">
        <v>1475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18" ht="16.5" thickBot="1" x14ac:dyDescent="0.3">
      <c r="B2" s="865"/>
      <c r="C2" s="3"/>
      <c r="H2" s="5"/>
      <c r="I2" s="6"/>
      <c r="J2" s="7"/>
      <c r="L2" s="8"/>
      <c r="M2" s="6"/>
      <c r="N2" s="9"/>
    </row>
    <row r="3" spans="1:18" ht="21.75" thickBot="1" x14ac:dyDescent="0.35">
      <c r="B3" s="868" t="s">
        <v>0</v>
      </c>
      <c r="C3" s="869"/>
      <c r="D3" s="10"/>
      <c r="E3" s="553"/>
      <c r="F3" s="11"/>
      <c r="H3" s="870" t="s">
        <v>26</v>
      </c>
      <c r="I3" s="870"/>
      <c r="K3" s="165"/>
      <c r="L3" s="13"/>
      <c r="M3" s="14"/>
      <c r="P3" s="907" t="s">
        <v>6</v>
      </c>
      <c r="R3" s="928" t="s">
        <v>216</v>
      </c>
    </row>
    <row r="4" spans="1:18" ht="32.25" thickTop="1" thickBot="1" x14ac:dyDescent="0.35">
      <c r="A4" s="15" t="s">
        <v>1</v>
      </c>
      <c r="B4" s="16"/>
      <c r="C4" s="17">
        <v>3176585.65</v>
      </c>
      <c r="D4" s="18">
        <v>44864</v>
      </c>
      <c r="E4" s="871" t="s">
        <v>2</v>
      </c>
      <c r="F4" s="872"/>
      <c r="H4" s="873" t="s">
        <v>3</v>
      </c>
      <c r="I4" s="874"/>
      <c r="J4" s="556"/>
      <c r="K4" s="562"/>
      <c r="L4" s="563"/>
      <c r="M4" s="21" t="s">
        <v>4</v>
      </c>
      <c r="N4" s="22" t="s">
        <v>5</v>
      </c>
      <c r="P4" s="908"/>
      <c r="Q4" s="322" t="s">
        <v>217</v>
      </c>
      <c r="R4" s="929"/>
    </row>
    <row r="5" spans="1:18" ht="18" thickBot="1" x14ac:dyDescent="0.35">
      <c r="A5" s="23" t="s">
        <v>7</v>
      </c>
      <c r="B5" s="24">
        <v>44865</v>
      </c>
      <c r="C5" s="25">
        <v>15575</v>
      </c>
      <c r="D5" s="26" t="s">
        <v>1476</v>
      </c>
      <c r="E5" s="27">
        <v>44865</v>
      </c>
      <c r="F5" s="28">
        <v>140634</v>
      </c>
      <c r="G5" s="572"/>
      <c r="H5" s="29">
        <v>44865</v>
      </c>
      <c r="I5" s="30">
        <v>2379</v>
      </c>
      <c r="J5" s="37"/>
      <c r="K5" s="31"/>
      <c r="L5" s="9"/>
      <c r="M5" s="32">
        <v>59395</v>
      </c>
      <c r="N5" s="33">
        <v>63285</v>
      </c>
      <c r="O5" s="176" t="s">
        <v>937</v>
      </c>
      <c r="P5" s="34">
        <f>N5+M5+L5+I5+C5</f>
        <v>140634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44866</v>
      </c>
      <c r="C6" s="25">
        <v>31790</v>
      </c>
      <c r="D6" s="35" t="s">
        <v>1477</v>
      </c>
      <c r="E6" s="27">
        <v>44866</v>
      </c>
      <c r="F6" s="28">
        <v>163362</v>
      </c>
      <c r="G6" s="572"/>
      <c r="H6" s="29">
        <v>44866</v>
      </c>
      <c r="I6" s="30">
        <v>1070</v>
      </c>
      <c r="J6" s="37"/>
      <c r="K6" s="38"/>
      <c r="L6" s="39"/>
      <c r="M6" s="32">
        <f>23370+72461+14618+6055+7600</f>
        <v>124104</v>
      </c>
      <c r="N6" s="33">
        <v>44575</v>
      </c>
      <c r="O6" s="176" t="s">
        <v>937</v>
      </c>
      <c r="P6" s="39">
        <f>N6+M6+L6+I6+C6</f>
        <v>201539</v>
      </c>
      <c r="Q6" s="325">
        <v>0</v>
      </c>
      <c r="R6" s="388">
        <v>38177</v>
      </c>
    </row>
    <row r="7" spans="1:18" ht="18" thickBot="1" x14ac:dyDescent="0.35">
      <c r="A7" s="23"/>
      <c r="B7" s="24">
        <v>44867</v>
      </c>
      <c r="C7" s="25">
        <v>7537</v>
      </c>
      <c r="D7" s="40" t="s">
        <v>1478</v>
      </c>
      <c r="E7" s="27">
        <v>44867</v>
      </c>
      <c r="F7" s="28">
        <v>88665</v>
      </c>
      <c r="G7" s="572"/>
      <c r="H7" s="29">
        <v>44867</v>
      </c>
      <c r="I7" s="30">
        <v>593</v>
      </c>
      <c r="J7" s="37"/>
      <c r="K7" s="38"/>
      <c r="L7" s="39"/>
      <c r="M7" s="32">
        <f>30000+11516+12912</f>
        <v>54428</v>
      </c>
      <c r="N7" s="33">
        <v>26107</v>
      </c>
      <c r="O7" s="176" t="s">
        <v>937</v>
      </c>
      <c r="P7" s="39">
        <f>N7+M7+L7+I7+C7</f>
        <v>88665</v>
      </c>
      <c r="Q7" s="325">
        <f t="shared" ref="Q6:Q40" si="0">P7-F7</f>
        <v>0</v>
      </c>
      <c r="R7" s="319">
        <v>0</v>
      </c>
    </row>
    <row r="8" spans="1:18" ht="18" thickBot="1" x14ac:dyDescent="0.35">
      <c r="A8" s="23"/>
      <c r="B8" s="24">
        <v>44868</v>
      </c>
      <c r="C8" s="25">
        <v>14159</v>
      </c>
      <c r="D8" s="42" t="s">
        <v>1479</v>
      </c>
      <c r="E8" s="27">
        <v>44868</v>
      </c>
      <c r="F8" s="28">
        <v>137013</v>
      </c>
      <c r="G8" s="572"/>
      <c r="H8" s="29">
        <v>44868</v>
      </c>
      <c r="I8" s="30">
        <v>1505.5</v>
      </c>
      <c r="J8" s="43"/>
      <c r="K8" s="38"/>
      <c r="L8" s="39"/>
      <c r="M8" s="32">
        <f>61501.5+10000</f>
        <v>71501.5</v>
      </c>
      <c r="N8" s="33">
        <v>51116</v>
      </c>
      <c r="O8" s="176" t="s">
        <v>937</v>
      </c>
      <c r="P8" s="39">
        <f t="shared" ref="P8:P33" si="1">N8+M8+L8+I8+C8</f>
        <v>138282</v>
      </c>
      <c r="Q8" s="325">
        <v>0</v>
      </c>
      <c r="R8" s="388">
        <v>1269</v>
      </c>
    </row>
    <row r="9" spans="1:18" ht="18" thickBot="1" x14ac:dyDescent="0.35">
      <c r="A9" s="23"/>
      <c r="B9" s="24">
        <v>44869</v>
      </c>
      <c r="C9" s="25">
        <v>8001</v>
      </c>
      <c r="D9" s="42" t="s">
        <v>1480</v>
      </c>
      <c r="E9" s="27">
        <v>44869</v>
      </c>
      <c r="F9" s="28">
        <v>132659</v>
      </c>
      <c r="G9" s="572"/>
      <c r="H9" s="29">
        <v>44869</v>
      </c>
      <c r="I9" s="30">
        <v>3007.5</v>
      </c>
      <c r="J9" s="37"/>
      <c r="K9" s="223"/>
      <c r="L9" s="39"/>
      <c r="M9" s="32">
        <f>83945.5+367</f>
        <v>84312.5</v>
      </c>
      <c r="N9" s="33">
        <v>37338</v>
      </c>
      <c r="O9" s="176" t="s">
        <v>937</v>
      </c>
      <c r="P9" s="39">
        <f t="shared" si="1"/>
        <v>132659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44870</v>
      </c>
      <c r="C10" s="25">
        <v>20046</v>
      </c>
      <c r="D10" s="40" t="s">
        <v>1481</v>
      </c>
      <c r="E10" s="27">
        <v>44870</v>
      </c>
      <c r="F10" s="28">
        <v>173414</v>
      </c>
      <c r="G10" s="572"/>
      <c r="H10" s="29">
        <v>44870</v>
      </c>
      <c r="I10" s="30">
        <v>6727.5</v>
      </c>
      <c r="J10" s="37" t="s">
        <v>7</v>
      </c>
      <c r="K10" s="167" t="s">
        <v>1482</v>
      </c>
      <c r="L10" s="45">
        <v>17682.88</v>
      </c>
      <c r="M10" s="32">
        <f>77306+3075</f>
        <v>80381</v>
      </c>
      <c r="N10" s="33">
        <v>48577</v>
      </c>
      <c r="O10" s="176" t="s">
        <v>937</v>
      </c>
      <c r="P10" s="39">
        <f>N10+M10+L10+I10+C10</f>
        <v>173414.38</v>
      </c>
      <c r="Q10" s="325">
        <f>P10-F10</f>
        <v>0.38000000000465661</v>
      </c>
      <c r="R10" s="319">
        <v>0</v>
      </c>
    </row>
    <row r="11" spans="1:18" ht="18" thickBot="1" x14ac:dyDescent="0.35">
      <c r="A11" s="23"/>
      <c r="B11" s="24">
        <v>44871</v>
      </c>
      <c r="C11" s="25">
        <v>1071</v>
      </c>
      <c r="D11" s="35" t="s">
        <v>1282</v>
      </c>
      <c r="E11" s="27">
        <v>44871</v>
      </c>
      <c r="F11" s="28">
        <v>95844</v>
      </c>
      <c r="G11" s="572"/>
      <c r="H11" s="29">
        <v>44871</v>
      </c>
      <c r="I11" s="30">
        <v>5954.5</v>
      </c>
      <c r="J11" s="43"/>
      <c r="K11" s="168"/>
      <c r="L11" s="39"/>
      <c r="M11" s="32">
        <f>46521.5+8000</f>
        <v>54521.5</v>
      </c>
      <c r="N11" s="33">
        <v>34297</v>
      </c>
      <c r="O11" s="176" t="s">
        <v>937</v>
      </c>
      <c r="P11" s="39">
        <f t="shared" si="1"/>
        <v>95844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44872</v>
      </c>
      <c r="C12" s="25"/>
      <c r="D12" s="35"/>
      <c r="E12" s="27">
        <v>44872</v>
      </c>
      <c r="F12" s="28"/>
      <c r="G12" s="572"/>
      <c r="H12" s="29">
        <v>44872</v>
      </c>
      <c r="I12" s="30"/>
      <c r="J12" s="37"/>
      <c r="K12" s="169"/>
      <c r="L12" s="39"/>
      <c r="M12" s="32">
        <v>0</v>
      </c>
      <c r="N12" s="33">
        <v>0</v>
      </c>
      <c r="P12" s="39">
        <f t="shared" si="1"/>
        <v>0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44873</v>
      </c>
      <c r="C13" s="25"/>
      <c r="D13" s="42"/>
      <c r="E13" s="27">
        <v>44873</v>
      </c>
      <c r="F13" s="28"/>
      <c r="G13" s="572"/>
      <c r="H13" s="29">
        <v>44873</v>
      </c>
      <c r="I13" s="30"/>
      <c r="J13" s="37"/>
      <c r="K13" s="38"/>
      <c r="L13" s="39"/>
      <c r="M13" s="32">
        <v>0</v>
      </c>
      <c r="N13" s="33">
        <v>0</v>
      </c>
      <c r="P13" s="39">
        <f>N13+M13+L13+I13+C13</f>
        <v>0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44874</v>
      </c>
      <c r="C14" s="25"/>
      <c r="D14" s="40"/>
      <c r="E14" s="27">
        <v>44874</v>
      </c>
      <c r="F14" s="28"/>
      <c r="G14" s="572"/>
      <c r="H14" s="29">
        <v>44874</v>
      </c>
      <c r="I14" s="30"/>
      <c r="J14" s="37"/>
      <c r="K14" s="38"/>
      <c r="L14" s="39"/>
      <c r="M14" s="32">
        <v>0</v>
      </c>
      <c r="N14" s="33">
        <v>0</v>
      </c>
      <c r="P14" s="39">
        <f t="shared" si="1"/>
        <v>0</v>
      </c>
      <c r="Q14" s="325">
        <v>0</v>
      </c>
      <c r="R14" s="319">
        <v>0</v>
      </c>
    </row>
    <row r="15" spans="1:18" ht="18" thickBot="1" x14ac:dyDescent="0.35">
      <c r="A15" s="23"/>
      <c r="B15" s="24">
        <v>44875</v>
      </c>
      <c r="C15" s="25"/>
      <c r="D15" s="40"/>
      <c r="E15" s="27">
        <v>44875</v>
      </c>
      <c r="F15" s="28"/>
      <c r="G15" s="572"/>
      <c r="H15" s="29">
        <v>44875</v>
      </c>
      <c r="I15" s="30"/>
      <c r="J15" s="37"/>
      <c r="K15" s="38"/>
      <c r="L15" s="39"/>
      <c r="M15" s="32">
        <v>0</v>
      </c>
      <c r="N15" s="33">
        <v>0</v>
      </c>
      <c r="P15" s="39">
        <f t="shared" si="1"/>
        <v>0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44876</v>
      </c>
      <c r="C16" s="25"/>
      <c r="D16" s="35"/>
      <c r="E16" s="27">
        <v>44876</v>
      </c>
      <c r="F16" s="28"/>
      <c r="G16" s="572"/>
      <c r="H16" s="29">
        <v>44876</v>
      </c>
      <c r="I16" s="30"/>
      <c r="J16" s="37"/>
      <c r="K16" s="169"/>
      <c r="L16" s="9"/>
      <c r="M16" s="32">
        <v>0</v>
      </c>
      <c r="N16" s="33">
        <v>0</v>
      </c>
      <c r="P16" s="39">
        <f t="shared" si="1"/>
        <v>0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44877</v>
      </c>
      <c r="C17" s="25"/>
      <c r="D17" s="42"/>
      <c r="E17" s="27">
        <v>44877</v>
      </c>
      <c r="F17" s="28"/>
      <c r="G17" s="572"/>
      <c r="H17" s="29">
        <v>44877</v>
      </c>
      <c r="I17" s="30"/>
      <c r="J17" s="37"/>
      <c r="K17" s="38"/>
      <c r="L17" s="45"/>
      <c r="M17" s="32">
        <v>0</v>
      </c>
      <c r="N17" s="33">
        <v>0</v>
      </c>
      <c r="P17" s="39">
        <f t="shared" si="1"/>
        <v>0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44878</v>
      </c>
      <c r="C18" s="25"/>
      <c r="D18" s="35"/>
      <c r="E18" s="27">
        <v>44878</v>
      </c>
      <c r="F18" s="28"/>
      <c r="G18" s="572"/>
      <c r="H18" s="29">
        <v>44878</v>
      </c>
      <c r="I18" s="30"/>
      <c r="J18" s="37"/>
      <c r="K18" s="564"/>
      <c r="L18" s="39"/>
      <c r="M18" s="32">
        <v>0</v>
      </c>
      <c r="N18" s="33">
        <v>0</v>
      </c>
      <c r="P18" s="39">
        <f t="shared" si="1"/>
        <v>0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44879</v>
      </c>
      <c r="C19" s="851"/>
      <c r="D19" s="35"/>
      <c r="E19" s="27">
        <v>44879</v>
      </c>
      <c r="F19" s="28"/>
      <c r="G19" s="572"/>
      <c r="H19" s="29">
        <v>44879</v>
      </c>
      <c r="I19" s="30"/>
      <c r="J19" s="37"/>
      <c r="K19" s="863"/>
      <c r="L19" s="47"/>
      <c r="M19" s="32">
        <v>0</v>
      </c>
      <c r="N19" s="33">
        <v>0</v>
      </c>
      <c r="P19" s="39">
        <f t="shared" si="1"/>
        <v>0</v>
      </c>
      <c r="Q19" s="325">
        <v>0</v>
      </c>
      <c r="R19" s="319">
        <v>0</v>
      </c>
    </row>
    <row r="20" spans="1:18" ht="18" customHeight="1" thickBot="1" x14ac:dyDescent="0.35">
      <c r="A20" s="23"/>
      <c r="B20" s="24">
        <v>44880</v>
      </c>
      <c r="C20" s="25"/>
      <c r="D20" s="35"/>
      <c r="E20" s="27">
        <v>44880</v>
      </c>
      <c r="F20" s="28"/>
      <c r="G20" s="572"/>
      <c r="H20" s="29">
        <v>44880</v>
      </c>
      <c r="I20" s="30"/>
      <c r="J20" s="37"/>
      <c r="K20" s="171"/>
      <c r="L20" s="45"/>
      <c r="M20" s="32">
        <v>0</v>
      </c>
      <c r="N20" s="33">
        <v>0</v>
      </c>
      <c r="P20" s="39">
        <f t="shared" si="1"/>
        <v>0</v>
      </c>
      <c r="Q20" s="325">
        <v>0</v>
      </c>
      <c r="R20" s="319">
        <v>0</v>
      </c>
    </row>
    <row r="21" spans="1:18" ht="18" thickBot="1" x14ac:dyDescent="0.35">
      <c r="A21" s="23"/>
      <c r="B21" s="24">
        <v>44881</v>
      </c>
      <c r="C21" s="25"/>
      <c r="D21" s="35"/>
      <c r="E21" s="27">
        <v>44881</v>
      </c>
      <c r="F21" s="28"/>
      <c r="G21" s="572"/>
      <c r="H21" s="29">
        <v>44881</v>
      </c>
      <c r="I21" s="30"/>
      <c r="J21" s="37"/>
      <c r="K21" s="565"/>
      <c r="L21" s="45"/>
      <c r="M21" s="32">
        <v>0</v>
      </c>
      <c r="N21" s="33">
        <v>0</v>
      </c>
      <c r="P21" s="39">
        <f t="shared" si="1"/>
        <v>0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44882</v>
      </c>
      <c r="C22" s="25"/>
      <c r="D22" s="35"/>
      <c r="E22" s="27">
        <v>44882</v>
      </c>
      <c r="F22" s="28"/>
      <c r="G22" s="572"/>
      <c r="H22" s="29">
        <v>44882</v>
      </c>
      <c r="I22" s="30"/>
      <c r="J22" s="37"/>
      <c r="K22" s="773"/>
      <c r="L22" s="49"/>
      <c r="M22" s="32">
        <v>0</v>
      </c>
      <c r="N22" s="33">
        <v>0</v>
      </c>
      <c r="P22" s="39">
        <f t="shared" si="1"/>
        <v>0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44883</v>
      </c>
      <c r="C23" s="25"/>
      <c r="D23" s="35"/>
      <c r="E23" s="27">
        <v>44883</v>
      </c>
      <c r="F23" s="28"/>
      <c r="G23" s="572"/>
      <c r="H23" s="29">
        <v>44883</v>
      </c>
      <c r="I23" s="30"/>
      <c r="J23" s="50"/>
      <c r="K23" s="172"/>
      <c r="L23" s="45"/>
      <c r="M23" s="32">
        <v>0</v>
      </c>
      <c r="N23" s="33">
        <v>0</v>
      </c>
      <c r="P23" s="39">
        <f t="shared" si="1"/>
        <v>0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44884</v>
      </c>
      <c r="C24" s="25"/>
      <c r="D24" s="42"/>
      <c r="E24" s="27">
        <v>44884</v>
      </c>
      <c r="F24" s="28"/>
      <c r="G24" s="572"/>
      <c r="H24" s="29">
        <v>44884</v>
      </c>
      <c r="I24" s="30"/>
      <c r="J24" s="51"/>
      <c r="K24" s="172"/>
      <c r="L24" s="52"/>
      <c r="M24" s="32">
        <v>0</v>
      </c>
      <c r="N24" s="33">
        <v>0</v>
      </c>
      <c r="P24" s="39">
        <f>N24+M24+L24+I24+C24</f>
        <v>0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44885</v>
      </c>
      <c r="C25" s="25"/>
      <c r="D25" s="35"/>
      <c r="E25" s="27">
        <v>44885</v>
      </c>
      <c r="F25" s="28"/>
      <c r="G25" s="572"/>
      <c r="H25" s="29">
        <v>44885</v>
      </c>
      <c r="I25" s="30"/>
      <c r="J25" s="50"/>
      <c r="K25" s="38"/>
      <c r="L25" s="54"/>
      <c r="M25" s="32">
        <v>0</v>
      </c>
      <c r="N25" s="33">
        <v>0</v>
      </c>
      <c r="P25" s="283">
        <f t="shared" si="1"/>
        <v>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44886</v>
      </c>
      <c r="C26" s="25"/>
      <c r="D26" s="35"/>
      <c r="E26" s="27">
        <v>44886</v>
      </c>
      <c r="F26" s="28"/>
      <c r="G26" s="572"/>
      <c r="H26" s="29">
        <v>44886</v>
      </c>
      <c r="I26" s="30"/>
      <c r="J26" s="37"/>
      <c r="K26" s="728"/>
      <c r="L26" s="729"/>
      <c r="M26" s="32">
        <v>0</v>
      </c>
      <c r="N26" s="33">
        <v>0</v>
      </c>
      <c r="P26" s="283">
        <f t="shared" si="1"/>
        <v>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44887</v>
      </c>
      <c r="C27" s="25"/>
      <c r="D27" s="42"/>
      <c r="E27" s="27">
        <v>44887</v>
      </c>
      <c r="F27" s="28"/>
      <c r="G27" s="572"/>
      <c r="H27" s="29">
        <v>44887</v>
      </c>
      <c r="I27" s="30"/>
      <c r="J27" s="55"/>
      <c r="K27" s="174"/>
      <c r="L27" s="54"/>
      <c r="M27" s="32">
        <v>0</v>
      </c>
      <c r="N27" s="33">
        <v>0</v>
      </c>
      <c r="P27" s="283">
        <f t="shared" si="1"/>
        <v>0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44888</v>
      </c>
      <c r="C28" s="25"/>
      <c r="D28" s="42"/>
      <c r="E28" s="27">
        <v>44888</v>
      </c>
      <c r="F28" s="28"/>
      <c r="G28" s="572"/>
      <c r="H28" s="29">
        <v>44888</v>
      </c>
      <c r="I28" s="30"/>
      <c r="J28" s="56"/>
      <c r="K28" s="57"/>
      <c r="L28" s="54"/>
      <c r="M28" s="32">
        <v>0</v>
      </c>
      <c r="N28" s="33">
        <v>0</v>
      </c>
      <c r="P28" s="283">
        <f t="shared" si="1"/>
        <v>0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44889</v>
      </c>
      <c r="C29" s="25"/>
      <c r="D29" s="58"/>
      <c r="E29" s="27">
        <v>44889</v>
      </c>
      <c r="F29" s="28"/>
      <c r="G29" s="572"/>
      <c r="H29" s="29">
        <v>44889</v>
      </c>
      <c r="I29" s="30"/>
      <c r="J29" s="59"/>
      <c r="K29" s="175"/>
      <c r="L29" s="54"/>
      <c r="M29" s="32">
        <v>0</v>
      </c>
      <c r="N29" s="33">
        <v>0</v>
      </c>
      <c r="P29" s="283">
        <f t="shared" si="1"/>
        <v>0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44890</v>
      </c>
      <c r="C30" s="25"/>
      <c r="D30" s="58"/>
      <c r="E30" s="27">
        <v>44890</v>
      </c>
      <c r="F30" s="28"/>
      <c r="G30" s="572"/>
      <c r="H30" s="29">
        <v>44890</v>
      </c>
      <c r="I30" s="30"/>
      <c r="J30" s="56"/>
      <c r="K30" s="38"/>
      <c r="L30" s="39"/>
      <c r="M30" s="32">
        <v>0</v>
      </c>
      <c r="N30" s="33">
        <v>0</v>
      </c>
      <c r="P30" s="283">
        <f t="shared" si="1"/>
        <v>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44891</v>
      </c>
      <c r="C31" s="25"/>
      <c r="D31" s="67"/>
      <c r="E31" s="27">
        <v>44891</v>
      </c>
      <c r="F31" s="28"/>
      <c r="G31" s="572"/>
      <c r="H31" s="29">
        <v>44891</v>
      </c>
      <c r="I31" s="30"/>
      <c r="J31" s="56"/>
      <c r="K31" s="821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44892</v>
      </c>
      <c r="C32" s="25"/>
      <c r="D32" s="64"/>
      <c r="E32" s="27">
        <v>44892</v>
      </c>
      <c r="F32" s="28"/>
      <c r="G32" s="572"/>
      <c r="H32" s="29">
        <v>44892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44870</v>
      </c>
      <c r="K34" s="751" t="s">
        <v>1483</v>
      </c>
      <c r="L34" s="39">
        <v>19514.89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/>
      <c r="K35" s="752"/>
      <c r="L35" s="702"/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/>
      <c r="K36" s="751"/>
      <c r="L36" s="39"/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51"/>
      <c r="L41" s="39"/>
      <c r="M41" s="909">
        <f>SUM(M5:M40)</f>
        <v>528643.5</v>
      </c>
      <c r="N41" s="909">
        <f>SUM(N5:N40)</f>
        <v>305295</v>
      </c>
      <c r="P41" s="505">
        <f>SUM(P5:P40)</f>
        <v>971037.38</v>
      </c>
      <c r="Q41" s="1041">
        <f>SUM(Q5:Q40)</f>
        <v>0.38000000000465661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52"/>
      <c r="L42" s="702"/>
      <c r="M42" s="910"/>
      <c r="N42" s="910"/>
      <c r="P42" s="34"/>
      <c r="Q42" s="1042"/>
      <c r="R42" s="788">
        <f>SUM(R5:R41)</f>
        <v>39446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751"/>
      <c r="L43" s="39"/>
      <c r="M43" s="861"/>
      <c r="N43" s="861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61"/>
      <c r="N44" s="861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976">
        <f>M41+N41</f>
        <v>833938.5</v>
      </c>
      <c r="N45" s="977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61"/>
      <c r="N46" s="861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61"/>
      <c r="N47" s="861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61"/>
      <c r="N48" s="861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61"/>
      <c r="N49" s="861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61"/>
      <c r="N50" s="861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61"/>
      <c r="N51" s="861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61"/>
      <c r="N52" s="861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61"/>
      <c r="N53" s="861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61"/>
      <c r="N54" s="861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61"/>
      <c r="N55" s="861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61"/>
      <c r="N56" s="861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61"/>
      <c r="N57" s="861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61"/>
      <c r="N58" s="861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61"/>
      <c r="N59" s="861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98179</v>
      </c>
      <c r="D67" s="88"/>
      <c r="E67" s="91" t="s">
        <v>8</v>
      </c>
      <c r="F67" s="90">
        <f>SUM(F5:F60)</f>
        <v>931591</v>
      </c>
      <c r="G67" s="573"/>
      <c r="H67" s="91" t="s">
        <v>9</v>
      </c>
      <c r="I67" s="92">
        <f>SUM(I5:I60)</f>
        <v>21237</v>
      </c>
      <c r="J67" s="93"/>
      <c r="K67" s="94" t="s">
        <v>10</v>
      </c>
      <c r="L67" s="95">
        <f>SUM(L5:L65)-L26</f>
        <v>37197.770000000004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86" t="s">
        <v>11</v>
      </c>
      <c r="I69" s="887"/>
      <c r="J69" s="559"/>
      <c r="K69" s="1011">
        <f>I67+L67</f>
        <v>58434.770000000004</v>
      </c>
      <c r="L69" s="1012"/>
      <c r="M69" s="272"/>
      <c r="N69" s="272"/>
      <c r="P69" s="34"/>
      <c r="Q69" s="13"/>
    </row>
    <row r="70" spans="1:17" x14ac:dyDescent="0.25">
      <c r="D70" s="892" t="s">
        <v>12</v>
      </c>
      <c r="E70" s="892"/>
      <c r="F70" s="312">
        <f>F67-K69-C67</f>
        <v>774977.23</v>
      </c>
      <c r="I70" s="102"/>
      <c r="J70" s="560"/>
    </row>
    <row r="71" spans="1:17" ht="18.75" x14ac:dyDescent="0.3">
      <c r="D71" s="916" t="s">
        <v>95</v>
      </c>
      <c r="E71" s="916"/>
      <c r="F71" s="111">
        <v>0</v>
      </c>
      <c r="I71" s="893" t="s">
        <v>13</v>
      </c>
      <c r="J71" s="894"/>
      <c r="K71" s="895">
        <f>F73+F74+F75</f>
        <v>774977.23</v>
      </c>
      <c r="L71" s="895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774977.23</v>
      </c>
      <c r="H73" s="555"/>
      <c r="I73" s="108" t="s">
        <v>15</v>
      </c>
      <c r="J73" s="109"/>
      <c r="K73" s="1007">
        <f>-C4</f>
        <v>-3176585.65</v>
      </c>
      <c r="L73" s="895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>
        <v>44864</v>
      </c>
      <c r="D75" s="875" t="s">
        <v>18</v>
      </c>
      <c r="E75" s="876"/>
      <c r="F75" s="113">
        <v>0</v>
      </c>
      <c r="I75" s="1038" t="s">
        <v>198</v>
      </c>
      <c r="J75" s="1039"/>
      <c r="K75" s="1040">
        <f>K71+K73</f>
        <v>-2401608.42</v>
      </c>
      <c r="L75" s="1040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B1:B2"/>
    <mergeCell ref="C1:M1"/>
    <mergeCell ref="B3:C3"/>
    <mergeCell ref="H3:I3"/>
    <mergeCell ref="R3:R4"/>
    <mergeCell ref="E4:F4"/>
    <mergeCell ref="H4:I4"/>
    <mergeCell ref="Q41:Q42"/>
    <mergeCell ref="M45:N45"/>
    <mergeCell ref="P3:P4"/>
  </mergeCells>
  <pageMargins left="0.39" right="0.16" top="0.34" bottom="0.26" header="0.3" footer="0.3"/>
  <pageSetup paperSize="5" orientation="landscape" horizontalDpi="0" verticalDpi="0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123"/>
  <sheetViews>
    <sheetView workbookViewId="0">
      <selection activeCell="E23" sqref="E23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/>
      <c r="C3" s="845"/>
      <c r="D3" s="307"/>
      <c r="E3" s="732"/>
      <c r="F3" s="307"/>
      <c r="G3" s="410">
        <f>D3-F3</f>
        <v>0</v>
      </c>
      <c r="I3" s="862"/>
      <c r="J3" s="347"/>
      <c r="K3" s="349"/>
      <c r="L3" s="732"/>
      <c r="M3" s="349"/>
      <c r="N3" s="183">
        <f>K3-M3</f>
        <v>0</v>
      </c>
    </row>
    <row r="4" spans="2:14" ht="18.75" x14ac:dyDescent="0.3">
      <c r="B4" s="454"/>
      <c r="C4" s="246"/>
      <c r="D4" s="111"/>
      <c r="E4" s="412"/>
      <c r="F4" s="111"/>
      <c r="G4" s="544">
        <f t="shared" ref="G4:G65" si="0">D4-F4</f>
        <v>0</v>
      </c>
      <c r="H4" s="138"/>
      <c r="I4" s="862"/>
      <c r="J4" s="347"/>
      <c r="K4" s="349"/>
      <c r="L4" s="732"/>
      <c r="M4" s="349"/>
      <c r="N4" s="137">
        <f>N3+K4-M4</f>
        <v>0</v>
      </c>
    </row>
    <row r="5" spans="2:14" ht="15.75" x14ac:dyDescent="0.25">
      <c r="B5" s="454"/>
      <c r="C5" s="246"/>
      <c r="D5" s="111"/>
      <c r="E5" s="412"/>
      <c r="F5" s="111"/>
      <c r="G5" s="544">
        <f t="shared" si="0"/>
        <v>0</v>
      </c>
      <c r="I5" s="862"/>
      <c r="J5" s="347"/>
      <c r="K5" s="349"/>
      <c r="L5" s="732"/>
      <c r="M5" s="349"/>
      <c r="N5" s="137">
        <f t="shared" ref="N5:N65" si="1">N4+K5-M5</f>
        <v>0</v>
      </c>
    </row>
    <row r="6" spans="2:14" ht="15.75" x14ac:dyDescent="0.25">
      <c r="B6" s="454"/>
      <c r="C6" s="246"/>
      <c r="D6" s="111"/>
      <c r="E6" s="412"/>
      <c r="F6" s="111"/>
      <c r="G6" s="544">
        <f t="shared" si="0"/>
        <v>0</v>
      </c>
      <c r="I6" s="862"/>
      <c r="J6" s="347"/>
      <c r="K6" s="349"/>
      <c r="L6" s="732"/>
      <c r="M6" s="349"/>
      <c r="N6" s="137">
        <f t="shared" si="1"/>
        <v>0</v>
      </c>
    </row>
    <row r="7" spans="2:14" ht="15.75" x14ac:dyDescent="0.25">
      <c r="B7" s="454"/>
      <c r="C7" s="246"/>
      <c r="D7" s="111"/>
      <c r="E7" s="412"/>
      <c r="F7" s="111"/>
      <c r="G7" s="544">
        <f t="shared" si="0"/>
        <v>0</v>
      </c>
      <c r="I7" s="862"/>
      <c r="J7" s="347"/>
      <c r="K7" s="349"/>
      <c r="L7" s="732"/>
      <c r="M7" s="349"/>
      <c r="N7" s="137">
        <f t="shared" si="1"/>
        <v>0</v>
      </c>
    </row>
    <row r="8" spans="2:14" ht="15.75" x14ac:dyDescent="0.25">
      <c r="B8" s="454"/>
      <c r="C8" s="246"/>
      <c r="D8" s="111"/>
      <c r="E8" s="412"/>
      <c r="F8" s="111"/>
      <c r="G8" s="544">
        <f t="shared" si="0"/>
        <v>0</v>
      </c>
      <c r="I8" s="862"/>
      <c r="J8" s="347"/>
      <c r="K8" s="349"/>
      <c r="L8" s="732"/>
      <c r="M8" s="349"/>
      <c r="N8" s="137">
        <f t="shared" si="1"/>
        <v>0</v>
      </c>
    </row>
    <row r="9" spans="2:14" ht="15.75" x14ac:dyDescent="0.25">
      <c r="B9" s="454"/>
      <c r="C9" s="246"/>
      <c r="D9" s="111"/>
      <c r="E9" s="412"/>
      <c r="F9" s="111"/>
      <c r="G9" s="544">
        <f t="shared" si="0"/>
        <v>0</v>
      </c>
      <c r="I9" s="862"/>
      <c r="J9" s="347"/>
      <c r="K9" s="349"/>
      <c r="L9" s="732"/>
      <c r="M9" s="349"/>
      <c r="N9" s="137">
        <f t="shared" si="1"/>
        <v>0</v>
      </c>
    </row>
    <row r="10" spans="2:14" ht="18.75" x14ac:dyDescent="0.3">
      <c r="B10" s="454"/>
      <c r="C10" s="246"/>
      <c r="D10" s="111"/>
      <c r="E10" s="412"/>
      <c r="F10" s="111"/>
      <c r="G10" s="544">
        <f t="shared" si="0"/>
        <v>0</v>
      </c>
      <c r="H10" s="138"/>
      <c r="I10" s="862"/>
      <c r="J10" s="347"/>
      <c r="K10" s="349"/>
      <c r="L10" s="732"/>
      <c r="M10" s="349"/>
      <c r="N10" s="137">
        <f t="shared" si="1"/>
        <v>0</v>
      </c>
    </row>
    <row r="11" spans="2:14" ht="15.75" x14ac:dyDescent="0.25">
      <c r="B11" s="454"/>
      <c r="C11" s="246"/>
      <c r="D11" s="111"/>
      <c r="E11" s="412"/>
      <c r="F11" s="111"/>
      <c r="G11" s="544">
        <f t="shared" si="0"/>
        <v>0</v>
      </c>
      <c r="I11" s="862"/>
      <c r="J11" s="347"/>
      <c r="K11" s="349"/>
      <c r="L11" s="732"/>
      <c r="M11" s="349"/>
      <c r="N11" s="137">
        <f t="shared" si="1"/>
        <v>0</v>
      </c>
    </row>
    <row r="12" spans="2:14" ht="15.75" x14ac:dyDescent="0.25">
      <c r="B12" s="454"/>
      <c r="C12" s="246"/>
      <c r="D12" s="111"/>
      <c r="E12" s="412"/>
      <c r="F12" s="111"/>
      <c r="G12" s="544">
        <f t="shared" si="0"/>
        <v>0</v>
      </c>
      <c r="I12" s="862"/>
      <c r="J12" s="347"/>
      <c r="K12" s="349"/>
      <c r="L12" s="732"/>
      <c r="M12" s="349"/>
      <c r="N12" s="137">
        <f t="shared" si="1"/>
        <v>0</v>
      </c>
    </row>
    <row r="13" spans="2:14" ht="15.75" x14ac:dyDescent="0.25">
      <c r="B13" s="454"/>
      <c r="C13" s="246"/>
      <c r="D13" s="111"/>
      <c r="E13" s="412"/>
      <c r="F13" s="111"/>
      <c r="G13" s="544">
        <f t="shared" si="0"/>
        <v>0</v>
      </c>
      <c r="I13" s="862"/>
      <c r="J13" s="347"/>
      <c r="K13" s="349"/>
      <c r="L13" s="732"/>
      <c r="M13" s="349"/>
      <c r="N13" s="137">
        <f t="shared" si="1"/>
        <v>0</v>
      </c>
    </row>
    <row r="14" spans="2:14" ht="15.75" x14ac:dyDescent="0.25">
      <c r="B14" s="454"/>
      <c r="C14" s="246"/>
      <c r="D14" s="111"/>
      <c r="E14" s="412"/>
      <c r="F14" s="111"/>
      <c r="G14" s="544">
        <f t="shared" si="0"/>
        <v>0</v>
      </c>
      <c r="I14" s="862"/>
      <c r="J14" s="347"/>
      <c r="K14" s="349"/>
      <c r="L14" s="732"/>
      <c r="M14" s="349"/>
      <c r="N14" s="137">
        <f t="shared" si="1"/>
        <v>0</v>
      </c>
    </row>
    <row r="15" spans="2:14" ht="15.75" x14ac:dyDescent="0.25">
      <c r="B15" s="454"/>
      <c r="C15" s="246"/>
      <c r="D15" s="111"/>
      <c r="E15" s="412"/>
      <c r="F15" s="111"/>
      <c r="G15" s="544">
        <f t="shared" si="0"/>
        <v>0</v>
      </c>
      <c r="I15" s="862"/>
      <c r="J15" s="347"/>
      <c r="K15" s="349"/>
      <c r="L15" s="732"/>
      <c r="M15" s="349"/>
      <c r="N15" s="137">
        <f t="shared" si="1"/>
        <v>0</v>
      </c>
    </row>
    <row r="16" spans="2:14" ht="15.75" x14ac:dyDescent="0.25">
      <c r="B16" s="454"/>
      <c r="C16" s="246"/>
      <c r="D16" s="111"/>
      <c r="E16" s="412"/>
      <c r="F16" s="111"/>
      <c r="G16" s="544">
        <f t="shared" si="0"/>
        <v>0</v>
      </c>
      <c r="I16" s="862"/>
      <c r="J16" s="347"/>
      <c r="K16" s="349"/>
      <c r="L16" s="732"/>
      <c r="M16" s="349"/>
      <c r="N16" s="137">
        <f t="shared" si="1"/>
        <v>0</v>
      </c>
    </row>
    <row r="17" spans="2:14" ht="15.75" x14ac:dyDescent="0.25">
      <c r="B17" s="454"/>
      <c r="C17" s="246"/>
      <c r="D17" s="111"/>
      <c r="E17" s="412"/>
      <c r="F17" s="111"/>
      <c r="G17" s="544">
        <f t="shared" si="0"/>
        <v>0</v>
      </c>
      <c r="I17" s="862"/>
      <c r="J17" s="347"/>
      <c r="K17" s="349"/>
      <c r="L17" s="732"/>
      <c r="M17" s="349"/>
      <c r="N17" s="137">
        <f t="shared" si="1"/>
        <v>0</v>
      </c>
    </row>
    <row r="18" spans="2:14" ht="15.75" x14ac:dyDescent="0.25">
      <c r="B18" s="454"/>
      <c r="C18" s="246"/>
      <c r="D18" s="111"/>
      <c r="E18" s="412"/>
      <c r="F18" s="111"/>
      <c r="G18" s="544">
        <f t="shared" si="0"/>
        <v>0</v>
      </c>
      <c r="I18" s="862"/>
      <c r="J18" s="347"/>
      <c r="K18" s="349"/>
      <c r="L18" s="732"/>
      <c r="M18" s="349"/>
      <c r="N18" s="137">
        <f t="shared" si="1"/>
        <v>0</v>
      </c>
    </row>
    <row r="19" spans="2:14" ht="15.75" x14ac:dyDescent="0.25">
      <c r="B19" s="454"/>
      <c r="C19" s="246"/>
      <c r="D19" s="111"/>
      <c r="E19" s="412"/>
      <c r="F19" s="111"/>
      <c r="G19" s="544">
        <f t="shared" si="0"/>
        <v>0</v>
      </c>
      <c r="I19" s="862"/>
      <c r="J19" s="347"/>
      <c r="K19" s="349"/>
      <c r="L19" s="732"/>
      <c r="M19" s="349"/>
      <c r="N19" s="137">
        <f t="shared" si="1"/>
        <v>0</v>
      </c>
    </row>
    <row r="20" spans="2:14" ht="17.25" x14ac:dyDescent="0.3">
      <c r="B20" s="454"/>
      <c r="C20" s="246"/>
      <c r="D20" s="111"/>
      <c r="E20" s="412"/>
      <c r="F20" s="111"/>
      <c r="G20" s="544">
        <f t="shared" si="0"/>
        <v>0</v>
      </c>
      <c r="I20" s="862"/>
      <c r="J20" s="347"/>
      <c r="K20" s="349"/>
      <c r="L20" s="732"/>
      <c r="M20" s="706"/>
      <c r="N20" s="137">
        <f t="shared" si="1"/>
        <v>0</v>
      </c>
    </row>
    <row r="21" spans="2:14" ht="17.25" x14ac:dyDescent="0.3">
      <c r="B21" s="454"/>
      <c r="C21" s="246"/>
      <c r="D21" s="111"/>
      <c r="E21" s="412"/>
      <c r="F21" s="111"/>
      <c r="G21" s="544">
        <f t="shared" si="0"/>
        <v>0</v>
      </c>
      <c r="I21" s="862"/>
      <c r="J21" s="347"/>
      <c r="K21" s="349"/>
      <c r="L21" s="732"/>
      <c r="M21" s="706"/>
      <c r="N21" s="137">
        <f t="shared" si="1"/>
        <v>0</v>
      </c>
    </row>
    <row r="22" spans="2:14" ht="18.75" x14ac:dyDescent="0.3">
      <c r="B22" s="454"/>
      <c r="C22" s="246"/>
      <c r="D22" s="111"/>
      <c r="E22" s="412"/>
      <c r="F22" s="111"/>
      <c r="G22" s="544">
        <f t="shared" si="0"/>
        <v>0</v>
      </c>
      <c r="H22" s="644"/>
      <c r="I22" s="862"/>
      <c r="J22" s="347"/>
      <c r="K22" s="349"/>
      <c r="L22" s="732"/>
      <c r="M22" s="706"/>
      <c r="N22" s="137">
        <f t="shared" si="1"/>
        <v>0</v>
      </c>
    </row>
    <row r="23" spans="2:14" ht="15.75" x14ac:dyDescent="0.25">
      <c r="B23" s="454"/>
      <c r="C23" s="246"/>
      <c r="D23" s="111"/>
      <c r="E23" s="412"/>
      <c r="F23" s="111"/>
      <c r="G23" s="544">
        <f t="shared" si="0"/>
        <v>0</v>
      </c>
      <c r="H23" s="2"/>
      <c r="I23" s="862"/>
      <c r="J23" s="347"/>
      <c r="K23" s="349"/>
      <c r="L23" s="412"/>
      <c r="M23" s="111"/>
      <c r="N23" s="137">
        <f t="shared" si="1"/>
        <v>0</v>
      </c>
    </row>
    <row r="24" spans="2:14" ht="21" customHeight="1" x14ac:dyDescent="0.25">
      <c r="B24" s="454"/>
      <c r="C24" s="246"/>
      <c r="D24" s="111"/>
      <c r="E24" s="412"/>
      <c r="F24" s="111"/>
      <c r="G24" s="544">
        <f t="shared" si="0"/>
        <v>0</v>
      </c>
      <c r="H24" s="2"/>
      <c r="I24" s="862"/>
      <c r="J24" s="347"/>
      <c r="K24" s="349"/>
      <c r="L24" s="412"/>
      <c r="M24" s="111"/>
      <c r="N24" s="137">
        <f t="shared" si="1"/>
        <v>0</v>
      </c>
    </row>
    <row r="25" spans="2:14" ht="15.75" x14ac:dyDescent="0.25">
      <c r="B25" s="454"/>
      <c r="C25" s="246"/>
      <c r="D25" s="111"/>
      <c r="E25" s="412"/>
      <c r="F25" s="111"/>
      <c r="G25" s="544">
        <f t="shared" si="0"/>
        <v>0</v>
      </c>
      <c r="H25" s="645"/>
      <c r="I25" s="862"/>
      <c r="J25" s="347"/>
      <c r="K25" s="349"/>
      <c r="L25" s="412"/>
      <c r="M25" s="111"/>
      <c r="N25" s="137">
        <f t="shared" si="1"/>
        <v>0</v>
      </c>
    </row>
    <row r="26" spans="2:14" ht="15.75" x14ac:dyDescent="0.25">
      <c r="B26" s="454"/>
      <c r="C26" s="246"/>
      <c r="D26" s="111"/>
      <c r="E26" s="412"/>
      <c r="F26" s="111"/>
      <c r="G26" s="544">
        <f t="shared" si="0"/>
        <v>0</v>
      </c>
      <c r="H26" s="645"/>
      <c r="I26" s="862"/>
      <c r="J26" s="347"/>
      <c r="K26" s="349"/>
      <c r="L26" s="412"/>
      <c r="M26" s="111"/>
      <c r="N26" s="137">
        <f t="shared" si="1"/>
        <v>0</v>
      </c>
    </row>
    <row r="27" spans="2:14" ht="15.75" x14ac:dyDescent="0.25">
      <c r="B27" s="454"/>
      <c r="C27" s="246"/>
      <c r="D27" s="111"/>
      <c r="E27" s="412"/>
      <c r="F27" s="111"/>
      <c r="G27" s="544">
        <f t="shared" si="0"/>
        <v>0</v>
      </c>
      <c r="H27" s="645"/>
      <c r="I27" s="862"/>
      <c r="J27" s="347"/>
      <c r="K27" s="349"/>
      <c r="L27" s="412"/>
      <c r="M27" s="111"/>
      <c r="N27" s="137">
        <f t="shared" si="1"/>
        <v>0</v>
      </c>
    </row>
    <row r="28" spans="2:14" ht="15.75" x14ac:dyDescent="0.25">
      <c r="B28" s="454"/>
      <c r="C28" s="246"/>
      <c r="D28" s="111"/>
      <c r="E28" s="412"/>
      <c r="F28" s="111"/>
      <c r="G28" s="544">
        <f t="shared" si="0"/>
        <v>0</v>
      </c>
      <c r="H28" s="645"/>
      <c r="I28" s="862"/>
      <c r="J28" s="347"/>
      <c r="K28" s="349"/>
      <c r="L28" s="412"/>
      <c r="M28" s="111"/>
      <c r="N28" s="137">
        <f t="shared" si="1"/>
        <v>0</v>
      </c>
    </row>
    <row r="29" spans="2:14" ht="15.75" x14ac:dyDescent="0.25">
      <c r="B29" s="454"/>
      <c r="C29" s="246"/>
      <c r="D29" s="111"/>
      <c r="E29" s="412"/>
      <c r="F29" s="111"/>
      <c r="G29" s="544">
        <f t="shared" si="0"/>
        <v>0</v>
      </c>
      <c r="H29" s="645"/>
      <c r="I29" s="862"/>
      <c r="J29" s="347"/>
      <c r="K29" s="349"/>
      <c r="L29" s="412"/>
      <c r="M29" s="111"/>
      <c r="N29" s="137">
        <f t="shared" si="1"/>
        <v>0</v>
      </c>
    </row>
    <row r="30" spans="2:14" ht="15.75" x14ac:dyDescent="0.25">
      <c r="B30" s="454"/>
      <c r="C30" s="246"/>
      <c r="D30" s="111"/>
      <c r="E30" s="412"/>
      <c r="F30" s="111"/>
      <c r="G30" s="544">
        <f t="shared" si="0"/>
        <v>0</v>
      </c>
      <c r="H30" s="645"/>
      <c r="I30" s="862"/>
      <c r="J30" s="347"/>
      <c r="K30" s="349"/>
      <c r="L30" s="412"/>
      <c r="M30" s="111"/>
      <c r="N30" s="137">
        <f t="shared" si="1"/>
        <v>0</v>
      </c>
    </row>
    <row r="31" spans="2:14" ht="15.75" x14ac:dyDescent="0.25">
      <c r="B31" s="454"/>
      <c r="C31" s="246"/>
      <c r="D31" s="111"/>
      <c r="E31" s="412"/>
      <c r="F31" s="111"/>
      <c r="G31" s="544">
        <f t="shared" si="0"/>
        <v>0</v>
      </c>
      <c r="H31" s="2"/>
      <c r="I31" s="862"/>
      <c r="J31" s="347"/>
      <c r="K31" s="349"/>
      <c r="L31" s="412"/>
      <c r="M31" s="111"/>
      <c r="N31" s="137">
        <f t="shared" si="1"/>
        <v>0</v>
      </c>
    </row>
    <row r="32" spans="2:14" ht="15.75" x14ac:dyDescent="0.25">
      <c r="B32" s="454"/>
      <c r="C32" s="246"/>
      <c r="D32" s="111"/>
      <c r="E32" s="412"/>
      <c r="F32" s="111"/>
      <c r="G32" s="544">
        <f t="shared" si="0"/>
        <v>0</v>
      </c>
      <c r="H32" s="2"/>
      <c r="I32" s="862"/>
      <c r="J32" s="347"/>
      <c r="K32" s="349"/>
      <c r="L32" s="412"/>
      <c r="M32" s="111"/>
      <c r="N32" s="137">
        <f t="shared" si="1"/>
        <v>0</v>
      </c>
    </row>
    <row r="33" spans="2:14" ht="15.75" x14ac:dyDescent="0.25">
      <c r="B33" s="454"/>
      <c r="C33" s="246"/>
      <c r="D33" s="111"/>
      <c r="E33" s="412"/>
      <c r="F33" s="111"/>
      <c r="G33" s="544">
        <f t="shared" si="0"/>
        <v>0</v>
      </c>
      <c r="I33" s="393"/>
      <c r="J33" s="391"/>
      <c r="K33" s="392"/>
      <c r="L33" s="412"/>
      <c r="M33" s="111"/>
      <c r="N33" s="137">
        <f t="shared" si="1"/>
        <v>0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393"/>
      <c r="J34" s="391"/>
      <c r="K34" s="392"/>
      <c r="L34" s="412"/>
      <c r="M34" s="111"/>
      <c r="N34" s="137">
        <f t="shared" si="1"/>
        <v>0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393"/>
      <c r="J35" s="391"/>
      <c r="K35" s="392"/>
      <c r="L35" s="412"/>
      <c r="M35" s="111"/>
      <c r="N35" s="137">
        <f t="shared" si="1"/>
        <v>0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43"/>
      <c r="J36" s="1044"/>
      <c r="K36" s="1044"/>
      <c r="L36" s="1045"/>
      <c r="M36" s="111"/>
      <c r="N36" s="137">
        <f t="shared" si="1"/>
        <v>0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43"/>
      <c r="J37" s="1044"/>
      <c r="K37" s="1044"/>
      <c r="L37" s="1045"/>
      <c r="M37" s="111"/>
      <c r="N37" s="137">
        <f t="shared" si="1"/>
        <v>0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0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68" t="s">
        <v>594</v>
      </c>
      <c r="J40" s="969"/>
      <c r="K40" s="69"/>
      <c r="L40" s="253"/>
      <c r="M40" s="69"/>
      <c r="N40" s="137">
        <f t="shared" si="1"/>
        <v>0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70"/>
      <c r="J41" s="971"/>
      <c r="K41" s="69"/>
      <c r="L41" s="253"/>
      <c r="M41" s="69"/>
      <c r="N41" s="137">
        <f t="shared" si="1"/>
        <v>0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972"/>
      <c r="J42" s="973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0</v>
      </c>
      <c r="E67" s="407"/>
      <c r="F67" s="395">
        <f>SUM(F3:F66)</f>
        <v>0</v>
      </c>
      <c r="G67" s="153">
        <f>SUM(G3:G66)</f>
        <v>0</v>
      </c>
      <c r="I67" s="964" t="s">
        <v>594</v>
      </c>
      <c r="J67" s="965"/>
      <c r="K67" s="642">
        <f>SUM(K3:K66)</f>
        <v>0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26" t="s">
        <v>207</v>
      </c>
      <c r="I68" s="966"/>
      <c r="J68" s="967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27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864"/>
      <c r="C1" s="866" t="s">
        <v>208</v>
      </c>
      <c r="D1" s="867"/>
      <c r="E1" s="867"/>
      <c r="F1" s="867"/>
      <c r="G1" s="867"/>
      <c r="H1" s="867"/>
      <c r="I1" s="867"/>
      <c r="J1" s="867"/>
      <c r="K1" s="867"/>
      <c r="L1" s="867"/>
      <c r="M1" s="867"/>
    </row>
    <row r="2" spans="1:25" ht="16.5" thickBot="1" x14ac:dyDescent="0.3">
      <c r="B2" s="86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68" t="s">
        <v>0</v>
      </c>
      <c r="C3" s="869"/>
      <c r="D3" s="10"/>
      <c r="E3" s="11"/>
      <c r="F3" s="11"/>
      <c r="H3" s="870" t="s">
        <v>26</v>
      </c>
      <c r="I3" s="870"/>
      <c r="K3" s="165"/>
      <c r="L3" s="13"/>
      <c r="M3" s="14"/>
      <c r="P3" s="907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871" t="s">
        <v>2</v>
      </c>
      <c r="F4" s="872"/>
      <c r="H4" s="873" t="s">
        <v>3</v>
      </c>
      <c r="I4" s="874"/>
      <c r="J4" s="19"/>
      <c r="K4" s="166"/>
      <c r="L4" s="20"/>
      <c r="M4" s="21" t="s">
        <v>4</v>
      </c>
      <c r="N4" s="22" t="s">
        <v>5</v>
      </c>
      <c r="P4" s="908"/>
      <c r="Q4" s="286" t="s">
        <v>209</v>
      </c>
      <c r="W4" s="917" t="s">
        <v>124</v>
      </c>
      <c r="X4" s="917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917"/>
      <c r="X5" s="917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921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922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923"/>
      <c r="X21" s="923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924"/>
      <c r="X23" s="924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924"/>
      <c r="X24" s="924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925"/>
      <c r="X25" s="925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925"/>
      <c r="X26" s="925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918"/>
      <c r="X27" s="919"/>
      <c r="Y27" s="920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919"/>
      <c r="X28" s="919"/>
      <c r="Y28" s="920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909">
        <f>SUM(M5:M35)</f>
        <v>321168.83</v>
      </c>
      <c r="N36" s="911">
        <f>SUM(N5:N35)</f>
        <v>467016</v>
      </c>
      <c r="O36" s="276"/>
      <c r="P36" s="277">
        <v>0</v>
      </c>
      <c r="Q36" s="913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910"/>
      <c r="N37" s="912"/>
      <c r="O37" s="276"/>
      <c r="P37" s="277">
        <v>0</v>
      </c>
      <c r="Q37" s="914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86" t="s">
        <v>11</v>
      </c>
      <c r="I52" s="887"/>
      <c r="J52" s="100"/>
      <c r="K52" s="888">
        <f>I50+L50</f>
        <v>71911.59</v>
      </c>
      <c r="L52" s="915"/>
      <c r="M52" s="272"/>
      <c r="N52" s="272"/>
      <c r="P52" s="34"/>
      <c r="Q52" s="13"/>
    </row>
    <row r="53" spans="1:17" ht="16.5" thickBot="1" x14ac:dyDescent="0.3">
      <c r="D53" s="892" t="s">
        <v>12</v>
      </c>
      <c r="E53" s="892"/>
      <c r="F53" s="312">
        <f>F50-K52-C50</f>
        <v>-25952.549999999814</v>
      </c>
      <c r="I53" s="102"/>
      <c r="J53" s="103"/>
    </row>
    <row r="54" spans="1:17" ht="18.75" x14ac:dyDescent="0.3">
      <c r="D54" s="916" t="s">
        <v>95</v>
      </c>
      <c r="E54" s="916"/>
      <c r="F54" s="111">
        <v>-706888.38</v>
      </c>
      <c r="I54" s="893" t="s">
        <v>13</v>
      </c>
      <c r="J54" s="894"/>
      <c r="K54" s="895">
        <f>F56+F57+F58</f>
        <v>1308778.3500000003</v>
      </c>
      <c r="L54" s="895"/>
      <c r="M54" s="901" t="s">
        <v>211</v>
      </c>
      <c r="N54" s="902"/>
      <c r="O54" s="902"/>
      <c r="P54" s="902"/>
      <c r="Q54" s="903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904"/>
      <c r="N55" s="905"/>
      <c r="O55" s="905"/>
      <c r="P55" s="905"/>
      <c r="Q55" s="906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897">
        <f>-C4</f>
        <v>-567389.35</v>
      </c>
      <c r="L56" s="898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875" t="s">
        <v>18</v>
      </c>
      <c r="E58" s="876"/>
      <c r="F58" s="113">
        <v>2142307.62</v>
      </c>
      <c r="I58" s="877" t="s">
        <v>198</v>
      </c>
      <c r="J58" s="878"/>
      <c r="K58" s="879">
        <f>K54+K56</f>
        <v>741389.00000000035</v>
      </c>
      <c r="L58" s="87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926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927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64"/>
      <c r="C1" s="866" t="s">
        <v>208</v>
      </c>
      <c r="D1" s="867"/>
      <c r="E1" s="867"/>
      <c r="F1" s="867"/>
      <c r="G1" s="867"/>
      <c r="H1" s="867"/>
      <c r="I1" s="867"/>
      <c r="J1" s="867"/>
      <c r="K1" s="867"/>
      <c r="L1" s="867"/>
      <c r="M1" s="867"/>
    </row>
    <row r="2" spans="1:25" ht="16.5" thickBot="1" x14ac:dyDescent="0.3">
      <c r="B2" s="86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68" t="s">
        <v>0</v>
      </c>
      <c r="C3" s="869"/>
      <c r="D3" s="10"/>
      <c r="E3" s="11"/>
      <c r="F3" s="11"/>
      <c r="H3" s="870" t="s">
        <v>26</v>
      </c>
      <c r="I3" s="870"/>
      <c r="K3" s="165"/>
      <c r="L3" s="13"/>
      <c r="M3" s="14"/>
      <c r="P3" s="907" t="s">
        <v>6</v>
      </c>
      <c r="R3" s="928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871" t="s">
        <v>2</v>
      </c>
      <c r="F4" s="872"/>
      <c r="H4" s="873" t="s">
        <v>3</v>
      </c>
      <c r="I4" s="874"/>
      <c r="J4" s="19"/>
      <c r="K4" s="166"/>
      <c r="L4" s="20"/>
      <c r="M4" s="21" t="s">
        <v>4</v>
      </c>
      <c r="N4" s="22" t="s">
        <v>5</v>
      </c>
      <c r="P4" s="908"/>
      <c r="Q4" s="322" t="s">
        <v>217</v>
      </c>
      <c r="R4" s="929"/>
      <c r="W4" s="917" t="s">
        <v>124</v>
      </c>
      <c r="X4" s="917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917"/>
      <c r="X5" s="917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921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922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923"/>
      <c r="X21" s="923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924"/>
      <c r="X23" s="924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924"/>
      <c r="X24" s="924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925"/>
      <c r="X25" s="925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925"/>
      <c r="X26" s="925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918"/>
      <c r="X27" s="919"/>
      <c r="Y27" s="920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919"/>
      <c r="X28" s="919"/>
      <c r="Y28" s="920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909">
        <f>SUM(M5:M35)</f>
        <v>1077791.3</v>
      </c>
      <c r="N36" s="911">
        <f>SUM(N5:N35)</f>
        <v>936398</v>
      </c>
      <c r="O36" s="276"/>
      <c r="P36" s="277">
        <v>0</v>
      </c>
      <c r="Q36" s="913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910"/>
      <c r="N37" s="912"/>
      <c r="O37" s="276"/>
      <c r="P37" s="277">
        <v>0</v>
      </c>
      <c r="Q37" s="914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86" t="s">
        <v>11</v>
      </c>
      <c r="I52" s="887"/>
      <c r="J52" s="100"/>
      <c r="K52" s="888">
        <f>I50+L50</f>
        <v>90750.75</v>
      </c>
      <c r="L52" s="915"/>
      <c r="M52" s="272"/>
      <c r="N52" s="272"/>
      <c r="P52" s="34"/>
      <c r="Q52" s="13"/>
    </row>
    <row r="53" spans="1:17" ht="16.5" thickBot="1" x14ac:dyDescent="0.3">
      <c r="D53" s="892" t="s">
        <v>12</v>
      </c>
      <c r="E53" s="892"/>
      <c r="F53" s="312">
        <f>F50-K52-C50</f>
        <v>1739855.03</v>
      </c>
      <c r="I53" s="102"/>
      <c r="J53" s="103"/>
    </row>
    <row r="54" spans="1:17" ht="18.75" x14ac:dyDescent="0.3">
      <c r="D54" s="916" t="s">
        <v>95</v>
      </c>
      <c r="E54" s="916"/>
      <c r="F54" s="111">
        <v>-1567070.66</v>
      </c>
      <c r="I54" s="893" t="s">
        <v>13</v>
      </c>
      <c r="J54" s="894"/>
      <c r="K54" s="895">
        <f>F56+F57+F58</f>
        <v>703192.8600000001</v>
      </c>
      <c r="L54" s="895"/>
      <c r="M54" s="901" t="s">
        <v>211</v>
      </c>
      <c r="N54" s="902"/>
      <c r="O54" s="902"/>
      <c r="P54" s="902"/>
      <c r="Q54" s="903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904"/>
      <c r="N55" s="905"/>
      <c r="O55" s="905"/>
      <c r="P55" s="905"/>
      <c r="Q55" s="906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897">
        <f>-C4</f>
        <v>-567389.35</v>
      </c>
      <c r="L56" s="898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875" t="s">
        <v>18</v>
      </c>
      <c r="E58" s="876"/>
      <c r="F58" s="113">
        <v>754143.23</v>
      </c>
      <c r="I58" s="877" t="s">
        <v>198</v>
      </c>
      <c r="J58" s="878"/>
      <c r="K58" s="879">
        <f>K54+K56</f>
        <v>135803.51000000013</v>
      </c>
      <c r="L58" s="87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926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927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64"/>
      <c r="C1" s="930" t="s">
        <v>316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25" ht="16.5" thickBot="1" x14ac:dyDescent="0.3">
      <c r="B2" s="86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68" t="s">
        <v>0</v>
      </c>
      <c r="C3" s="869"/>
      <c r="D3" s="10"/>
      <c r="E3" s="11"/>
      <c r="F3" s="11"/>
      <c r="H3" s="870" t="s">
        <v>26</v>
      </c>
      <c r="I3" s="870"/>
      <c r="K3" s="165"/>
      <c r="L3" s="13"/>
      <c r="M3" s="14"/>
      <c r="P3" s="907" t="s">
        <v>6</v>
      </c>
      <c r="R3" s="928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871" t="s">
        <v>2</v>
      </c>
      <c r="F4" s="872"/>
      <c r="H4" s="873" t="s">
        <v>3</v>
      </c>
      <c r="I4" s="874"/>
      <c r="J4" s="19"/>
      <c r="K4" s="166"/>
      <c r="L4" s="20"/>
      <c r="M4" s="21" t="s">
        <v>4</v>
      </c>
      <c r="N4" s="22" t="s">
        <v>5</v>
      </c>
      <c r="P4" s="908"/>
      <c r="Q4" s="322" t="s">
        <v>217</v>
      </c>
      <c r="R4" s="929"/>
      <c r="W4" s="917" t="s">
        <v>124</v>
      </c>
      <c r="X4" s="917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917"/>
      <c r="X5" s="917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921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922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923"/>
      <c r="X21" s="923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924"/>
      <c r="X23" s="924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924"/>
      <c r="X24" s="924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925"/>
      <c r="X25" s="925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925"/>
      <c r="X26" s="925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918"/>
      <c r="X27" s="919"/>
      <c r="Y27" s="920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919"/>
      <c r="X28" s="919"/>
      <c r="Y28" s="920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909">
        <f>SUM(M5:M35)</f>
        <v>1818445.73</v>
      </c>
      <c r="N36" s="911">
        <f>SUM(N5:N35)</f>
        <v>739014</v>
      </c>
      <c r="O36" s="276"/>
      <c r="P36" s="277">
        <v>0</v>
      </c>
      <c r="Q36" s="913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910"/>
      <c r="N37" s="912"/>
      <c r="O37" s="276"/>
      <c r="P37" s="277">
        <v>0</v>
      </c>
      <c r="Q37" s="914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86" t="s">
        <v>11</v>
      </c>
      <c r="I52" s="887"/>
      <c r="J52" s="100"/>
      <c r="K52" s="888">
        <f>I50+L50</f>
        <v>158798.12</v>
      </c>
      <c r="L52" s="915"/>
      <c r="M52" s="272"/>
      <c r="N52" s="272"/>
      <c r="P52" s="34"/>
      <c r="Q52" s="13"/>
    </row>
    <row r="53" spans="1:17" x14ac:dyDescent="0.25">
      <c r="D53" s="892" t="s">
        <v>12</v>
      </c>
      <c r="E53" s="892"/>
      <c r="F53" s="312">
        <f>F50-K52-C50</f>
        <v>2078470.75</v>
      </c>
      <c r="I53" s="102"/>
      <c r="J53" s="103"/>
    </row>
    <row r="54" spans="1:17" ht="18.75" x14ac:dyDescent="0.3">
      <c r="D54" s="916" t="s">
        <v>95</v>
      </c>
      <c r="E54" s="916"/>
      <c r="F54" s="111">
        <v>-1448401.2</v>
      </c>
      <c r="I54" s="893" t="s">
        <v>13</v>
      </c>
      <c r="J54" s="894"/>
      <c r="K54" s="895">
        <f>F56+F57+F58</f>
        <v>1025960.7</v>
      </c>
      <c r="L54" s="89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897">
        <f>-C4</f>
        <v>-754143.23</v>
      </c>
      <c r="L56" s="898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875" t="s">
        <v>18</v>
      </c>
      <c r="E58" s="876"/>
      <c r="F58" s="113">
        <v>1149740.4099999999</v>
      </c>
      <c r="I58" s="877" t="s">
        <v>198</v>
      </c>
      <c r="J58" s="878"/>
      <c r="K58" s="879">
        <f>K54+K56</f>
        <v>271817.46999999997</v>
      </c>
      <c r="L58" s="87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932" t="s">
        <v>413</v>
      </c>
      <c r="C43" s="933"/>
      <c r="D43" s="933"/>
      <c r="E43" s="934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935"/>
      <c r="C44" s="936"/>
      <c r="D44" s="936"/>
      <c r="E44" s="937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938"/>
      <c r="C45" s="939"/>
      <c r="D45" s="939"/>
      <c r="E45" s="940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947" t="s">
        <v>593</v>
      </c>
      <c r="C47" s="948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949"/>
      <c r="C48" s="950"/>
      <c r="D48" s="253"/>
      <c r="E48" s="69"/>
      <c r="F48" s="137">
        <f t="shared" si="2"/>
        <v>0</v>
      </c>
      <c r="I48" s="348"/>
      <c r="J48" s="941" t="s">
        <v>414</v>
      </c>
      <c r="K48" s="942"/>
      <c r="L48" s="943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944"/>
      <c r="K49" s="945"/>
      <c r="L49" s="94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951" t="s">
        <v>594</v>
      </c>
      <c r="J50" s="952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951"/>
      <c r="J51" s="952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951"/>
      <c r="J52" s="952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951"/>
      <c r="J53" s="952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951"/>
      <c r="J54" s="952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951"/>
      <c r="J55" s="952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951"/>
      <c r="J56" s="952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951"/>
      <c r="J57" s="952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951"/>
      <c r="J58" s="952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951"/>
      <c r="J59" s="952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951"/>
      <c r="J60" s="952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951"/>
      <c r="J61" s="952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951"/>
      <c r="J62" s="952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951"/>
      <c r="J63" s="952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951"/>
      <c r="J64" s="952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951"/>
      <c r="J65" s="952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951"/>
      <c r="J66" s="952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951"/>
      <c r="J67" s="952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951"/>
      <c r="J68" s="952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951"/>
      <c r="J69" s="952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951"/>
      <c r="J70" s="952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951"/>
      <c r="J71" s="952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951"/>
      <c r="J72" s="952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951"/>
      <c r="J73" s="952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951"/>
      <c r="J74" s="952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951"/>
      <c r="J75" s="952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951"/>
      <c r="J76" s="952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951"/>
      <c r="J77" s="952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953"/>
      <c r="J78" s="954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926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927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64"/>
      <c r="C1" s="930" t="s">
        <v>646</v>
      </c>
      <c r="D1" s="931"/>
      <c r="E1" s="931"/>
      <c r="F1" s="931"/>
      <c r="G1" s="931"/>
      <c r="H1" s="931"/>
      <c r="I1" s="931"/>
      <c r="J1" s="931"/>
      <c r="K1" s="931"/>
      <c r="L1" s="931"/>
      <c r="M1" s="931"/>
    </row>
    <row r="2" spans="1:25" ht="16.5" thickBot="1" x14ac:dyDescent="0.3">
      <c r="B2" s="86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68" t="s">
        <v>0</v>
      </c>
      <c r="C3" s="869"/>
      <c r="D3" s="10"/>
      <c r="E3" s="11"/>
      <c r="F3" s="11"/>
      <c r="H3" s="870" t="s">
        <v>26</v>
      </c>
      <c r="I3" s="870"/>
      <c r="K3" s="165"/>
      <c r="L3" s="13"/>
      <c r="M3" s="14"/>
      <c r="P3" s="907" t="s">
        <v>6</v>
      </c>
      <c r="R3" s="928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871" t="s">
        <v>2</v>
      </c>
      <c r="F4" s="872"/>
      <c r="H4" s="873" t="s">
        <v>3</v>
      </c>
      <c r="I4" s="874"/>
      <c r="J4" s="19"/>
      <c r="K4" s="166"/>
      <c r="L4" s="20"/>
      <c r="M4" s="21" t="s">
        <v>4</v>
      </c>
      <c r="N4" s="22" t="s">
        <v>5</v>
      </c>
      <c r="P4" s="908"/>
      <c r="Q4" s="322" t="s">
        <v>217</v>
      </c>
      <c r="R4" s="929"/>
      <c r="W4" s="917" t="s">
        <v>124</v>
      </c>
      <c r="X4" s="917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917"/>
      <c r="X5" s="917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921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922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923"/>
      <c r="X21" s="923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924"/>
      <c r="X23" s="924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924"/>
      <c r="X24" s="924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925"/>
      <c r="X25" s="925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925"/>
      <c r="X26" s="925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918"/>
      <c r="X27" s="919"/>
      <c r="Y27" s="920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919"/>
      <c r="X28" s="919"/>
      <c r="Y28" s="920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909">
        <f>SUM(M5:M35)</f>
        <v>2143864.4900000002</v>
      </c>
      <c r="N36" s="911">
        <f>SUM(N5:N35)</f>
        <v>791108</v>
      </c>
      <c r="O36" s="276"/>
      <c r="P36" s="277">
        <v>0</v>
      </c>
      <c r="Q36" s="955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910"/>
      <c r="N37" s="912"/>
      <c r="O37" s="276"/>
      <c r="P37" s="277">
        <v>0</v>
      </c>
      <c r="Q37" s="956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957">
        <f>M36+N36</f>
        <v>2934972.49</v>
      </c>
      <c r="N39" s="958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86" t="s">
        <v>11</v>
      </c>
      <c r="I52" s="887"/>
      <c r="J52" s="100"/>
      <c r="K52" s="888">
        <f>I50+L50</f>
        <v>197471.8</v>
      </c>
      <c r="L52" s="915"/>
      <c r="M52" s="272"/>
      <c r="N52" s="272"/>
      <c r="P52" s="34"/>
      <c r="Q52" s="13"/>
    </row>
    <row r="53" spans="1:17" x14ac:dyDescent="0.25">
      <c r="D53" s="892" t="s">
        <v>12</v>
      </c>
      <c r="E53" s="892"/>
      <c r="F53" s="312">
        <f>F50-K52-C50</f>
        <v>2057786.11</v>
      </c>
      <c r="I53" s="102"/>
      <c r="J53" s="103"/>
    </row>
    <row r="54" spans="1:17" ht="18.75" x14ac:dyDescent="0.3">
      <c r="D54" s="916" t="s">
        <v>95</v>
      </c>
      <c r="E54" s="916"/>
      <c r="F54" s="111">
        <v>-1702928.14</v>
      </c>
      <c r="I54" s="893" t="s">
        <v>13</v>
      </c>
      <c r="J54" s="894"/>
      <c r="K54" s="895">
        <f>F56+F57+F58</f>
        <v>1147965.3400000003</v>
      </c>
      <c r="L54" s="89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897">
        <f>-C4</f>
        <v>-1149740.4099999999</v>
      </c>
      <c r="L56" s="898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875" t="s">
        <v>18</v>
      </c>
      <c r="E58" s="876"/>
      <c r="F58" s="113">
        <v>1266568.45</v>
      </c>
      <c r="I58" s="877" t="s">
        <v>97</v>
      </c>
      <c r="J58" s="878"/>
      <c r="K58" s="879">
        <f>K54+K56</f>
        <v>-1775.0699999995995</v>
      </c>
      <c r="L58" s="87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   N O V I E M B R E   2 0 2 2 </vt:lpstr>
      <vt:lpstr>COMPRAS  NOVIEMBRE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2022-11-25T20:41:53Z</cp:lastPrinted>
  <dcterms:created xsi:type="dcterms:W3CDTF">2021-11-04T19:08:42Z</dcterms:created>
  <dcterms:modified xsi:type="dcterms:W3CDTF">2022-11-26T21:55:03Z</dcterms:modified>
</cp:coreProperties>
</file>