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# 07  JULIO  2021\"/>
    </mc:Choice>
  </mc:AlternateContent>
  <xr:revisionPtr revIDLastSave="0" documentId="13_ncr:1_{1FFE6EAD-B364-4243-BFE2-76C3398027A3}" xr6:coauthVersionLast="47" xr6:coauthVersionMax="47" xr10:uidLastSave="{00000000-0000-0000-0000-000000000000}"/>
  <bookViews>
    <workbookView xWindow="10380" yWindow="1095" windowWidth="18060" windowHeight="13620" firstSheet="3" activeTab="7" xr2:uid="{0CACD4EA-070B-42E2-A3F1-3C8021E6463C}"/>
  </bookViews>
  <sheets>
    <sheet name="Hoja1" sheetId="8" r:id="rId1"/>
    <sheet name="COMPRAS     JULIO   2021    " sheetId="1" r:id="rId2"/>
    <sheet name="Hoja2" sheetId="9" r:id="rId3"/>
    <sheet name="BANCOS N L P " sheetId="5" r:id="rId4"/>
    <sheet name="ALMACEN     2021   " sheetId="10" r:id="rId5"/>
    <sheet name="BANCOS ODELPA " sheetId="4" r:id="rId6"/>
    <sheet name="OBRADOR  JULIO  2021  " sheetId="11" r:id="rId7"/>
    <sheet name="CONCENTRADO   COMPRAS &amp; BANCOS " sheetId="6" r:id="rId8"/>
    <sheet name="Hoja5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1" l="1"/>
  <c r="Z24" i="10"/>
  <c r="B56" i="5"/>
  <c r="C66" i="5"/>
  <c r="G17" i="5"/>
  <c r="E30" i="5"/>
  <c r="A80" i="4"/>
  <c r="C13" i="6"/>
  <c r="G58" i="4"/>
  <c r="E69" i="4"/>
  <c r="C31" i="4"/>
  <c r="A72" i="4"/>
  <c r="C9" i="4"/>
  <c r="A65" i="4"/>
  <c r="E36" i="5"/>
  <c r="E33" i="5"/>
  <c r="E27" i="5"/>
  <c r="E9" i="5"/>
  <c r="E6" i="5"/>
  <c r="E15" i="6"/>
  <c r="C17" i="6" l="1"/>
  <c r="E17" i="6"/>
  <c r="E24" i="5"/>
  <c r="E21" i="5"/>
  <c r="E18" i="5"/>
  <c r="E15" i="5"/>
  <c r="E12" i="5"/>
  <c r="U68" i="1" l="1"/>
  <c r="Y68" i="1" s="1"/>
  <c r="Z68" i="1" s="1"/>
  <c r="H68" i="1"/>
  <c r="X67" i="1"/>
  <c r="T67" i="1"/>
  <c r="Y67" i="1" s="1"/>
  <c r="Z67" i="1" s="1"/>
  <c r="H67" i="1"/>
  <c r="X66" i="1"/>
  <c r="T66" i="1" s="1"/>
  <c r="Y66" i="1" s="1"/>
  <c r="Z66" i="1" s="1"/>
  <c r="H66" i="1"/>
  <c r="U65" i="1"/>
  <c r="S65" i="1"/>
  <c r="Y65" i="1" s="1"/>
  <c r="Z65" i="1" s="1"/>
  <c r="R65" i="1"/>
  <c r="X65" i="1" s="1"/>
  <c r="T65" i="1" s="1"/>
  <c r="H65" i="1"/>
  <c r="Y64" i="1"/>
  <c r="Z64" i="1" s="1"/>
  <c r="X64" i="1"/>
  <c r="T64" i="1"/>
  <c r="H64" i="1"/>
  <c r="Z63" i="1"/>
  <c r="Y63" i="1"/>
  <c r="X63" i="1"/>
  <c r="H63" i="1"/>
  <c r="X62" i="1"/>
  <c r="T62" i="1"/>
  <c r="Y62" i="1" s="1"/>
  <c r="Z62" i="1" s="1"/>
  <c r="H62" i="1"/>
  <c r="U61" i="1"/>
  <c r="S61" i="1"/>
  <c r="R61" i="1"/>
  <c r="X61" i="1" s="1"/>
  <c r="T61" i="1" s="1"/>
  <c r="H61" i="1"/>
  <c r="X60" i="1"/>
  <c r="T60" i="1"/>
  <c r="Y60" i="1" s="1"/>
  <c r="Z60" i="1" s="1"/>
  <c r="H60" i="1"/>
  <c r="X59" i="1"/>
  <c r="T59" i="1" s="1"/>
  <c r="Y59" i="1" s="1"/>
  <c r="Z59" i="1" s="1"/>
  <c r="H59" i="1"/>
  <c r="Y58" i="1"/>
  <c r="Z58" i="1" s="1"/>
  <c r="X58" i="1"/>
  <c r="H58" i="1"/>
  <c r="U57" i="1"/>
  <c r="S57" i="1"/>
  <c r="Y57" i="1" s="1"/>
  <c r="Z57" i="1" s="1"/>
  <c r="R57" i="1"/>
  <c r="X57" i="1" s="1"/>
  <c r="T57" i="1" s="1"/>
  <c r="H57" i="1"/>
  <c r="Y54" i="1"/>
  <c r="Z54" i="1" s="1"/>
  <c r="X54" i="1"/>
  <c r="U54" i="1"/>
  <c r="H54" i="1"/>
  <c r="X53" i="1"/>
  <c r="T53" i="1"/>
  <c r="Y53" i="1" s="1"/>
  <c r="Z53" i="1" s="1"/>
  <c r="H53" i="1"/>
  <c r="X52" i="1"/>
  <c r="T52" i="1"/>
  <c r="Y52" i="1" s="1"/>
  <c r="Z52" i="1" s="1"/>
  <c r="H52" i="1"/>
  <c r="U51" i="1"/>
  <c r="S51" i="1"/>
  <c r="R51" i="1"/>
  <c r="H51" i="1"/>
  <c r="X50" i="1"/>
  <c r="T50" i="1" s="1"/>
  <c r="Y50" i="1" s="1"/>
  <c r="Z50" i="1" s="1"/>
  <c r="H50" i="1"/>
  <c r="Y49" i="1"/>
  <c r="Z49" i="1" s="1"/>
  <c r="X49" i="1"/>
  <c r="H49" i="1"/>
  <c r="X48" i="1"/>
  <c r="T48" i="1" s="1"/>
  <c r="Y48" i="1" s="1"/>
  <c r="Z48" i="1" s="1"/>
  <c r="H48" i="1"/>
  <c r="U47" i="1"/>
  <c r="S47" i="1"/>
  <c r="Y47" i="1" s="1"/>
  <c r="Z47" i="1" s="1"/>
  <c r="R47" i="1"/>
  <c r="X47" i="1" s="1"/>
  <c r="T47" i="1" s="1"/>
  <c r="H47" i="1"/>
  <c r="Z46" i="1"/>
  <c r="X46" i="1"/>
  <c r="T46" i="1"/>
  <c r="Y46" i="1" s="1"/>
  <c r="H46" i="1"/>
  <c r="X45" i="1"/>
  <c r="T45" i="1"/>
  <c r="Y45" i="1" s="1"/>
  <c r="Z45" i="1" s="1"/>
  <c r="H45" i="1"/>
  <c r="Y44" i="1"/>
  <c r="Z44" i="1" s="1"/>
  <c r="X44" i="1"/>
  <c r="H44" i="1"/>
  <c r="U43" i="1"/>
  <c r="S43" i="1"/>
  <c r="R43" i="1"/>
  <c r="X43" i="1" s="1"/>
  <c r="T43" i="1" s="1"/>
  <c r="H43" i="1"/>
  <c r="Y40" i="1"/>
  <c r="Z40" i="1" s="1"/>
  <c r="X40" i="1"/>
  <c r="U40" i="1"/>
  <c r="H40" i="1"/>
  <c r="P39" i="1"/>
  <c r="X39" i="1" s="1"/>
  <c r="T39" i="1" s="1"/>
  <c r="Y39" i="1" s="1"/>
  <c r="Z39" i="1" s="1"/>
  <c r="H39" i="1"/>
  <c r="X38" i="1"/>
  <c r="T38" i="1"/>
  <c r="P38" i="1"/>
  <c r="Y38" i="1" s="1"/>
  <c r="Z38" i="1" s="1"/>
  <c r="H38" i="1"/>
  <c r="AB37" i="1"/>
  <c r="U37" i="1"/>
  <c r="S37" i="1"/>
  <c r="R37" i="1"/>
  <c r="X37" i="1" s="1"/>
  <c r="T37" i="1" s="1"/>
  <c r="H37" i="1"/>
  <c r="P36" i="1"/>
  <c r="H36" i="1"/>
  <c r="Y35" i="1"/>
  <c r="Z35" i="1" s="1"/>
  <c r="X35" i="1"/>
  <c r="H35" i="1"/>
  <c r="X34" i="1"/>
  <c r="T34" i="1" s="1"/>
  <c r="Y34" i="1" s="1"/>
  <c r="Z34" i="1" s="1"/>
  <c r="P34" i="1"/>
  <c r="F34" i="1"/>
  <c r="H34" i="1" s="1"/>
  <c r="U33" i="1"/>
  <c r="S33" i="1"/>
  <c r="R33" i="1"/>
  <c r="X33" i="1" s="1"/>
  <c r="T33" i="1" s="1"/>
  <c r="H33" i="1"/>
  <c r="X32" i="1"/>
  <c r="T32" i="1"/>
  <c r="P32" i="1"/>
  <c r="Y32" i="1" s="1"/>
  <c r="Z32" i="1" s="1"/>
  <c r="F32" i="1"/>
  <c r="H32" i="1" s="1"/>
  <c r="P31" i="1"/>
  <c r="H31" i="1"/>
  <c r="F31" i="1"/>
  <c r="Y30" i="1"/>
  <c r="Z30" i="1" s="1"/>
  <c r="X30" i="1"/>
  <c r="H30" i="1"/>
  <c r="U29" i="1"/>
  <c r="S29" i="1"/>
  <c r="Y29" i="1" s="1"/>
  <c r="Z29" i="1" s="1"/>
  <c r="R29" i="1"/>
  <c r="X29" i="1" s="1"/>
  <c r="T29" i="1" s="1"/>
  <c r="H29" i="1"/>
  <c r="S26" i="1"/>
  <c r="F26" i="1"/>
  <c r="E26" i="1"/>
  <c r="Z25" i="1"/>
  <c r="Y25" i="1"/>
  <c r="X25" i="1"/>
  <c r="H25" i="1"/>
  <c r="X24" i="1"/>
  <c r="T24" i="1"/>
  <c r="Y24" i="1" s="1"/>
  <c r="Z24" i="1" s="1"/>
  <c r="F24" i="1"/>
  <c r="H24" i="1" s="1"/>
  <c r="AB23" i="1"/>
  <c r="P23" i="1"/>
  <c r="F23" i="1"/>
  <c r="H23" i="1" s="1"/>
  <c r="Y22" i="1"/>
  <c r="Z22" i="1" s="1"/>
  <c r="P22" i="1"/>
  <c r="X22" i="1" s="1"/>
  <c r="T22" i="1" s="1"/>
  <c r="H22" i="1"/>
  <c r="F22" i="1"/>
  <c r="Y21" i="1"/>
  <c r="Z21" i="1" s="1"/>
  <c r="X21" i="1"/>
  <c r="H21" i="1"/>
  <c r="X20" i="1"/>
  <c r="T20" i="1" s="1"/>
  <c r="U20" i="1"/>
  <c r="S20" i="1"/>
  <c r="R20" i="1"/>
  <c r="H20" i="1"/>
  <c r="X19" i="1"/>
  <c r="P19" i="1"/>
  <c r="F19" i="1"/>
  <c r="H19" i="1" s="1"/>
  <c r="X18" i="1"/>
  <c r="T18" i="1"/>
  <c r="P18" i="1"/>
  <c r="F18" i="1"/>
  <c r="H18" i="1" s="1"/>
  <c r="U17" i="1"/>
  <c r="S17" i="1"/>
  <c r="R17" i="1"/>
  <c r="H17" i="1"/>
  <c r="Z16" i="1"/>
  <c r="Y16" i="1"/>
  <c r="X16" i="1"/>
  <c r="H16" i="1"/>
  <c r="Z15" i="1"/>
  <c r="Y15" i="1"/>
  <c r="X15" i="1"/>
  <c r="H15" i="1"/>
  <c r="Z14" i="1"/>
  <c r="Y14" i="1"/>
  <c r="X14" i="1"/>
  <c r="H14" i="1"/>
  <c r="U13" i="1"/>
  <c r="S13" i="1"/>
  <c r="R13" i="1"/>
  <c r="H13" i="1"/>
  <c r="Z11" i="1"/>
  <c r="Y11" i="1"/>
  <c r="X11" i="1"/>
  <c r="H11" i="1"/>
  <c r="P10" i="1"/>
  <c r="F10" i="1"/>
  <c r="H10" i="1" s="1"/>
  <c r="P9" i="1"/>
  <c r="X9" i="1" s="1"/>
  <c r="T9" i="1" s="1"/>
  <c r="Y9" i="1" s="1"/>
  <c r="Z9" i="1" s="1"/>
  <c r="H9" i="1"/>
  <c r="F9" i="1"/>
  <c r="R8" i="1"/>
  <c r="F8" i="1"/>
  <c r="H8" i="1" s="1"/>
  <c r="E8" i="1"/>
  <c r="U8" i="1" s="1"/>
  <c r="P7" i="1"/>
  <c r="F7" i="1"/>
  <c r="H7" i="1" s="1"/>
  <c r="P6" i="1"/>
  <c r="X6" i="1" s="1"/>
  <c r="T6" i="1" s="1"/>
  <c r="Y6" i="1" s="1"/>
  <c r="Z6" i="1" s="1"/>
  <c r="H6" i="1"/>
  <c r="F6" i="1"/>
  <c r="Y5" i="1"/>
  <c r="Z5" i="1" s="1"/>
  <c r="X5" i="1"/>
  <c r="H5" i="1"/>
  <c r="U4" i="1"/>
  <c r="S4" i="1"/>
  <c r="R4" i="1"/>
  <c r="H4" i="1"/>
  <c r="X3" i="1"/>
  <c r="P3" i="1"/>
  <c r="F3" i="1"/>
  <c r="H3" i="1" s="1"/>
  <c r="X7" i="1" l="1"/>
  <c r="T7" i="1" s="1"/>
  <c r="Y7" i="1" s="1"/>
  <c r="Z7" i="1" s="1"/>
  <c r="Y8" i="1"/>
  <c r="Z8" i="1" s="1"/>
  <c r="X8" i="1"/>
  <c r="T8" i="1" s="1"/>
  <c r="Y20" i="1"/>
  <c r="Z20" i="1" s="1"/>
  <c r="X23" i="1"/>
  <c r="T23" i="1" s="1"/>
  <c r="Y23" i="1" s="1"/>
  <c r="Z23" i="1" s="1"/>
  <c r="X31" i="1"/>
  <c r="T31" i="1" s="1"/>
  <c r="Y31" i="1" s="1"/>
  <c r="Z31" i="1" s="1"/>
  <c r="T3" i="1"/>
  <c r="Y3" i="1" s="1"/>
  <c r="Z3" i="1" s="1"/>
  <c r="Y18" i="1"/>
  <c r="Z18" i="1" s="1"/>
  <c r="X36" i="1"/>
  <c r="T36" i="1" s="1"/>
  <c r="Y36" i="1" s="1"/>
  <c r="Z36" i="1" s="1"/>
  <c r="Y37" i="1"/>
  <c r="Z37" i="1" s="1"/>
  <c r="X4" i="1"/>
  <c r="T4" i="1" s="1"/>
  <c r="Y4" i="1" s="1"/>
  <c r="Z4" i="1" s="1"/>
  <c r="X10" i="1"/>
  <c r="T10" i="1" s="1"/>
  <c r="Y10" i="1" s="1"/>
  <c r="Z10" i="1" s="1"/>
  <c r="T19" i="1"/>
  <c r="Y19" i="1" s="1"/>
  <c r="Z19" i="1" s="1"/>
  <c r="R26" i="1"/>
  <c r="X26" i="1" s="1"/>
  <c r="T26" i="1" s="1"/>
  <c r="U26" i="1"/>
  <c r="Y43" i="1"/>
  <c r="Z43" i="1" s="1"/>
  <c r="X13" i="1"/>
  <c r="T13" i="1" s="1"/>
  <c r="Y13" i="1" s="1"/>
  <c r="Z13" i="1" s="1"/>
  <c r="X17" i="1"/>
  <c r="T17" i="1" s="1"/>
  <c r="Y17" i="1" s="1"/>
  <c r="Z17" i="1" s="1"/>
  <c r="H26" i="1"/>
  <c r="Y33" i="1"/>
  <c r="Z33" i="1" s="1"/>
  <c r="Y61" i="1"/>
  <c r="Z61" i="1" s="1"/>
  <c r="X68" i="1"/>
  <c r="X51" i="1"/>
  <c r="T51" i="1" s="1"/>
  <c r="Y51" i="1" s="1"/>
  <c r="Z51" i="1" s="1"/>
  <c r="S8" i="1"/>
  <c r="Y26" i="1" l="1"/>
  <c r="Z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4" authorId="0" shapeId="0" xr:uid="{18438BEB-4A06-4096-92D5-1BF752A2FA1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 xr:uid="{CDC01EC1-54A0-46F4-BCD5-9E86B50A4D9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 xr:uid="{703E8BFC-DE8E-4FDA-84E8-E0F773D53CF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 xr:uid="{1EF930BD-86DA-48FF-8BAB-19803892666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 xr:uid="{A3D5BE17-3E43-49E2-8AE4-BA07D90F808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 xr:uid="{D4E0E0E0-CA10-4B93-8487-4B2BD4D31EA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 xr:uid="{6B311F17-2E66-450B-B647-DF68DE1B210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 xr:uid="{581EA7ED-8945-4855-A2DA-55B71778363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 xr:uid="{F44575AB-F3E2-406C-88E1-BCEEF0F13B7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0148FB30-477B-4391-ABB3-083392F68B6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 xr:uid="{5BCFA16F-8ABC-4EE9-8898-EB578436AC5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 xr:uid="{C4106984-BD1A-46FD-B081-AA7ACB4668F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26C674F6-7E74-45F6-AF0C-39497AC4895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B689EC6B-650D-4B23-92E3-89BF0B2AF0E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FD1A706A-AE20-4FBB-83A3-74BC7B5AEA9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126D31B8-1A08-4489-A993-FDBA41342A0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8CD50206-0AB8-4EC7-A51C-BBAE03E0A36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DD10BBA8-7FBA-4944-9344-86E4B0F5056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 xr:uid="{9E075E0E-C3CD-458B-B0C8-F1E492809B5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 xr:uid="{12B59B94-929E-4F60-AE98-2041ED029B0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 xr:uid="{60A456F8-D56E-4EDA-96FC-1B1B3913A49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 xr:uid="{11E5F8C3-CADD-4180-BF64-59F7F4481A0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 xr:uid="{5F8E80AD-A123-46BB-8A57-18C4A3C44D1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 xr:uid="{E6BFF848-1646-495F-9B82-F62DE08D436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1E709FD0-8D59-401E-AAB5-0C45A650A6B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AA35C847-16BB-46F1-B5A9-82D19399B6A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4BC46C1D-6962-424F-9BF7-2F7AD373A20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6F9A435C-8B28-4134-90CB-6579DE039C5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521D56B5-1D4E-47C7-8215-267013E8569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A984ACB0-230C-474D-B551-3DBD81B456E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 xr:uid="{CDB57C32-BFFB-48D9-BB31-64AC4809908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 xr:uid="{60F8AF3E-C97C-4B29-840D-026D852111F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B522E7B8-A9DB-4AEB-B157-2EE13B9E4B3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 xr:uid="{4C0F3F61-FA78-408C-8BC3-0E12FF5A353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7C294B8F-FB5A-4CFC-99BF-8493F67A643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BD032344-AABA-4D55-A1CD-9338C4AFE15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CEF144E4-19FE-488F-A41D-C20400B77E2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887B8AA6-9F7E-4725-9A71-609008D6ED9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9AAE6E05-FBFB-4FDE-8350-C728BEF64D2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57DE3F34-82ED-43F1-86DF-971E5726032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B20D9BE9-9EDB-4F95-BB51-0AA7DB58C02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F37108CC-9640-439C-9851-53AD9FB0474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O30" authorId="0" shapeId="0" xr:uid="{32960E11-29A7-4384-99A1-70EED097895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3" authorId="0" shapeId="0" xr:uid="{86AB40F6-5341-4351-982A-3B3D59141FB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89FF62AB-DD0B-4437-B3D2-17EF9B95146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C12B3D18-4DB3-4E84-9844-7F131FC817B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3665F551-0E0D-40D3-AFC0-0D84033D40F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D2AC47B8-5918-40AC-ABC8-6B82E6BAAFB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CA5CFC56-C938-423E-A5D5-7EC9C541EFE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 xr:uid="{BC88691E-80A1-4AD2-8CDD-38B8E3AB778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 xr:uid="{71D63B76-FE45-45F4-8B10-F6AB497E5AF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 xr:uid="{48B400E8-CD85-40F7-9C31-8246E9C409C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 xr:uid="{9B15933B-2903-4AFF-80E7-41569142540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5" authorId="1" shapeId="0" xr:uid="{CB4C5FE7-2358-4A86-8EE1-2E3D2B90052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A124C8EA-69F3-4AFC-8672-FEC39060D0A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959E4F60-E3CD-48B8-8936-27E8DE6A1CE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85CDE0B9-ADCE-4548-98A2-A51563D4FDB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A0F8452B-63C9-46EF-AF78-5BDB438D95F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E975E0F9-61A3-43A0-AFC9-77B99C186CB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E0477A86-ACD5-4B25-BBB3-FFAB192F1E0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20BB5399-0FB6-4D71-A26D-A7D61612C62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C20A968C-E366-4277-9F85-1269D3FB350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7563C09D-F13D-437E-BB88-9954EF64DAE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16C83A8B-3597-40FF-9C60-7F02F0C29F3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92FB4284-4F9B-424F-B4F0-A1B77426F39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C16A43B0-2620-487F-8E65-6E45CFCE50B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 xr:uid="{41A0F003-7583-4800-BC4A-EE9D90DC810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 xr:uid="{356AB3A7-C727-4630-9B2B-AAF72B8C58E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 xr:uid="{5CD68C85-96B8-409F-8874-848E3B338B5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 xr:uid="{D52F1FCD-F6C6-4CCC-9791-F95AD1F785A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 xr:uid="{EAC9635E-CF31-4262-BF9F-9251CEF1C6D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 xr:uid="{028D8FB7-752F-4E6F-8320-035D33CC46C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O44" authorId="0" shapeId="0" xr:uid="{4DA2BCAF-9308-4859-9042-4372795EE99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 shapeId="0" xr:uid="{3D4D2483-031F-4E29-9278-3B49DA599CB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0594C948-B852-4A7E-8890-26F9C0266EF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CC9B7C36-BDCF-4C5F-98A7-0A4386A59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80CB45AE-8219-43C2-9F63-91226BF9902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52615C00-9678-40FD-B44A-8BE0011F543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0A4FC326-8B45-4EBD-BE9A-91A39E0B80C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 xr:uid="{74565B3D-35DE-4F98-A334-7922FE55CFA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 xr:uid="{6F5B1F68-3FED-48C4-968B-34BC88FC14F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 xr:uid="{E7BBA734-B422-4086-8EF2-D8F652C8241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 xr:uid="{F8DFC63C-9C20-476E-8B0E-AC8D7A1112E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 shapeId="0" xr:uid="{206483A3-0628-4F1C-80C6-37F5CD04DD1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F7752F34-D3DE-4DCB-97A6-39A429A3A82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7905C7B0-9984-47AD-ABA4-8BED02566ED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EAC0CB17-D119-46EF-8B47-766F12D74B9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D11A1EEF-334A-47BF-A2C5-FC0762C8AFF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B2ACE3A4-0C7B-49A3-ABFE-8927AC6D17E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A3A67068-CD52-4F7D-A7DD-23BAE912EAB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B5A57106-D363-4673-9808-58F4D60B011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D1DE7253-947D-4352-9FBA-4E91A29655C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75FE2A3B-4386-4EF4-B6C6-781C8A6CAE8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F8A4C2D9-65A5-4A39-805C-2871B28ED54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FB81657F-83D6-40D8-8D94-F814689394A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21DD1D9C-2174-4BB1-AE24-CCB61F099F6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6AD02802-76E0-475F-AE95-9B80333B2C5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E7A1512B-6920-40F3-9E02-B26AF91A478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BF7A5B31-3FD3-4FD4-9EE1-F579E0893B7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3550798B-47D7-4B43-93D5-911E64F75CE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DEE31428-DACF-4DC9-93AB-BF1E29343F0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F9D9E2E4-A5E5-45F3-B9CC-619F2171F47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O58" authorId="0" shapeId="0" xr:uid="{C5593C6C-17EC-4B90-A2B4-55C76B13335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1" authorId="0" shapeId="0" xr:uid="{2B2D5ADC-F3AD-4AFC-ADE9-504FC502F7C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 xr:uid="{CAD34AB9-B549-4028-9688-123581EA791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 xr:uid="{C8710567-FFA7-4270-8923-DB3CF51A9FC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 xr:uid="{C9C2E3CF-E76C-40B6-9ACA-B7989B6FDB0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 xr:uid="{47D944EB-4C61-467C-806D-A14E021239D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 xr:uid="{129FD279-EE84-4FCA-823A-710B1BCF7EE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 xr:uid="{3B326830-1BB8-4F3F-936C-0140D8F0619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 xr:uid="{6AB19AEE-5C17-4DDC-8911-031BBD8A786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 xr:uid="{E439E386-8DE7-48DF-A046-354CA4833F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 xr:uid="{3972C503-BEF4-496C-BA8E-1A40C09C4AD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 shapeId="0" xr:uid="{B2979CFF-D822-418D-9DC5-8966564607D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6E81C195-5168-491A-BE66-4591DB06AD0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577EF164-C5C0-4BDA-922C-31C5FE68315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83C46815-4E19-476C-A9A2-2F06AC0A8C6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13EE3C06-618B-4158-A3B4-AE5BEC7357D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5180AF71-4733-4C89-83E1-981C53F85DA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B7E62CA4-7B4C-4C39-9E51-103FF52EF5F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3875FD69-E541-41FF-9DEC-426752FC199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8ECC9F91-DD2A-49F6-B708-EBE4E223933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65DA4D69-B4DB-449F-A544-77107E499C0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81F3AF70-5BD9-421E-8529-99835D82548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9B8A11B1-8C92-4741-ADA4-3E93E67882F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953A3A60-2249-497D-BD5F-295B7C96F518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<sst xmlns="http://schemas.openxmlformats.org/spreadsheetml/2006/main" count="1000" uniqueCount="140">
  <si>
    <t>Julio 2021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</si>
  <si>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</si>
  <si>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</si>
  <si>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</si>
  <si>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</si>
  <si>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</si>
  <si>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</si>
  <si>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</si>
  <si>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</si>
  <si>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</si>
  <si>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</si>
  <si>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</si>
  <si>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</si>
  <si>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</si>
  <si>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</si>
  <si>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</si>
  <si>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</si>
  <si>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</si>
  <si>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</si>
  <si>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</si>
  <si>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</si>
  <si>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com/custodia canales</t>
  </si>
  <si>
    <t>costo logistica</t>
  </si>
  <si>
    <t>costo integrado</t>
  </si>
  <si>
    <t>costo real</t>
  </si>
  <si>
    <t>$ carga total</t>
  </si>
  <si>
    <t>Pernil con piel</t>
  </si>
  <si>
    <t>Tyson</t>
  </si>
  <si>
    <t>20 combos</t>
  </si>
  <si>
    <t>P8201</t>
  </si>
  <si>
    <t>Sanchez</t>
  </si>
  <si>
    <t>ju</t>
  </si>
  <si>
    <t>hoja + 10 vi 25 jun</t>
  </si>
  <si>
    <t>Canal de cerdo</t>
  </si>
  <si>
    <t>Nu3</t>
  </si>
  <si>
    <t>Agrop El Topete</t>
  </si>
  <si>
    <t>fact 9656</t>
  </si>
  <si>
    <t>Cuero belly fco</t>
  </si>
  <si>
    <t>Indiana</t>
  </si>
  <si>
    <t>Adams</t>
  </si>
  <si>
    <t>2 combos</t>
  </si>
  <si>
    <t>fact 92203</t>
  </si>
  <si>
    <t>Seaboard</t>
  </si>
  <si>
    <t>21 combos</t>
  </si>
  <si>
    <t>nlse21-102</t>
  </si>
  <si>
    <t>Tamez</t>
  </si>
  <si>
    <t>vi</t>
  </si>
  <si>
    <t>hoja + 11 lu 28 jun</t>
  </si>
  <si>
    <t>nlse21-103</t>
  </si>
  <si>
    <t>Topete y San Bernardo</t>
  </si>
  <si>
    <t>fact 9663,4365</t>
  </si>
  <si>
    <t>nlse21-104</t>
  </si>
  <si>
    <t>sa</t>
  </si>
  <si>
    <t>hoja + 11 ma 29 jun</t>
  </si>
  <si>
    <t>nlse21-105</t>
  </si>
  <si>
    <t>fact 92294</t>
  </si>
  <si>
    <t>fact 9668</t>
  </si>
  <si>
    <t>do</t>
  </si>
  <si>
    <t>Canales en combo</t>
  </si>
  <si>
    <t>Canadiense</t>
  </si>
  <si>
    <t>Roel</t>
  </si>
  <si>
    <t>??</t>
  </si>
  <si>
    <t>lu</t>
  </si>
  <si>
    <t>Espaldilla carnero</t>
  </si>
  <si>
    <t>Baby Lamb</t>
  </si>
  <si>
    <t>97 cajas</t>
  </si>
  <si>
    <t>fact HC07619</t>
  </si>
  <si>
    <t>Pierna Carnero</t>
  </si>
  <si>
    <t>44 cajas</t>
  </si>
  <si>
    <t xml:space="preserve">   "   "   "</t>
  </si>
  <si>
    <t>fact 9673</t>
  </si>
  <si>
    <t>ma</t>
  </si>
  <si>
    <t>A9352</t>
  </si>
  <si>
    <t>mi</t>
  </si>
  <si>
    <t>hoja + 11.5 ju 01 jul</t>
  </si>
  <si>
    <t>A9354</t>
  </si>
  <si>
    <t>hoja + 11.5 vi 02 jul</t>
  </si>
  <si>
    <t>fact 9709</t>
  </si>
  <si>
    <t xml:space="preserve">Filete Tilapia </t>
  </si>
  <si>
    <t>3/5 Pielago</t>
  </si>
  <si>
    <t>Marimex</t>
  </si>
  <si>
    <t>11 cajas</t>
  </si>
  <si>
    <t>fact PUE8846</t>
  </si>
  <si>
    <t>nlse1-106</t>
  </si>
  <si>
    <t>hoja + 11 lu 05 jul</t>
  </si>
  <si>
    <t>nlse1-107</t>
  </si>
  <si>
    <t>Prom</t>
  </si>
  <si>
    <t>Vectra</t>
  </si>
  <si>
    <t>25 combos</t>
  </si>
  <si>
    <t>Hatfield</t>
  </si>
  <si>
    <t>fact 92418</t>
  </si>
  <si>
    <t>fact 9692,4375</t>
  </si>
  <si>
    <t>nlse1-108</t>
  </si>
  <si>
    <t>hoja + 11 ju 08 jul</t>
  </si>
  <si>
    <t>nlse1-109</t>
  </si>
  <si>
    <t>A9389</t>
  </si>
  <si>
    <t>hoja + 11.5 ju 08 jul</t>
  </si>
  <si>
    <t>A9391</t>
  </si>
  <si>
    <t>hoja + 11.5 vi 09 jul</t>
  </si>
  <si>
    <t>nlse1-110</t>
  </si>
  <si>
    <t>hoja + 11 lu 12 jul</t>
  </si>
  <si>
    <t>nlse1-111</t>
  </si>
  <si>
    <t>nlse21-112</t>
  </si>
  <si>
    <t>hoja + 11 ju 15 jul</t>
  </si>
  <si>
    <t>nlse21-113</t>
  </si>
  <si>
    <t>A9392</t>
  </si>
  <si>
    <t>hoja + 11.5 ju 15 jul</t>
  </si>
  <si>
    <t>A9393</t>
  </si>
  <si>
    <t>hoja + 11.5 vi 16 jul</t>
  </si>
  <si>
    <t>nlse21-114</t>
  </si>
  <si>
    <t>hoja + 11 lu 19 jul</t>
  </si>
  <si>
    <t>nlse21-115</t>
  </si>
  <si>
    <t>hoja + 11 ju 24 jun</t>
  </si>
  <si>
    <t xml:space="preserve">Agrop El Topete </t>
  </si>
  <si>
    <t xml:space="preserve">ODELPA   BBVA </t>
  </si>
  <si>
    <t>BANORTE   ODELPA</t>
  </si>
  <si>
    <t>SANTANDER   ODELPA</t>
  </si>
  <si>
    <t xml:space="preserve"> </t>
  </si>
  <si>
    <t xml:space="preserve">NORMA       BBVA </t>
  </si>
  <si>
    <t>BANORTE   NORMA</t>
  </si>
  <si>
    <t>SANTANDER   NORMA</t>
  </si>
  <si>
    <t>5  al  11  JULIO 2021</t>
  </si>
  <si>
    <t xml:space="preserve">BANCOS  ODELPA </t>
  </si>
  <si>
    <t>BANCOS  NORMA</t>
  </si>
  <si>
    <t>Santander</t>
  </si>
  <si>
    <t>Banorte</t>
  </si>
  <si>
    <t>BBVA</t>
  </si>
  <si>
    <t>TOTAL</t>
  </si>
  <si>
    <t>,01</t>
  </si>
  <si>
    <t>,02</t>
  </si>
  <si>
    <t>fact 9698,9700</t>
  </si>
  <si>
    <t>fact 9715</t>
  </si>
  <si>
    <t>Contra</t>
  </si>
  <si>
    <t>Excel 86R</t>
  </si>
  <si>
    <t>Carbenzes</t>
  </si>
  <si>
    <t>20 cajas</t>
  </si>
  <si>
    <t>fact 2569</t>
  </si>
  <si>
    <t>5  al  14  JULIO 2021</t>
  </si>
  <si>
    <t>COMPRAS   OBRADOR    canales</t>
  </si>
  <si>
    <t>COMPRAS  ALMACEN   Pernil, Cuero, esp de carnero, Tilapia,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</si>
</sst>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  <numFmt numFmtId="169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91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44" fontId="0" fillId="0" borderId="0" xfId="1" applyFont="1"/>
    <xf numFmtId="0" fontId="0" fillId="0" borderId="1" xfId="0" applyBorder="1"/>
    <xf numFmtId="4" fontId="0" fillId="0" borderId="1" xfId="0" applyNumberForma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3" fontId="0" fillId="0" borderId="1" xfId="0" applyNumberFormat="1" applyBorder="1"/>
    <xf numFmtId="1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44" fontId="0" fillId="0" borderId="1" xfId="1" applyFont="1" applyBorder="1"/>
    <xf numFmtId="14" fontId="0" fillId="0" borderId="2" xfId="0" applyNumberFormat="1" applyBorder="1"/>
    <xf numFmtId="0" fontId="3" fillId="2" borderId="3" xfId="0" applyFont="1" applyFill="1" applyBorder="1" applyAlignment="1">
      <alignment textRotation="255"/>
    </xf>
    <xf numFmtId="0" fontId="0" fillId="0" borderId="4" xfId="0" applyBorder="1"/>
    <xf numFmtId="4" fontId="4" fillId="0" borderId="0" xfId="0" applyNumberFormat="1" applyFont="1"/>
    <xf numFmtId="4" fontId="0" fillId="0" borderId="0" xfId="0" applyNumberFormat="1"/>
    <xf numFmtId="0" fontId="0" fillId="3" borderId="0" xfId="0" applyFill="1"/>
    <xf numFmtId="15" fontId="0" fillId="0" borderId="0" xfId="0" applyNumberFormat="1"/>
    <xf numFmtId="0" fontId="4" fillId="0" borderId="0" xfId="0" applyFont="1"/>
    <xf numFmtId="166" fontId="0" fillId="0" borderId="0" xfId="0" applyNumberFormat="1"/>
    <xf numFmtId="164" fontId="0" fillId="4" borderId="0" xfId="0" applyNumberFormat="1" applyFill="1"/>
    <xf numFmtId="164" fontId="4" fillId="0" borderId="0" xfId="0" applyNumberFormat="1" applyFont="1"/>
    <xf numFmtId="165" fontId="4" fillId="0" borderId="0" xfId="0" applyNumberFormat="1" applyFont="1"/>
    <xf numFmtId="44" fontId="0" fillId="0" borderId="0" xfId="1" applyFont="1" applyFill="1"/>
    <xf numFmtId="14" fontId="0" fillId="0" borderId="5" xfId="0" applyNumberFormat="1" applyBorder="1"/>
    <xf numFmtId="164" fontId="0" fillId="5" borderId="0" xfId="0" applyNumberFormat="1" applyFill="1"/>
    <xf numFmtId="0" fontId="3" fillId="2" borderId="4" xfId="0" applyFont="1" applyFill="1" applyBorder="1" applyAlignment="1">
      <alignment textRotation="255"/>
    </xf>
    <xf numFmtId="0" fontId="0" fillId="2" borderId="6" xfId="0" applyFill="1" applyBorder="1"/>
    <xf numFmtId="0" fontId="0" fillId="0" borderId="6" xfId="0" applyBorder="1"/>
    <xf numFmtId="4" fontId="0" fillId="0" borderId="1" xfId="0" applyNumberFormat="1" applyBorder="1"/>
    <xf numFmtId="0" fontId="3" fillId="6" borderId="3" xfId="0" applyFont="1" applyFill="1" applyBorder="1" applyAlignment="1">
      <alignment textRotation="255"/>
    </xf>
    <xf numFmtId="9" fontId="4" fillId="7" borderId="0" xfId="0" applyNumberFormat="1" applyFont="1" applyFill="1"/>
    <xf numFmtId="165" fontId="0" fillId="0" borderId="0" xfId="0" applyNumberFormat="1"/>
    <xf numFmtId="9" fontId="4" fillId="0" borderId="0" xfId="0" applyNumberFormat="1" applyFont="1"/>
    <xf numFmtId="2" fontId="0" fillId="6" borderId="0" xfId="0" applyNumberFormat="1" applyFill="1"/>
    <xf numFmtId="0" fontId="0" fillId="6" borderId="6" xfId="0" applyFill="1" applyBorder="1"/>
    <xf numFmtId="0" fontId="3" fillId="8" borderId="3" xfId="0" applyFont="1" applyFill="1" applyBorder="1" applyAlignment="1">
      <alignment textRotation="255"/>
    </xf>
    <xf numFmtId="4" fontId="0" fillId="7" borderId="0" xfId="0" applyNumberFormat="1" applyFill="1"/>
    <xf numFmtId="0" fontId="0" fillId="7" borderId="0" xfId="0" applyFill="1"/>
    <xf numFmtId="165" fontId="4" fillId="7" borderId="0" xfId="0" applyNumberFormat="1" applyFont="1" applyFill="1"/>
    <xf numFmtId="164" fontId="4" fillId="7" borderId="0" xfId="0" applyNumberFormat="1" applyFont="1" applyFill="1"/>
    <xf numFmtId="0" fontId="0" fillId="8" borderId="6" xfId="0" applyFill="1" applyBorder="1"/>
    <xf numFmtId="0" fontId="3" fillId="9" borderId="3" xfId="0" applyFont="1" applyFill="1" applyBorder="1" applyAlignment="1">
      <alignment textRotation="255"/>
    </xf>
    <xf numFmtId="0" fontId="0" fillId="9" borderId="6" xfId="0" applyFill="1" applyBorder="1"/>
    <xf numFmtId="44" fontId="8" fillId="7" borderId="0" xfId="1" applyFont="1" applyFill="1"/>
    <xf numFmtId="44" fontId="10" fillId="0" borderId="0" xfId="1" applyFont="1"/>
    <xf numFmtId="44" fontId="9" fillId="0" borderId="0" xfId="1" applyFont="1"/>
    <xf numFmtId="44" fontId="8" fillId="0" borderId="0" xfId="1" applyFont="1"/>
    <xf numFmtId="44" fontId="0" fillId="0" borderId="7" xfId="1" applyFont="1" applyBorder="1"/>
    <xf numFmtId="44" fontId="9" fillId="7" borderId="0" xfId="1" applyFont="1" applyFill="1"/>
    <xf numFmtId="44" fontId="0" fillId="0" borderId="7" xfId="1" applyFont="1" applyFill="1" applyBorder="1"/>
    <xf numFmtId="44" fontId="9" fillId="10" borderId="7" xfId="1" applyFont="1" applyFill="1" applyBorder="1"/>
    <xf numFmtId="44" fontId="11" fillId="0" borderId="7" xfId="1" applyFont="1" applyFill="1" applyBorder="1"/>
    <xf numFmtId="44" fontId="8" fillId="0" borderId="7" xfId="1" applyFont="1" applyFill="1" applyBorder="1"/>
    <xf numFmtId="44" fontId="9" fillId="10" borderId="0" xfId="1" applyFont="1" applyFill="1"/>
    <xf numFmtId="0" fontId="9" fillId="0" borderId="0" xfId="0" applyFont="1" applyAlignment="1"/>
    <xf numFmtId="0" fontId="9" fillId="7" borderId="10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44" fontId="9" fillId="12" borderId="9" xfId="1" applyFont="1" applyFill="1" applyBorder="1"/>
    <xf numFmtId="0" fontId="9" fillId="12" borderId="10" xfId="0" applyFont="1" applyFill="1" applyBorder="1" applyAlignment="1">
      <alignment horizontal="center"/>
    </xf>
    <xf numFmtId="44" fontId="9" fillId="13" borderId="9" xfId="1" applyFont="1" applyFill="1" applyBorder="1" applyAlignment="1">
      <alignment horizontal="center"/>
    </xf>
    <xf numFmtId="0" fontId="9" fillId="13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4" fontId="9" fillId="0" borderId="7" xfId="1" applyFont="1" applyBorder="1"/>
    <xf numFmtId="44" fontId="13" fillId="0" borderId="7" xfId="1" applyFont="1" applyBorder="1"/>
    <xf numFmtId="44" fontId="13" fillId="0" borderId="0" xfId="1" applyFont="1" applyFill="1" applyBorder="1"/>
    <xf numFmtId="44" fontId="9" fillId="0" borderId="8" xfId="1" applyFont="1" applyBorder="1"/>
    <xf numFmtId="0" fontId="12" fillId="0" borderId="0" xfId="0" applyFont="1" applyFill="1" applyBorder="1" applyAlignment="1">
      <alignment horizontal="center"/>
    </xf>
    <xf numFmtId="44" fontId="0" fillId="0" borderId="12" xfId="1" applyFont="1" applyFill="1" applyBorder="1"/>
    <xf numFmtId="44" fontId="0" fillId="0" borderId="0" xfId="1" applyFont="1" applyFill="1" applyBorder="1"/>
    <xf numFmtId="44" fontId="9" fillId="0" borderId="0" xfId="1" applyFont="1" applyFill="1" applyBorder="1"/>
    <xf numFmtId="44" fontId="0" fillId="0" borderId="0" xfId="1" applyFont="1" applyBorder="1"/>
    <xf numFmtId="0" fontId="8" fillId="0" borderId="0" xfId="0" applyFont="1" applyAlignment="1">
      <alignment horizontal="right"/>
    </xf>
    <xf numFmtId="44" fontId="8" fillId="10" borderId="7" xfId="1" applyFont="1" applyFill="1" applyBorder="1"/>
    <xf numFmtId="44" fontId="15" fillId="0" borderId="7" xfId="1" applyFont="1" applyFill="1" applyBorder="1"/>
    <xf numFmtId="44" fontId="9" fillId="10" borderId="0" xfId="1" applyFont="1" applyFill="1" applyBorder="1"/>
    <xf numFmtId="0" fontId="16" fillId="0" borderId="7" xfId="0" applyFont="1" applyBorder="1" applyAlignment="1">
      <alignment horizontal="center"/>
    </xf>
    <xf numFmtId="44" fontId="17" fillId="0" borderId="7" xfId="1" applyFont="1" applyFill="1" applyBorder="1"/>
    <xf numFmtId="44" fontId="15" fillId="0" borderId="7" xfId="1" applyFont="1" applyBorder="1"/>
    <xf numFmtId="44" fontId="8" fillId="7" borderId="7" xfId="1" applyFont="1" applyFill="1" applyBorder="1"/>
    <xf numFmtId="44" fontId="1" fillId="0" borderId="7" xfId="1" applyFont="1" applyFill="1" applyBorder="1"/>
    <xf numFmtId="0" fontId="16" fillId="0" borderId="0" xfId="0" applyFont="1" applyAlignment="1">
      <alignment horizontal="center"/>
    </xf>
    <xf numFmtId="44" fontId="11" fillId="0" borderId="7" xfId="1" applyFont="1" applyBorder="1"/>
    <xf numFmtId="44" fontId="9" fillId="0" borderId="0" xfId="1" applyFont="1" applyFill="1"/>
    <xf numFmtId="0" fontId="18" fillId="0" borderId="0" xfId="0" applyFont="1" applyAlignment="1">
      <alignment horizontal="center"/>
    </xf>
    <xf numFmtId="0" fontId="16" fillId="0" borderId="0" xfId="0" applyFont="1"/>
    <xf numFmtId="44" fontId="0" fillId="7" borderId="7" xfId="1" applyFont="1" applyFill="1" applyBorder="1"/>
    <xf numFmtId="0" fontId="16" fillId="7" borderId="7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44" fontId="10" fillId="0" borderId="0" xfId="1" applyFont="1" applyAlignment="1">
      <alignment horizontal="center"/>
    </xf>
    <xf numFmtId="44" fontId="8" fillId="0" borderId="0" xfId="1" applyFont="1" applyAlignment="1">
      <alignment horizontal="center"/>
    </xf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169" fontId="0" fillId="0" borderId="0" xfId="2" applyFont="1"/>
    <xf numFmtId="0" fontId="0" fillId="0" borderId="1" xfId="0" applyBorder="1"/>
    <xf numFmtId="4" fontId="0" fillId="0" borderId="1" xfId="0" applyNumberForma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3" fontId="0" fillId="0" borderId="1" xfId="0" applyNumberFormat="1" applyBorder="1"/>
    <xf numFmtId="1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9" fontId="0" fillId="0" borderId="1" xfId="2" applyFont="1" applyBorder="1"/>
    <xf numFmtId="14" fontId="0" fillId="0" borderId="2" xfId="0" applyNumberFormat="1" applyBorder="1"/>
    <xf numFmtId="0" fontId="3" fillId="2" borderId="3" xfId="0" applyFont="1" applyFill="1" applyBorder="1" applyAlignment="1">
      <alignment textRotation="255"/>
    </xf>
    <xf numFmtId="0" fontId="0" fillId="0" borderId="4" xfId="0" applyBorder="1"/>
    <xf numFmtId="4" fontId="4" fillId="0" borderId="0" xfId="0" applyNumberFormat="1" applyFont="1"/>
    <xf numFmtId="4" fontId="0" fillId="0" borderId="0" xfId="0" applyNumberFormat="1"/>
    <xf numFmtId="0" fontId="0" fillId="3" borderId="0" xfId="0" applyFill="1"/>
    <xf numFmtId="15" fontId="0" fillId="0" borderId="0" xfId="0" applyNumberFormat="1"/>
    <xf numFmtId="0" fontId="4" fillId="0" borderId="0" xfId="0" applyFont="1"/>
    <xf numFmtId="166" fontId="0" fillId="0" borderId="0" xfId="0" applyNumberFormat="1"/>
    <xf numFmtId="164" fontId="0" fillId="4" borderId="0" xfId="0" applyNumberFormat="1" applyFill="1"/>
    <xf numFmtId="164" fontId="4" fillId="0" borderId="0" xfId="0" applyNumberFormat="1" applyFont="1"/>
    <xf numFmtId="165" fontId="4" fillId="0" borderId="0" xfId="0" applyNumberFormat="1" applyFont="1"/>
    <xf numFmtId="169" fontId="0" fillId="0" borderId="0" xfId="2" applyFont="1" applyFill="1"/>
    <xf numFmtId="14" fontId="0" fillId="0" borderId="5" xfId="0" applyNumberFormat="1" applyBorder="1"/>
    <xf numFmtId="164" fontId="0" fillId="5" borderId="0" xfId="0" applyNumberFormat="1" applyFill="1"/>
    <xf numFmtId="0" fontId="3" fillId="2" borderId="4" xfId="0" applyFont="1" applyFill="1" applyBorder="1" applyAlignment="1">
      <alignment textRotation="255"/>
    </xf>
    <xf numFmtId="0" fontId="0" fillId="0" borderId="6" xfId="0" applyBorder="1"/>
    <xf numFmtId="4" fontId="0" fillId="0" borderId="1" xfId="0" applyNumberFormat="1" applyBorder="1"/>
    <xf numFmtId="0" fontId="3" fillId="6" borderId="3" xfId="0" applyFont="1" applyFill="1" applyBorder="1" applyAlignment="1">
      <alignment textRotation="255"/>
    </xf>
    <xf numFmtId="165" fontId="0" fillId="0" borderId="0" xfId="0" applyNumberFormat="1"/>
    <xf numFmtId="9" fontId="4" fillId="0" borderId="0" xfId="0" applyNumberFormat="1" applyFont="1"/>
    <xf numFmtId="2" fontId="0" fillId="6" borderId="0" xfId="0" applyNumberFormat="1" applyFill="1"/>
    <xf numFmtId="0" fontId="3" fillId="8" borderId="3" xfId="0" applyFont="1" applyFill="1" applyBorder="1" applyAlignment="1">
      <alignment textRotation="255"/>
    </xf>
    <xf numFmtId="4" fontId="0" fillId="7" borderId="0" xfId="0" applyNumberFormat="1" applyFill="1"/>
    <xf numFmtId="0" fontId="0" fillId="7" borderId="0" xfId="0" applyFill="1"/>
    <xf numFmtId="165" fontId="4" fillId="7" borderId="0" xfId="0" applyNumberFormat="1" applyFont="1" applyFill="1"/>
    <xf numFmtId="164" fontId="4" fillId="7" borderId="0" xfId="0" applyNumberFormat="1" applyFont="1" applyFill="1"/>
    <xf numFmtId="0" fontId="0" fillId="8" borderId="6" xfId="0" applyFill="1" applyBorder="1"/>
    <xf numFmtId="0" fontId="3" fillId="9" borderId="3" xfId="0" applyFont="1" applyFill="1" applyBorder="1" applyAlignment="1">
      <alignment textRotation="255"/>
    </xf>
    <xf numFmtId="0" fontId="0" fillId="9" borderId="6" xfId="0" applyFill="1" applyBorder="1"/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169" fontId="0" fillId="0" borderId="0" xfId="2" applyFont="1"/>
    <xf numFmtId="0" fontId="0" fillId="0" borderId="1" xfId="0" applyBorder="1"/>
    <xf numFmtId="4" fontId="0" fillId="0" borderId="1" xfId="0" applyNumberForma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3" fontId="0" fillId="0" borderId="1" xfId="0" applyNumberFormat="1" applyBorder="1"/>
    <xf numFmtId="1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9" fontId="0" fillId="0" borderId="1" xfId="2" applyFont="1" applyBorder="1"/>
    <xf numFmtId="14" fontId="0" fillId="0" borderId="2" xfId="0" applyNumberFormat="1" applyBorder="1"/>
    <xf numFmtId="0" fontId="3" fillId="2" borderId="3" xfId="0" applyFont="1" applyFill="1" applyBorder="1" applyAlignment="1">
      <alignment textRotation="255"/>
    </xf>
    <xf numFmtId="0" fontId="0" fillId="0" borderId="4" xfId="0" applyBorder="1"/>
    <xf numFmtId="4" fontId="4" fillId="0" borderId="0" xfId="0" applyNumberFormat="1" applyFont="1"/>
    <xf numFmtId="4" fontId="0" fillId="0" borderId="0" xfId="0" applyNumberFormat="1"/>
    <xf numFmtId="0" fontId="0" fillId="3" borderId="0" xfId="0" applyFill="1"/>
    <xf numFmtId="15" fontId="0" fillId="0" borderId="0" xfId="0" applyNumberFormat="1"/>
    <xf numFmtId="0" fontId="4" fillId="0" borderId="0" xfId="0" applyFont="1"/>
    <xf numFmtId="166" fontId="0" fillId="0" borderId="0" xfId="0" applyNumberFormat="1"/>
    <xf numFmtId="164" fontId="0" fillId="4" borderId="0" xfId="0" applyNumberFormat="1" applyFill="1"/>
    <xf numFmtId="164" fontId="4" fillId="0" borderId="0" xfId="0" applyNumberFormat="1" applyFont="1"/>
    <xf numFmtId="165" fontId="4" fillId="0" borderId="0" xfId="0" applyNumberFormat="1" applyFont="1"/>
    <xf numFmtId="169" fontId="0" fillId="0" borderId="0" xfId="2" applyFont="1" applyFill="1"/>
    <xf numFmtId="14" fontId="0" fillId="0" borderId="5" xfId="0" applyNumberFormat="1" applyBorder="1"/>
    <xf numFmtId="164" fontId="0" fillId="5" borderId="0" xfId="0" applyNumberFormat="1" applyFill="1"/>
    <xf numFmtId="0" fontId="0" fillId="0" borderId="6" xfId="0" applyBorder="1"/>
    <xf numFmtId="4" fontId="0" fillId="0" borderId="1" xfId="0" applyNumberFormat="1" applyBorder="1"/>
    <xf numFmtId="0" fontId="3" fillId="6" borderId="3" xfId="0" applyFont="1" applyFill="1" applyBorder="1" applyAlignment="1">
      <alignment textRotation="255"/>
    </xf>
    <xf numFmtId="9" fontId="4" fillId="7" borderId="0" xfId="0" applyNumberFormat="1" applyFont="1" applyFill="1"/>
    <xf numFmtId="165" fontId="0" fillId="0" borderId="0" xfId="0" applyNumberFormat="1"/>
    <xf numFmtId="9" fontId="4" fillId="0" borderId="0" xfId="0" applyNumberFormat="1" applyFont="1"/>
    <xf numFmtId="2" fontId="0" fillId="6" borderId="0" xfId="0" applyNumberFormat="1" applyFill="1"/>
    <xf numFmtId="0" fontId="3" fillId="8" borderId="3" xfId="0" applyFont="1" applyFill="1" applyBorder="1" applyAlignment="1">
      <alignment textRotation="255"/>
    </xf>
    <xf numFmtId="4" fontId="0" fillId="7" borderId="0" xfId="0" applyNumberFormat="1" applyFill="1"/>
    <xf numFmtId="0" fontId="0" fillId="7" borderId="0" xfId="0" applyFill="1"/>
    <xf numFmtId="165" fontId="4" fillId="7" borderId="0" xfId="0" applyNumberFormat="1" applyFont="1" applyFill="1"/>
    <xf numFmtId="164" fontId="4" fillId="7" borderId="0" xfId="0" applyNumberFormat="1" applyFont="1" applyFill="1"/>
    <xf numFmtId="0" fontId="0" fillId="8" borderId="6" xfId="0" applyFill="1" applyBorder="1"/>
    <xf numFmtId="0" fontId="3" fillId="9" borderId="3" xfId="0" applyFont="1" applyFill="1" applyBorder="1" applyAlignment="1">
      <alignment textRotation="255"/>
    </xf>
    <xf numFmtId="0" fontId="0" fillId="9" borderId="6" xfId="0" applyFill="1" applyBorder="1"/>
    <xf numFmtId="169" fontId="8" fillId="7" borderId="0" xfId="2" applyFont="1" applyFill="1"/>
    <xf numFmtId="0" fontId="9" fillId="7" borderId="9" xfId="0" applyFont="1" applyFill="1" applyBorder="1" applyAlignment="1">
      <alignment horizontal="center" wrapText="1"/>
    </xf>
    <xf numFmtId="0" fontId="9" fillId="11" borderId="9" xfId="0" applyFont="1" applyFill="1" applyBorder="1" applyAlignment="1">
      <alignment horizontal="center" wrapText="1"/>
    </xf>
  </cellXfs>
  <cellStyles count="3">
    <cellStyle name="Moneda" xfId="1" builtinId="4"/>
    <cellStyle name="Moneda 2" xfId="2" xr:uid="{14E372FA-8A4F-48EA-9761-F83C54A9406F}"/>
    <cellStyle name="Normal" xfId="0" builtinId="0"/>
  </cellStyles>
  <dxfs count="0"/>
  <tableStyles count="0" defaultTableStyle="TableStyleMedium2" defaultPivotStyle="PivotStyleLight16"/>
  <colors>
    <mruColors>
      <color rgb="FFFF66FF"/>
      <color rgb="FF0000FF"/>
      <color rgb="FF990000"/>
      <color rgb="FFFF99FF"/>
      <color rgb="FFFF9966"/>
      <color rgb="FF99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0468-907E-4268-B971-B12E3ABBD36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702-6C23-4094-9607-A3B6A4D67D72}">
  <dimension ref="A1:AC70"/>
  <sheetViews>
    <sheetView topLeftCell="A4" zoomScale="85" zoomScaleNormal="85" workbookViewId="0">
      <selection activeCell="C30" sqref="C30"/>
    </sheetView>
  </sheetViews>
  <sheetFormatPr baseColWidth="10" defaultRowHeight="15" x14ac:dyDescent="0.25"/>
  <cols>
    <col min="1" max="1" width="3.5703125" customWidth="1"/>
    <col min="2" max="2" width="19.140625" customWidth="1"/>
    <col min="3" max="3" width="12.85546875" bestFit="1" customWidth="1"/>
    <col min="4" max="4" width="23.42578125" bestFit="1" customWidth="1"/>
    <col min="13" max="13" width="4.42578125" bestFit="1" customWidth="1"/>
    <col min="14" max="14" width="9.5703125" customWidth="1"/>
    <col min="24" max="24" width="11.42578125" hidden="1" customWidth="1"/>
    <col min="26" max="26" width="16.7109375" customWidth="1"/>
  </cols>
  <sheetData>
    <row r="1" spans="1:27" x14ac:dyDescent="0.25">
      <c r="A1" s="1" t="s">
        <v>0</v>
      </c>
      <c r="S1" s="2"/>
      <c r="W1" s="2"/>
      <c r="Z1" s="3"/>
    </row>
    <row r="2" spans="1:27" ht="30.75" thickBot="1" x14ac:dyDescent="0.3">
      <c r="A2" s="4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6" t="s">
        <v>7</v>
      </c>
      <c r="I2" s="7" t="s">
        <v>8</v>
      </c>
      <c r="J2" s="4" t="s">
        <v>9</v>
      </c>
      <c r="K2" s="8" t="s">
        <v>10</v>
      </c>
      <c r="L2" s="8" t="s">
        <v>11</v>
      </c>
      <c r="M2" s="4" t="s">
        <v>12</v>
      </c>
      <c r="N2" s="4" t="s">
        <v>13</v>
      </c>
      <c r="O2" s="9" t="s">
        <v>14</v>
      </c>
      <c r="P2" s="10" t="s">
        <v>15</v>
      </c>
      <c r="Q2" s="9" t="s">
        <v>16</v>
      </c>
      <c r="R2" s="11" t="s">
        <v>17</v>
      </c>
      <c r="S2" s="11" t="s">
        <v>18</v>
      </c>
      <c r="T2" s="12" t="s">
        <v>19</v>
      </c>
      <c r="U2" s="9" t="s">
        <v>20</v>
      </c>
      <c r="V2" s="11" t="s">
        <v>21</v>
      </c>
      <c r="W2" s="12" t="s">
        <v>22</v>
      </c>
      <c r="X2" s="9" t="s">
        <v>23</v>
      </c>
      <c r="Y2" s="9" t="s">
        <v>24</v>
      </c>
      <c r="Z2" s="13" t="s">
        <v>25</v>
      </c>
      <c r="AA2" s="14"/>
    </row>
    <row r="3" spans="1:27" x14ac:dyDescent="0.25">
      <c r="A3" s="15"/>
      <c r="B3" s="16" t="s">
        <v>26</v>
      </c>
      <c r="C3" t="s">
        <v>27</v>
      </c>
      <c r="D3" t="s">
        <v>27</v>
      </c>
      <c r="E3" t="s">
        <v>28</v>
      </c>
      <c r="F3" s="17">
        <f>41240*0.4536</f>
        <v>18706.464</v>
      </c>
      <c r="G3" s="18">
        <v>18638.27</v>
      </c>
      <c r="H3" s="18">
        <f t="shared" ref="H3:H11" si="0">G3-F3</f>
        <v>-68.193999999999505</v>
      </c>
      <c r="I3" t="s">
        <v>29</v>
      </c>
      <c r="J3" s="19" t="s">
        <v>30</v>
      </c>
      <c r="K3" s="20">
        <v>44377</v>
      </c>
      <c r="L3" s="20">
        <v>44378</v>
      </c>
      <c r="M3" s="21" t="s">
        <v>31</v>
      </c>
      <c r="N3" s="21" t="s">
        <v>32</v>
      </c>
      <c r="O3" s="2"/>
      <c r="P3" s="22">
        <f>0.7067+0.1</f>
        <v>0.80669999999999997</v>
      </c>
      <c r="Q3" s="23">
        <v>26000</v>
      </c>
      <c r="R3" s="24">
        <v>9663</v>
      </c>
      <c r="S3" s="25">
        <v>19.864999999999998</v>
      </c>
      <c r="T3" s="24">
        <f>X3*F3*0.005</f>
        <v>3494.5876689683478</v>
      </c>
      <c r="V3" s="2">
        <v>0.12</v>
      </c>
      <c r="W3" s="2">
        <v>0.3</v>
      </c>
      <c r="X3" s="2">
        <f>IF(O3&gt;0,O3,((P3*2.2046*S3)+(Q3+R3)/G3)+V3)</f>
        <v>37.362354199792627</v>
      </c>
      <c r="Y3" s="2">
        <f>IF(O3&gt;0,O3+W3,((P3*2.2046*S3)+(Q3+R3+T3)/G3)+V3+W3)</f>
        <v>37.84984948068341</v>
      </c>
      <c r="Z3" s="26">
        <f>Y3*F3</f>
        <v>708036.84671582293</v>
      </c>
      <c r="AA3" s="27">
        <v>44377</v>
      </c>
    </row>
    <row r="4" spans="1:27" x14ac:dyDescent="0.25">
      <c r="A4" s="15"/>
      <c r="B4" s="16" t="s">
        <v>33</v>
      </c>
      <c r="C4" t="s">
        <v>34</v>
      </c>
      <c r="D4" s="21" t="s">
        <v>35</v>
      </c>
      <c r="E4">
        <v>198</v>
      </c>
      <c r="F4" s="17">
        <v>22345</v>
      </c>
      <c r="G4" s="18">
        <v>17710</v>
      </c>
      <c r="H4" s="18">
        <f t="shared" si="0"/>
        <v>-4635</v>
      </c>
      <c r="I4" t="s">
        <v>36</v>
      </c>
      <c r="J4">
        <v>197</v>
      </c>
      <c r="K4" s="20"/>
      <c r="L4" s="20">
        <v>44378</v>
      </c>
      <c r="M4" s="21" t="s">
        <v>31</v>
      </c>
      <c r="N4" s="21"/>
      <c r="O4" s="2">
        <v>42</v>
      </c>
      <c r="P4" s="22"/>
      <c r="Q4" s="28">
        <v>26000</v>
      </c>
      <c r="R4" s="2">
        <f>100.6*E4</f>
        <v>19918.8</v>
      </c>
      <c r="S4" s="24">
        <f>-40*E4</f>
        <v>-7920</v>
      </c>
      <c r="T4" s="24">
        <f>X4*F4*0.0045</f>
        <v>5549.8552815923204</v>
      </c>
      <c r="U4" s="2">
        <f>E4*5</f>
        <v>990</v>
      </c>
      <c r="V4" s="2">
        <v>3600</v>
      </c>
      <c r="W4" s="2">
        <v>0.3</v>
      </c>
      <c r="X4" s="2">
        <f>((O4*F4)+Q4+R4+S4+U4)/G4</f>
        <v>55.193608130999436</v>
      </c>
      <c r="Y4" s="2">
        <f>((O4*F4)+Q4+R4+S4+T4+U4+V4)/G4+W4</f>
        <v>56.010257215222609</v>
      </c>
      <c r="Z4" s="3">
        <f>Y4*G4</f>
        <v>991941.65528159239</v>
      </c>
      <c r="AA4" s="27">
        <v>44392</v>
      </c>
    </row>
    <row r="5" spans="1:27" x14ac:dyDescent="0.25">
      <c r="A5" s="15"/>
      <c r="B5" s="16" t="s">
        <v>37</v>
      </c>
      <c r="C5" t="s">
        <v>38</v>
      </c>
      <c r="D5" s="21" t="s">
        <v>39</v>
      </c>
      <c r="E5" t="s">
        <v>40</v>
      </c>
      <c r="F5" s="17">
        <v>1728</v>
      </c>
      <c r="G5" s="18">
        <v>1728</v>
      </c>
      <c r="H5" s="18">
        <f t="shared" si="0"/>
        <v>0</v>
      </c>
      <c r="I5" t="s">
        <v>41</v>
      </c>
      <c r="K5" s="20"/>
      <c r="L5" s="20">
        <v>44378</v>
      </c>
      <c r="M5" s="21" t="s">
        <v>31</v>
      </c>
      <c r="N5" s="21"/>
      <c r="O5" s="2">
        <v>22</v>
      </c>
      <c r="P5" s="22"/>
      <c r="Q5" s="2"/>
      <c r="R5" s="24"/>
      <c r="S5" s="25"/>
      <c r="T5" s="24"/>
      <c r="V5" s="2"/>
      <c r="W5" s="2"/>
      <c r="X5" s="2">
        <f>IF(O5&gt;0,O5,((P5*2.2046*S5)+(Q5+R5)/G5)+V5)</f>
        <v>22</v>
      </c>
      <c r="Y5" s="2">
        <f>IF(O5&gt;0,O5+W5,((P5*2.2046*S5)+(Q5+R5+T5)/G5)+V5+W5)</f>
        <v>22</v>
      </c>
      <c r="Z5" s="26">
        <f>Y5*F5</f>
        <v>38016</v>
      </c>
      <c r="AA5" s="27">
        <v>44389</v>
      </c>
    </row>
    <row r="6" spans="1:27" x14ac:dyDescent="0.25">
      <c r="A6" s="15"/>
      <c r="B6" s="16" t="s">
        <v>26</v>
      </c>
      <c r="C6" t="s">
        <v>42</v>
      </c>
      <c r="D6" s="21" t="s">
        <v>42</v>
      </c>
      <c r="E6" t="s">
        <v>43</v>
      </c>
      <c r="F6" s="17">
        <f>41353*0.4536</f>
        <v>18757.720799999999</v>
      </c>
      <c r="G6" s="18">
        <v>18636.759999999998</v>
      </c>
      <c r="H6" s="18">
        <f t="shared" si="0"/>
        <v>-120.96080000000075</v>
      </c>
      <c r="I6" t="s">
        <v>44</v>
      </c>
      <c r="J6" s="19" t="s">
        <v>45</v>
      </c>
      <c r="K6" s="20">
        <v>44378</v>
      </c>
      <c r="L6" s="20">
        <v>44379</v>
      </c>
      <c r="M6" s="21" t="s">
        <v>46</v>
      </c>
      <c r="N6" s="21" t="s">
        <v>47</v>
      </c>
      <c r="O6" s="2"/>
      <c r="P6" s="22">
        <f>0.7309+0.11</f>
        <v>0.84089999999999998</v>
      </c>
      <c r="Q6" s="23">
        <v>26000</v>
      </c>
      <c r="R6" s="24">
        <v>9663</v>
      </c>
      <c r="S6" s="25">
        <v>19.829999999999998</v>
      </c>
      <c r="T6" s="24">
        <f>X6*F6*0.005</f>
        <v>3638.5656861795756</v>
      </c>
      <c r="V6" s="2">
        <v>0.12</v>
      </c>
      <c r="W6" s="2">
        <v>0.3</v>
      </c>
      <c r="X6" s="2">
        <f>IF(O6&gt;0,O6,((P6*2.2046*S6)+(Q6+R6)/G6)+V6)</f>
        <v>38.795392307785875</v>
      </c>
      <c r="Y6" s="2">
        <f>IF(O6&gt;0,O6+W6,((P6*2.2046*S6)+(Q6+R6+T6)/G6)+V6+W6)</f>
        <v>39.290628265440503</v>
      </c>
      <c r="Z6" s="26">
        <f>Y6*F6</f>
        <v>737002.63505972119</v>
      </c>
      <c r="AA6" s="27">
        <v>44372</v>
      </c>
    </row>
    <row r="7" spans="1:27" x14ac:dyDescent="0.25">
      <c r="A7" s="15"/>
      <c r="B7" s="16" t="s">
        <v>26</v>
      </c>
      <c r="C7" t="s">
        <v>42</v>
      </c>
      <c r="D7" s="21" t="s">
        <v>42</v>
      </c>
      <c r="E7" t="s">
        <v>43</v>
      </c>
      <c r="F7" s="17">
        <f>41609*0.4536</f>
        <v>18873.842400000001</v>
      </c>
      <c r="G7" s="18">
        <v>18882.240000000002</v>
      </c>
      <c r="H7" s="18">
        <f t="shared" si="0"/>
        <v>8.3976000000002387</v>
      </c>
      <c r="I7" t="s">
        <v>48</v>
      </c>
      <c r="J7" s="19" t="s">
        <v>30</v>
      </c>
      <c r="K7" s="20">
        <v>44378</v>
      </c>
      <c r="L7" s="20">
        <v>44379</v>
      </c>
      <c r="M7" s="21" t="s">
        <v>46</v>
      </c>
      <c r="N7" s="21" t="s">
        <v>47</v>
      </c>
      <c r="O7" s="2"/>
      <c r="P7" s="22">
        <f>0.7309+0.11</f>
        <v>0.84089999999999998</v>
      </c>
      <c r="Q7" s="23">
        <v>26000</v>
      </c>
      <c r="R7" s="24">
        <v>9913</v>
      </c>
      <c r="S7" s="25">
        <v>19.829999999999998</v>
      </c>
      <c r="T7" s="24">
        <f>X7*F7*0.005</f>
        <v>3659.9923573388219</v>
      </c>
      <c r="V7" s="2">
        <v>0.12</v>
      </c>
      <c r="W7" s="2">
        <v>0.3</v>
      </c>
      <c r="X7" s="2">
        <f>IF(O7&gt;0,O7,((P7*2.2046*S7)+(Q7+R7)/G7)+V7)</f>
        <v>38.78375457176459</v>
      </c>
      <c r="Y7" s="2">
        <f>IF(O7&gt;0,O7+W7,((P7*2.2046*S7)+(Q7+R7+T7)/G7)+V7+W7)</f>
        <v>39.277587102086137</v>
      </c>
      <c r="Z7" s="26">
        <f>Y7*F7</f>
        <v>741318.98881704651</v>
      </c>
      <c r="AA7" s="27">
        <v>44372</v>
      </c>
    </row>
    <row r="8" spans="1:27" x14ac:dyDescent="0.25">
      <c r="A8" s="15"/>
      <c r="B8" t="s">
        <v>33</v>
      </c>
      <c r="C8" t="s">
        <v>34</v>
      </c>
      <c r="D8" s="21" t="s">
        <v>49</v>
      </c>
      <c r="E8">
        <f>199+50</f>
        <v>249</v>
      </c>
      <c r="F8" s="17">
        <f>21770+5945</f>
        <v>27715</v>
      </c>
      <c r="G8" s="18">
        <v>21890</v>
      </c>
      <c r="H8" s="18">
        <f t="shared" si="0"/>
        <v>-5825</v>
      </c>
      <c r="I8" t="s">
        <v>50</v>
      </c>
      <c r="K8" s="20"/>
      <c r="L8" s="20">
        <v>44379</v>
      </c>
      <c r="M8" s="21" t="s">
        <v>46</v>
      </c>
      <c r="N8" s="21"/>
      <c r="O8" s="2">
        <v>42</v>
      </c>
      <c r="P8" s="22"/>
      <c r="Q8" s="28">
        <v>26000</v>
      </c>
      <c r="R8" s="2">
        <f>100.6*E8</f>
        <v>25049.399999999998</v>
      </c>
      <c r="S8" s="24">
        <f>-40*E8</f>
        <v>-9960</v>
      </c>
      <c r="T8" s="24">
        <f>X8*F8*0.0045</f>
        <v>6873.2184585198711</v>
      </c>
      <c r="U8" s="2">
        <f>E8*5</f>
        <v>1245</v>
      </c>
      <c r="V8" s="2">
        <v>3600</v>
      </c>
      <c r="W8" s="2">
        <v>0.3</v>
      </c>
      <c r="X8" s="2">
        <f>((O8*F8)+Q8+R8+S8+U8)/G8</f>
        <v>55.110296939241657</v>
      </c>
      <c r="Y8" s="2">
        <f>((O8*F8)+Q8+R8+S8+T8+U8+V8)/G8+W8</f>
        <v>55.88874456183278</v>
      </c>
      <c r="Z8" s="3">
        <f>Y8*G8</f>
        <v>1223404.6184585195</v>
      </c>
      <c r="AA8" s="27">
        <v>44393</v>
      </c>
    </row>
    <row r="9" spans="1:27" x14ac:dyDescent="0.25">
      <c r="A9" s="15"/>
      <c r="B9" s="16" t="s">
        <v>26</v>
      </c>
      <c r="C9" t="s">
        <v>42</v>
      </c>
      <c r="D9" s="21" t="s">
        <v>42</v>
      </c>
      <c r="E9" t="s">
        <v>43</v>
      </c>
      <c r="F9" s="17">
        <f>41177*0.4536</f>
        <v>18677.887200000001</v>
      </c>
      <c r="G9" s="18">
        <v>18689.240000000002</v>
      </c>
      <c r="H9" s="18">
        <f t="shared" si="0"/>
        <v>11.35280000000057</v>
      </c>
      <c r="I9" t="s">
        <v>51</v>
      </c>
      <c r="J9" s="19" t="s">
        <v>30</v>
      </c>
      <c r="K9" s="20">
        <v>44379</v>
      </c>
      <c r="L9" s="20">
        <v>44380</v>
      </c>
      <c r="M9" s="21" t="s">
        <v>52</v>
      </c>
      <c r="N9" s="21" t="s">
        <v>53</v>
      </c>
      <c r="O9" s="2"/>
      <c r="P9" s="22">
        <f>0.7421+0.11</f>
        <v>0.85209999999999997</v>
      </c>
      <c r="Q9" s="23">
        <v>26000</v>
      </c>
      <c r="R9" s="24">
        <v>11973</v>
      </c>
      <c r="S9" s="25">
        <v>19.864999999999998</v>
      </c>
      <c r="T9" s="24">
        <f>X9*F9*0.005</f>
        <v>3685.987758119009</v>
      </c>
      <c r="V9" s="2">
        <v>0.12</v>
      </c>
      <c r="W9" s="2">
        <v>0.3</v>
      </c>
      <c r="X9" s="2">
        <f>IF(O9&gt;0,O9,((P9*2.2046*S9)+(Q9+R9)/G9)+V9)</f>
        <v>39.469001163247299</v>
      </c>
      <c r="Y9" s="2">
        <f>IF(O9&gt;0,O9+W9,((P9*2.2046*S9)+(Q9+R9+T9)/G9)+V9+W9)</f>
        <v>39.966226291616294</v>
      </c>
      <c r="Z9" s="26">
        <f>Y9*F9</f>
        <v>746484.66648448352</v>
      </c>
      <c r="AA9" s="27">
        <v>44375</v>
      </c>
    </row>
    <row r="10" spans="1:27" x14ac:dyDescent="0.25">
      <c r="A10" s="15"/>
      <c r="B10" s="16" t="s">
        <v>26</v>
      </c>
      <c r="C10" t="s">
        <v>42</v>
      </c>
      <c r="D10" s="21" t="s">
        <v>42</v>
      </c>
      <c r="E10" t="s">
        <v>43</v>
      </c>
      <c r="F10" s="17">
        <f>40087*0.4536</f>
        <v>18183.463199999998</v>
      </c>
      <c r="G10" s="18">
        <v>18327.009999999998</v>
      </c>
      <c r="H10" s="18">
        <f t="shared" si="0"/>
        <v>143.54680000000008</v>
      </c>
      <c r="I10" t="s">
        <v>54</v>
      </c>
      <c r="J10" s="19" t="s">
        <v>30</v>
      </c>
      <c r="K10" s="20">
        <v>44379</v>
      </c>
      <c r="L10" s="20">
        <v>44380</v>
      </c>
      <c r="M10" s="21" t="s">
        <v>52</v>
      </c>
      <c r="N10" s="21" t="s">
        <v>53</v>
      </c>
      <c r="O10" s="2"/>
      <c r="P10" s="22">
        <f>0.7421+0.11</f>
        <v>0.85209999999999997</v>
      </c>
      <c r="Q10" s="23">
        <v>26000</v>
      </c>
      <c r="R10" s="24">
        <v>9663</v>
      </c>
      <c r="S10" s="25">
        <v>19.864999999999998</v>
      </c>
      <c r="T10" s="24">
        <f>X10*F10*0.005</f>
        <v>3580.6072077846993</v>
      </c>
      <c r="V10" s="2">
        <v>0.12</v>
      </c>
      <c r="W10" s="2">
        <v>0.3</v>
      </c>
      <c r="X10" s="2">
        <f>IF(O10&gt;0,O10,((P10*2.2046*S10)+(Q10+R10)/G10)+V10)</f>
        <v>39.383116058823155</v>
      </c>
      <c r="Y10" s="2">
        <f>IF(O10&gt;0,O10+W10,((P10*2.2046*S10)+(Q10+R10+T10)/G10)+V10+W10)</f>
        <v>39.878489292524925</v>
      </c>
      <c r="Z10" s="26">
        <f>Y10*F10</f>
        <v>725129.04252222099</v>
      </c>
      <c r="AA10" s="27">
        <v>44375</v>
      </c>
    </row>
    <row r="11" spans="1:27" x14ac:dyDescent="0.25">
      <c r="A11" s="29"/>
      <c r="B11" s="16" t="s">
        <v>37</v>
      </c>
      <c r="C11" t="s">
        <v>42</v>
      </c>
      <c r="D11" s="21" t="s">
        <v>39</v>
      </c>
      <c r="E11" t="s">
        <v>40</v>
      </c>
      <c r="F11" s="17">
        <v>1810.7</v>
      </c>
      <c r="G11" s="18">
        <v>1810.7</v>
      </c>
      <c r="H11" s="18">
        <f t="shared" si="0"/>
        <v>0</v>
      </c>
      <c r="I11" t="s">
        <v>55</v>
      </c>
      <c r="K11" s="20"/>
      <c r="L11" s="20">
        <v>44380</v>
      </c>
      <c r="M11" s="21" t="s">
        <v>52</v>
      </c>
      <c r="N11" s="21"/>
      <c r="O11" s="2">
        <v>22</v>
      </c>
      <c r="P11" s="22"/>
      <c r="Q11" s="2"/>
      <c r="R11" s="24"/>
      <c r="S11" s="25"/>
      <c r="T11" s="24"/>
      <c r="V11" s="2"/>
      <c r="W11" s="2"/>
      <c r="X11" s="2">
        <f>IF(O11&gt;0,O11,((P11*2.2046*S11)+(Q11+R11)/G11)+V11)</f>
        <v>22</v>
      </c>
      <c r="Y11" s="2">
        <f>IF(O11&gt;0,O11+W11,((P11*2.2046*S11)+(Q11+R11+T11)/G11)+V11+W11)</f>
        <v>22</v>
      </c>
      <c r="Z11" s="26">
        <f>Y11*F11</f>
        <v>39835.4</v>
      </c>
      <c r="AA11" s="27">
        <v>44389</v>
      </c>
    </row>
    <row r="12" spans="1:27" ht="15.75" thickBot="1" x14ac:dyDescent="0.3">
      <c r="A12" s="30"/>
      <c r="B12" s="31"/>
      <c r="C12" s="4"/>
      <c r="D12" s="4"/>
      <c r="E12" s="4"/>
      <c r="F12" s="32"/>
      <c r="G12" s="32"/>
      <c r="H12" s="32"/>
      <c r="I12" s="7"/>
      <c r="J12" s="4"/>
      <c r="K12" s="8"/>
      <c r="L12" s="8"/>
      <c r="M12" s="4"/>
      <c r="N12" s="4"/>
      <c r="O12" s="9"/>
      <c r="P12" s="10"/>
      <c r="Q12" s="9"/>
      <c r="R12" s="9"/>
      <c r="S12" s="9"/>
      <c r="T12" s="9"/>
      <c r="U12" s="9"/>
      <c r="V12" s="9"/>
      <c r="W12" s="9"/>
      <c r="X12" s="9"/>
      <c r="Y12" s="9"/>
      <c r="Z12" s="13"/>
      <c r="AA12" s="14"/>
    </row>
    <row r="13" spans="1:27" x14ac:dyDescent="0.25">
      <c r="A13" s="33"/>
      <c r="B13" s="16" t="s">
        <v>33</v>
      </c>
      <c r="C13" t="s">
        <v>34</v>
      </c>
      <c r="D13" s="21" t="s">
        <v>35</v>
      </c>
      <c r="E13">
        <v>201</v>
      </c>
      <c r="F13" s="17">
        <v>22080</v>
      </c>
      <c r="G13" s="18">
        <v>17520</v>
      </c>
      <c r="H13" s="18">
        <f t="shared" ref="H13:H21" si="1">G13-F13</f>
        <v>-4560</v>
      </c>
      <c r="I13" t="s">
        <v>56</v>
      </c>
      <c r="K13" s="20"/>
      <c r="L13" s="20">
        <v>44381</v>
      </c>
      <c r="M13" s="21" t="s">
        <v>57</v>
      </c>
      <c r="N13" s="21"/>
      <c r="O13" s="2">
        <v>41.5</v>
      </c>
      <c r="P13" s="22"/>
      <c r="Q13" s="28">
        <v>26000</v>
      </c>
      <c r="R13" s="2">
        <f>100.6*E13</f>
        <v>20220.599999999999</v>
      </c>
      <c r="S13" s="24">
        <f>-40*E13</f>
        <v>-8040</v>
      </c>
      <c r="T13" s="24">
        <f>X13*F13*0.0045</f>
        <v>5418.8947726027391</v>
      </c>
      <c r="U13" s="2">
        <f>E13*5</f>
        <v>1005</v>
      </c>
      <c r="V13" s="2">
        <v>3600</v>
      </c>
      <c r="W13" s="2">
        <v>0.3</v>
      </c>
      <c r="X13" s="2">
        <f>((O13*F13)+Q13+R13+S13+U13)/G13</f>
        <v>54.537990867579907</v>
      </c>
      <c r="Y13" s="2">
        <f>((O13*F13)+Q13+R13+S13+T13+U13+V13)/G13+W13</f>
        <v>55.352767966472754</v>
      </c>
      <c r="Z13" s="3">
        <f>Y13*G13</f>
        <v>969780.49477260269</v>
      </c>
      <c r="AA13" s="27">
        <v>44396</v>
      </c>
    </row>
    <row r="14" spans="1:27" x14ac:dyDescent="0.25">
      <c r="A14" s="33"/>
      <c r="B14" s="16" t="s">
        <v>58</v>
      </c>
      <c r="C14" t="s">
        <v>59</v>
      </c>
      <c r="D14" s="21" t="s">
        <v>60</v>
      </c>
      <c r="E14" t="s">
        <v>61</v>
      </c>
      <c r="F14" s="17">
        <v>5030.5</v>
      </c>
      <c r="G14" s="18">
        <v>5030.5</v>
      </c>
      <c r="H14" s="18">
        <f t="shared" si="1"/>
        <v>0</v>
      </c>
      <c r="I14" s="34"/>
      <c r="K14" s="20"/>
      <c r="L14" s="20">
        <v>44382</v>
      </c>
      <c r="M14" s="21" t="s">
        <v>62</v>
      </c>
      <c r="N14" s="21"/>
      <c r="O14" s="35">
        <v>52.5</v>
      </c>
      <c r="P14" s="35"/>
      <c r="Q14" s="2"/>
      <c r="R14" s="2"/>
      <c r="S14" s="24"/>
      <c r="T14" s="24"/>
      <c r="U14" s="2"/>
      <c r="V14" s="2"/>
      <c r="W14" s="2"/>
      <c r="X14" s="2">
        <f>IF(O14&gt;0,O14,((P14*2.2046*S14)+(Q14+R14)/G14)+V14)</f>
        <v>52.5</v>
      </c>
      <c r="Y14" s="2">
        <f>IF(O14&gt;0,O14+W14,((P14*2.2046*S14)+(Q14+R14+T14)/G14)+V14+W14)</f>
        <v>52.5</v>
      </c>
      <c r="Z14" s="26">
        <f>Y14*F14</f>
        <v>264101.25</v>
      </c>
      <c r="AA14" s="27">
        <v>44389</v>
      </c>
    </row>
    <row r="15" spans="1:27" x14ac:dyDescent="0.25">
      <c r="A15" s="33"/>
      <c r="B15" s="16" t="s">
        <v>63</v>
      </c>
      <c r="C15" t="s">
        <v>64</v>
      </c>
      <c r="D15" s="21" t="s">
        <v>60</v>
      </c>
      <c r="E15" t="s">
        <v>65</v>
      </c>
      <c r="F15" s="17">
        <v>2037.4</v>
      </c>
      <c r="G15" s="18">
        <v>2037.4</v>
      </c>
      <c r="H15" s="18">
        <f t="shared" si="1"/>
        <v>0</v>
      </c>
      <c r="I15" s="36" t="s">
        <v>66</v>
      </c>
      <c r="K15" s="20"/>
      <c r="L15" s="20">
        <v>44382</v>
      </c>
      <c r="M15" s="21" t="s">
        <v>62</v>
      </c>
      <c r="N15" s="21"/>
      <c r="O15" s="35">
        <v>115</v>
      </c>
      <c r="P15" s="35"/>
      <c r="Q15" s="2"/>
      <c r="R15" s="2"/>
      <c r="S15" s="24"/>
      <c r="T15" s="24"/>
      <c r="U15" s="2"/>
      <c r="V15" s="2"/>
      <c r="W15" s="2"/>
      <c r="X15" s="2">
        <f>IF(O15&gt;0,O15,((P15*2.2046*S15)+(Q15+R15)/G15)+V15)</f>
        <v>115</v>
      </c>
      <c r="Y15" s="2">
        <f>IF(O15&gt;0,O15+W15,((P15*2.2046*S15)+(Q15+R15+T15)/G15)+V15+W15)</f>
        <v>115</v>
      </c>
      <c r="Z15" s="26">
        <f>Y15*F15</f>
        <v>234301</v>
      </c>
      <c r="AA15" s="27">
        <v>44389</v>
      </c>
    </row>
    <row r="16" spans="1:27" x14ac:dyDescent="0.25">
      <c r="A16" s="33"/>
      <c r="B16" s="16" t="s">
        <v>67</v>
      </c>
      <c r="C16" t="s">
        <v>64</v>
      </c>
      <c r="D16" s="21" t="s">
        <v>60</v>
      </c>
      <c r="E16" t="s">
        <v>68</v>
      </c>
      <c r="F16" s="17">
        <v>1026.55</v>
      </c>
      <c r="G16" s="18">
        <v>1026.55</v>
      </c>
      <c r="H16" s="18">
        <f t="shared" si="1"/>
        <v>0</v>
      </c>
      <c r="I16" s="36" t="s">
        <v>69</v>
      </c>
      <c r="K16" s="20"/>
      <c r="L16" s="20">
        <v>44382</v>
      </c>
      <c r="M16" s="21" t="s">
        <v>62</v>
      </c>
      <c r="N16" s="21"/>
      <c r="O16" s="35">
        <v>106</v>
      </c>
      <c r="P16" s="35"/>
      <c r="Q16" s="2"/>
      <c r="R16" s="2"/>
      <c r="S16" s="24"/>
      <c r="T16" s="24"/>
      <c r="U16" s="2"/>
      <c r="V16" s="2"/>
      <c r="W16" s="2"/>
      <c r="X16" s="2">
        <f>IF(O16&gt;0,O16,((P16*2.2046*S16)+(Q16+R16)/G16)+V16)</f>
        <v>106</v>
      </c>
      <c r="Y16" s="2">
        <f>IF(O16&gt;0,O16+W16,((P16*2.2046*S16)+(Q16+R16+T16)/G16)+V16+W16)</f>
        <v>106</v>
      </c>
      <c r="Z16" s="26">
        <f>Y16*F16</f>
        <v>108814.29999999999</v>
      </c>
      <c r="AA16" s="27">
        <v>44389</v>
      </c>
    </row>
    <row r="17" spans="1:29" x14ac:dyDescent="0.25">
      <c r="A17" s="33"/>
      <c r="B17" s="16" t="s">
        <v>33</v>
      </c>
      <c r="C17" t="s">
        <v>34</v>
      </c>
      <c r="D17" s="21" t="s">
        <v>35</v>
      </c>
      <c r="E17">
        <v>202</v>
      </c>
      <c r="F17" s="17">
        <v>22960</v>
      </c>
      <c r="G17" s="18">
        <v>18230</v>
      </c>
      <c r="H17" s="18">
        <f t="shared" si="1"/>
        <v>-4730</v>
      </c>
      <c r="I17" t="s">
        <v>70</v>
      </c>
      <c r="K17" s="20"/>
      <c r="L17" s="20">
        <v>44383</v>
      </c>
      <c r="M17" s="21" t="s">
        <v>71</v>
      </c>
      <c r="N17" s="21"/>
      <c r="O17" s="2">
        <v>41.5</v>
      </c>
      <c r="P17" s="22"/>
      <c r="Q17" s="28">
        <v>26000</v>
      </c>
      <c r="R17" s="2">
        <f>100.6*E17</f>
        <v>20321.199999999997</v>
      </c>
      <c r="S17" s="24">
        <f>-40*E17</f>
        <v>-8080</v>
      </c>
      <c r="T17" s="24">
        <f>X17*F17*0.0045</f>
        <v>5622.7571466812942</v>
      </c>
      <c r="U17" s="2">
        <f>E17*5</f>
        <v>1010</v>
      </c>
      <c r="V17" s="2">
        <v>3600</v>
      </c>
      <c r="W17" s="2">
        <v>0.3</v>
      </c>
      <c r="X17" s="2">
        <f>((O17*F17)+Q17+R17+S17+U17)/G17</f>
        <v>54.420800877674161</v>
      </c>
      <c r="Y17" s="2">
        <f>((O17*F17)+Q17+R17+S17+T17+U17+V17)/G17+W17</f>
        <v>55.226711856647348</v>
      </c>
      <c r="Z17" s="3">
        <f>Y17*G17</f>
        <v>1006782.9571466811</v>
      </c>
      <c r="AA17" s="27">
        <v>44397</v>
      </c>
      <c r="AB17" s="19">
        <v>39.97</v>
      </c>
      <c r="AC17" t="s">
        <v>42</v>
      </c>
    </row>
    <row r="18" spans="1:29" x14ac:dyDescent="0.25">
      <c r="A18" s="33"/>
      <c r="B18" s="16" t="s">
        <v>26</v>
      </c>
      <c r="C18" t="s">
        <v>27</v>
      </c>
      <c r="D18" t="s">
        <v>27</v>
      </c>
      <c r="E18" t="s">
        <v>28</v>
      </c>
      <c r="F18" s="17">
        <f>39957*0.4536</f>
        <v>18124.495200000001</v>
      </c>
      <c r="G18" s="18">
        <v>18141.189999999999</v>
      </c>
      <c r="H18" s="18">
        <f t="shared" si="1"/>
        <v>16.694799999997485</v>
      </c>
      <c r="I18" t="s">
        <v>72</v>
      </c>
      <c r="J18" s="19" t="s">
        <v>45</v>
      </c>
      <c r="K18" s="20">
        <v>44383</v>
      </c>
      <c r="L18" s="20">
        <v>44384</v>
      </c>
      <c r="M18" s="21" t="s">
        <v>73</v>
      </c>
      <c r="N18" s="21" t="s">
        <v>74</v>
      </c>
      <c r="O18" s="2"/>
      <c r="P18" s="22">
        <f>0.7321+0.115</f>
        <v>0.84709999999999996</v>
      </c>
      <c r="Q18" s="23">
        <v>26000</v>
      </c>
      <c r="R18" s="24">
        <v>10963</v>
      </c>
      <c r="S18" s="25">
        <v>20</v>
      </c>
      <c r="T18" s="24">
        <f>X18*F18*0.005</f>
        <v>3580.2992913568387</v>
      </c>
      <c r="V18" s="2">
        <v>0.12</v>
      </c>
      <c r="W18" s="2">
        <v>0.3</v>
      </c>
      <c r="X18" s="2">
        <f>IF(O18&gt;0,O18,((P18*2.2046*S18)+(Q18+R18)/G18)+V18)</f>
        <v>39.507851135703227</v>
      </c>
      <c r="Y18" s="2">
        <f>IF(O18&gt;0,O18+W18,((P18*2.2046*S18)+(Q18+R18+T18)/G18)+V18+W18)</f>
        <v>40.005208601853838</v>
      </c>
      <c r="Z18" s="3">
        <f>Y18*F18</f>
        <v>725074.21127929864</v>
      </c>
      <c r="AA18" s="27">
        <v>44384</v>
      </c>
      <c r="AB18" s="19">
        <v>39.9</v>
      </c>
      <c r="AC18" t="s">
        <v>42</v>
      </c>
    </row>
    <row r="19" spans="1:29" x14ac:dyDescent="0.25">
      <c r="A19" s="33"/>
      <c r="B19" s="16" t="s">
        <v>26</v>
      </c>
      <c r="C19" t="s">
        <v>27</v>
      </c>
      <c r="D19" t="s">
        <v>27</v>
      </c>
      <c r="E19" t="s">
        <v>28</v>
      </c>
      <c r="F19" s="17">
        <f>40152*0.4536</f>
        <v>18212.947199999999</v>
      </c>
      <c r="G19" s="18">
        <v>18202.98</v>
      </c>
      <c r="H19" s="18">
        <f t="shared" si="1"/>
        <v>-9.9671999999991385</v>
      </c>
      <c r="I19" t="s">
        <v>75</v>
      </c>
      <c r="J19" s="19" t="s">
        <v>30</v>
      </c>
      <c r="K19" s="20">
        <v>44384</v>
      </c>
      <c r="L19" s="20">
        <v>44385</v>
      </c>
      <c r="M19" s="21" t="s">
        <v>31</v>
      </c>
      <c r="N19" s="21" t="s">
        <v>76</v>
      </c>
      <c r="O19" s="2"/>
      <c r="P19" s="22">
        <f>0.802+0.115</f>
        <v>0.91700000000000004</v>
      </c>
      <c r="Q19" s="23">
        <v>26000</v>
      </c>
      <c r="R19" s="24">
        <v>11813</v>
      </c>
      <c r="S19" s="25">
        <v>19.920000000000002</v>
      </c>
      <c r="T19" s="24">
        <f>X19*F19*0.005</f>
        <v>3867.3309958067821</v>
      </c>
      <c r="V19" s="2">
        <v>0.12</v>
      </c>
      <c r="W19" s="2">
        <v>0.3</v>
      </c>
      <c r="X19" s="2">
        <f>IF(O19&gt;0,O19,((P19*2.2046*S19)+(Q19+R19)/G19)+V19)</f>
        <v>42.467931777749648</v>
      </c>
      <c r="Y19" s="2">
        <f>IF(O19&gt;0,O19+W19,((P19*2.2046*S19)+(Q19+R19+T19)/G19)+V19+W19)</f>
        <v>42.980387705065212</v>
      </c>
      <c r="Z19" s="26">
        <f>Y19*F19</f>
        <v>782799.53190788184</v>
      </c>
      <c r="AA19" s="27">
        <v>44386</v>
      </c>
      <c r="AB19" s="19">
        <v>40.01</v>
      </c>
      <c r="AC19" t="s">
        <v>27</v>
      </c>
    </row>
    <row r="20" spans="1:29" x14ac:dyDescent="0.25">
      <c r="A20" s="33"/>
      <c r="B20" s="16" t="s">
        <v>33</v>
      </c>
      <c r="C20" t="s">
        <v>34</v>
      </c>
      <c r="D20" s="21" t="s">
        <v>35</v>
      </c>
      <c r="E20">
        <v>193</v>
      </c>
      <c r="F20" s="17">
        <v>21095</v>
      </c>
      <c r="G20" s="18">
        <v>16770</v>
      </c>
      <c r="H20" s="18">
        <f t="shared" si="1"/>
        <v>-4325</v>
      </c>
      <c r="I20" t="s">
        <v>77</v>
      </c>
      <c r="K20" s="20"/>
      <c r="L20" s="20">
        <v>44385</v>
      </c>
      <c r="M20" s="21" t="s">
        <v>31</v>
      </c>
      <c r="N20" s="21"/>
      <c r="O20" s="2">
        <v>41</v>
      </c>
      <c r="P20" s="22"/>
      <c r="Q20" s="28">
        <v>26000</v>
      </c>
      <c r="R20" s="2">
        <f>100.6*E20</f>
        <v>19415.8</v>
      </c>
      <c r="S20" s="24">
        <f>-40*E20</f>
        <v>-7720</v>
      </c>
      <c r="T20" s="24">
        <f>X20*F20*0.0045</f>
        <v>5114.6269054561717</v>
      </c>
      <c r="U20" s="2">
        <f>E20*5</f>
        <v>965</v>
      </c>
      <c r="V20" s="2">
        <v>3600</v>
      </c>
      <c r="W20" s="2">
        <v>0.3</v>
      </c>
      <c r="X20" s="2">
        <f>((O20*F20)+Q20+R20+S20+U20)/G20</f>
        <v>53.879296362552182</v>
      </c>
      <c r="Y20" s="2">
        <f>((O20*F20)+Q20+R20+S20+T20+U20+V20)/G20+W20</f>
        <v>54.698952111237695</v>
      </c>
      <c r="Z20" s="3">
        <f>Y20*G20</f>
        <v>917301.42690545612</v>
      </c>
      <c r="AA20" s="27">
        <v>44399</v>
      </c>
      <c r="AB20" s="19">
        <v>42.98</v>
      </c>
      <c r="AC20" t="s">
        <v>27</v>
      </c>
    </row>
    <row r="21" spans="1:29" x14ac:dyDescent="0.25">
      <c r="A21" s="33"/>
      <c r="B21" s="16" t="s">
        <v>78</v>
      </c>
      <c r="C21" t="s">
        <v>79</v>
      </c>
      <c r="D21" s="21" t="s">
        <v>80</v>
      </c>
      <c r="E21" t="s">
        <v>81</v>
      </c>
      <c r="F21" s="17">
        <v>503.94</v>
      </c>
      <c r="G21" s="18">
        <v>503.94</v>
      </c>
      <c r="H21" s="18">
        <f t="shared" si="1"/>
        <v>0</v>
      </c>
      <c r="I21" t="s">
        <v>82</v>
      </c>
      <c r="K21" s="20"/>
      <c r="L21" s="20">
        <v>44385</v>
      </c>
      <c r="M21" s="21" t="s">
        <v>31</v>
      </c>
      <c r="N21" s="21"/>
      <c r="O21" s="2">
        <v>50</v>
      </c>
      <c r="P21" s="22"/>
      <c r="Q21" s="2"/>
      <c r="R21" s="24"/>
      <c r="S21" s="25"/>
      <c r="T21" s="24"/>
      <c r="V21" s="2"/>
      <c r="W21" s="2"/>
      <c r="X21" s="2">
        <f>IF(O21&gt;0,O21,((P21*2.2046*S21)+(Q21+R21)/G21)+V21)</f>
        <v>50</v>
      </c>
      <c r="Y21" s="2">
        <f>IF(O21&gt;0,O21+W21,((P21*2.2046*S21)+(Q21+R21+T21)/G21)+V21+W21)</f>
        <v>50</v>
      </c>
      <c r="Z21" s="26">
        <f>Y21*F21</f>
        <v>25197</v>
      </c>
      <c r="AA21" s="27">
        <v>44386</v>
      </c>
      <c r="AB21" s="19">
        <v>42.63</v>
      </c>
      <c r="AC21" t="s">
        <v>42</v>
      </c>
    </row>
    <row r="22" spans="1:29" x14ac:dyDescent="0.25">
      <c r="A22" s="33"/>
      <c r="B22" s="16" t="s">
        <v>26</v>
      </c>
      <c r="C22" t="s">
        <v>42</v>
      </c>
      <c r="D22" s="21" t="s">
        <v>42</v>
      </c>
      <c r="E22" t="s">
        <v>43</v>
      </c>
      <c r="F22" s="17">
        <f>40625*0.4536</f>
        <v>18427.5</v>
      </c>
      <c r="G22" s="18">
        <v>18402.41</v>
      </c>
      <c r="H22" s="18">
        <f>G22-F22</f>
        <v>-25.090000000000146</v>
      </c>
      <c r="I22" t="s">
        <v>83</v>
      </c>
      <c r="J22" s="19" t="s">
        <v>30</v>
      </c>
      <c r="K22" s="20">
        <v>44385</v>
      </c>
      <c r="L22" s="20">
        <v>44386</v>
      </c>
      <c r="M22" s="21" t="s">
        <v>46</v>
      </c>
      <c r="N22" s="21" t="s">
        <v>84</v>
      </c>
      <c r="O22" s="2"/>
      <c r="P22" s="22">
        <f>0.802+0.11</f>
        <v>0.91200000000000003</v>
      </c>
      <c r="Q22" s="23">
        <v>26000</v>
      </c>
      <c r="R22" s="24">
        <v>11963</v>
      </c>
      <c r="S22" s="25">
        <v>19.864999999999998</v>
      </c>
      <c r="T22" s="24">
        <f>X22*F22*0.005</f>
        <v>3881.1456861041852</v>
      </c>
      <c r="V22" s="2">
        <v>0.12</v>
      </c>
      <c r="W22" s="2">
        <v>0.3</v>
      </c>
      <c r="X22" s="2">
        <f>IF(O22&gt;0,O22,((P22*2.2046*S22)+(Q22+R22)/G22)+V22)</f>
        <v>42.123409969927394</v>
      </c>
      <c r="Y22" s="2">
        <f>IF(O22&gt;0,O22+W22,((P22*2.2046*S22)+(Q22+R22+T22)/G22)+V22+W22)</f>
        <v>42.634314176827694</v>
      </c>
      <c r="Z22" s="26">
        <f>Y22*F22</f>
        <v>785643.82449349237</v>
      </c>
      <c r="AA22" s="27">
        <v>44379</v>
      </c>
      <c r="AB22" s="19">
        <v>42.53</v>
      </c>
      <c r="AC22" t="s">
        <v>42</v>
      </c>
    </row>
    <row r="23" spans="1:29" x14ac:dyDescent="0.25">
      <c r="A23" s="33"/>
      <c r="B23" s="16" t="s">
        <v>26</v>
      </c>
      <c r="C23" t="s">
        <v>42</v>
      </c>
      <c r="D23" s="21" t="s">
        <v>42</v>
      </c>
      <c r="E23" t="s">
        <v>43</v>
      </c>
      <c r="F23" s="17">
        <f>40487*0.4536</f>
        <v>18364.903200000001</v>
      </c>
      <c r="G23" s="18">
        <v>18357.259999999998</v>
      </c>
      <c r="H23" s="18">
        <f>G23-F23</f>
        <v>-7.6432000000022526</v>
      </c>
      <c r="I23" t="s">
        <v>85</v>
      </c>
      <c r="J23" s="19" t="s">
        <v>30</v>
      </c>
      <c r="K23" s="20">
        <v>44385</v>
      </c>
      <c r="L23" s="20">
        <v>44386</v>
      </c>
      <c r="M23" s="21" t="s">
        <v>46</v>
      </c>
      <c r="N23" s="21" t="s">
        <v>84</v>
      </c>
      <c r="O23" s="2"/>
      <c r="P23" s="22">
        <f>0.802+0.11</f>
        <v>0.91200000000000003</v>
      </c>
      <c r="Q23" s="23">
        <v>26000</v>
      </c>
      <c r="R23" s="24">
        <v>9913</v>
      </c>
      <c r="S23" s="25">
        <v>19.864999999999998</v>
      </c>
      <c r="T23" s="24">
        <f>X23*F23*0.005</f>
        <v>3858.1733668602997</v>
      </c>
      <c r="V23" s="2">
        <v>0.12</v>
      </c>
      <c r="W23" s="2">
        <v>0.3</v>
      </c>
      <c r="X23" s="2">
        <f>IF(O23&gt;0,O23,((P23*2.2046*S23)+(Q23+R23)/G23)+V23)</f>
        <v>42.016811358529779</v>
      </c>
      <c r="Y23" s="2">
        <f>IF(O23&gt;0,O23+W23,((P23*2.2046*S23)+(Q23+R23+T23)/G23)+V23+W23)</f>
        <v>42.526982885591018</v>
      </c>
      <c r="Z23" s="26">
        <f>Y23*F23</f>
        <v>781003.92408193578</v>
      </c>
      <c r="AA23" s="27">
        <v>44379</v>
      </c>
      <c r="AB23" s="37">
        <f>SUM(AB17:AB22)/6</f>
        <v>41.336666666666666</v>
      </c>
      <c r="AC23" t="s">
        <v>86</v>
      </c>
    </row>
    <row r="24" spans="1:29" x14ac:dyDescent="0.25">
      <c r="A24" s="33"/>
      <c r="B24" s="16" t="s">
        <v>58</v>
      </c>
      <c r="C24" t="s">
        <v>59</v>
      </c>
      <c r="D24" s="21" t="s">
        <v>87</v>
      </c>
      <c r="E24" t="s">
        <v>88</v>
      </c>
      <c r="F24" s="17">
        <f>40856.75*0.4536</f>
        <v>18532.621800000001</v>
      </c>
      <c r="G24" s="18">
        <v>18469.82</v>
      </c>
      <c r="H24" s="18">
        <f t="shared" ref="H24:H26" si="2">G24-F24</f>
        <v>-62.801800000001094</v>
      </c>
      <c r="I24">
        <v>15541</v>
      </c>
      <c r="J24" s="19" t="s">
        <v>45</v>
      </c>
      <c r="K24" s="20">
        <v>44385</v>
      </c>
      <c r="L24" s="20">
        <v>44386</v>
      </c>
      <c r="M24" s="21" t="s">
        <v>46</v>
      </c>
      <c r="N24" s="21"/>
      <c r="O24" s="2"/>
      <c r="P24" s="22">
        <v>1.1399999999999999</v>
      </c>
      <c r="Q24" s="23">
        <v>26000</v>
      </c>
      <c r="R24" s="24">
        <v>12355</v>
      </c>
      <c r="S24" s="25">
        <v>20</v>
      </c>
      <c r="T24" s="24">
        <f>X24*F24*0.005</f>
        <v>4861.2467082023986</v>
      </c>
      <c r="V24" s="2">
        <v>0.12</v>
      </c>
      <c r="W24" s="2">
        <v>0.3</v>
      </c>
      <c r="X24" s="2">
        <f>IF(O24&gt;0,O24,((P24*2.2046*S24)+(Q24+R24)/G24)+V24)</f>
        <v>52.461510957962766</v>
      </c>
      <c r="Y24" s="2">
        <f>IF(O24&gt;0,O24+W24,((P24*2.2046*S24)+(Q24+R24+T24)/G24)+V24+W24)</f>
        <v>53.024710421097893</v>
      </c>
      <c r="Z24" s="26">
        <f>Y24*F24</f>
        <v>982686.90428872604</v>
      </c>
      <c r="AA24" s="27">
        <v>44385</v>
      </c>
    </row>
    <row r="25" spans="1:29" x14ac:dyDescent="0.25">
      <c r="A25" s="33"/>
      <c r="B25" s="16" t="s">
        <v>37</v>
      </c>
      <c r="C25" t="s">
        <v>89</v>
      </c>
      <c r="D25" s="21" t="s">
        <v>39</v>
      </c>
      <c r="E25" t="s">
        <v>40</v>
      </c>
      <c r="F25" s="17">
        <v>1386.65</v>
      </c>
      <c r="G25" s="18">
        <v>1386.65</v>
      </c>
      <c r="H25" s="18">
        <f t="shared" si="2"/>
        <v>0</v>
      </c>
      <c r="I25" t="s">
        <v>90</v>
      </c>
      <c r="K25" s="20"/>
      <c r="L25" s="20">
        <v>44386</v>
      </c>
      <c r="M25" s="21" t="s">
        <v>46</v>
      </c>
      <c r="N25" s="21"/>
      <c r="O25" s="2">
        <v>22</v>
      </c>
      <c r="P25" s="22"/>
      <c r="Q25" s="2"/>
      <c r="R25" s="24"/>
      <c r="S25" s="25"/>
      <c r="T25" s="24"/>
      <c r="V25" s="2"/>
      <c r="W25" s="2"/>
      <c r="X25" s="2">
        <f>IF(O25&gt;0,O25,((P25*2.2046*S25)+(Q25+R25)/G25)+V25)</f>
        <v>22</v>
      </c>
      <c r="Y25" s="2">
        <f>IF(O25&gt;0,O25+W25,((P25*2.2046*S25)+(Q25+R25+T25)/G25)+V25+W25)</f>
        <v>22</v>
      </c>
      <c r="Z25" s="26">
        <f>Y25*F25</f>
        <v>30506.300000000003</v>
      </c>
      <c r="AA25" s="27">
        <v>44393</v>
      </c>
    </row>
    <row r="26" spans="1:29" x14ac:dyDescent="0.25">
      <c r="A26" s="33"/>
      <c r="B26" t="s">
        <v>33</v>
      </c>
      <c r="C26" t="s">
        <v>34</v>
      </c>
      <c r="D26" s="21" t="s">
        <v>49</v>
      </c>
      <c r="E26">
        <f>200+50</f>
        <v>250</v>
      </c>
      <c r="F26" s="17">
        <f>21425+5180</f>
        <v>26605</v>
      </c>
      <c r="G26" s="18">
        <v>20660</v>
      </c>
      <c r="H26" s="18">
        <f t="shared" si="2"/>
        <v>-5945</v>
      </c>
      <c r="I26" t="s">
        <v>91</v>
      </c>
      <c r="K26" s="20"/>
      <c r="L26" s="20">
        <v>44386</v>
      </c>
      <c r="M26" s="21" t="s">
        <v>46</v>
      </c>
      <c r="N26" s="21"/>
      <c r="O26" s="2">
        <v>41</v>
      </c>
      <c r="P26" s="22"/>
      <c r="Q26" s="28">
        <v>26000</v>
      </c>
      <c r="R26" s="2">
        <f>100.6*E26</f>
        <v>25150</v>
      </c>
      <c r="S26" s="24">
        <f>-40*E26</f>
        <v>-10000</v>
      </c>
      <c r="T26" s="24">
        <f>X26*F26*0.0045</f>
        <v>6566.8023045740547</v>
      </c>
      <c r="U26" s="2">
        <f>E26*5</f>
        <v>1250</v>
      </c>
      <c r="V26" s="2">
        <v>3600</v>
      </c>
      <c r="W26" s="2">
        <v>0.3</v>
      </c>
      <c r="X26" s="2">
        <f>((O26*F26)+Q26+R26+S26+U26)/G26</f>
        <v>54.850193610842204</v>
      </c>
      <c r="Y26" s="2">
        <f>((O26*F26)+Q26+R26+S26+T26+U26+V26)/G26+W26</f>
        <v>55.642294400027779</v>
      </c>
      <c r="Z26" s="3">
        <f>Y26*G26</f>
        <v>1149569.8023045738</v>
      </c>
      <c r="AA26" s="27">
        <v>44400</v>
      </c>
    </row>
    <row r="27" spans="1:29" x14ac:dyDescent="0.25">
      <c r="A27" s="33"/>
      <c r="B27" s="16"/>
      <c r="D27" s="21"/>
      <c r="F27" s="17"/>
      <c r="G27" s="18"/>
      <c r="H27" s="18"/>
      <c r="I27" s="21"/>
      <c r="K27" s="20"/>
      <c r="L27" s="20">
        <v>44387</v>
      </c>
      <c r="M27" s="21" t="s">
        <v>52</v>
      </c>
      <c r="O27" s="2"/>
      <c r="P27" s="22"/>
      <c r="Q27" s="2"/>
      <c r="R27" s="2"/>
      <c r="S27" s="24"/>
      <c r="T27" s="24"/>
      <c r="U27" s="2"/>
      <c r="V27" s="2"/>
      <c r="W27" s="2"/>
      <c r="X27" s="2"/>
      <c r="Y27" s="2"/>
      <c r="Z27" s="26"/>
      <c r="AA27" s="27"/>
    </row>
    <row r="28" spans="1:29" ht="15.75" thickBot="1" x14ac:dyDescent="0.3">
      <c r="A28" s="38"/>
      <c r="B28" s="31"/>
      <c r="C28" s="4"/>
      <c r="D28" s="4"/>
      <c r="E28" s="4"/>
      <c r="F28" s="32"/>
      <c r="G28" s="32"/>
      <c r="H28" s="32"/>
      <c r="I28" s="7"/>
      <c r="J28" s="4"/>
      <c r="K28" s="8"/>
      <c r="L28" s="8"/>
      <c r="M28" s="4"/>
      <c r="N28" s="4"/>
      <c r="O28" s="9"/>
      <c r="P28" s="10"/>
      <c r="Q28" s="9"/>
      <c r="R28" s="9"/>
      <c r="S28" s="9"/>
      <c r="T28" s="9"/>
      <c r="U28" s="9"/>
      <c r="V28" s="9"/>
      <c r="W28" s="9"/>
      <c r="X28" s="9"/>
      <c r="Y28" s="9"/>
      <c r="Z28" s="13"/>
      <c r="AA28" s="14"/>
    </row>
    <row r="29" spans="1:29" x14ac:dyDescent="0.25">
      <c r="A29" s="39"/>
      <c r="B29" s="16" t="s">
        <v>33</v>
      </c>
      <c r="C29" t="s">
        <v>34</v>
      </c>
      <c r="D29" s="21"/>
      <c r="E29">
        <v>250</v>
      </c>
      <c r="F29" s="17"/>
      <c r="G29" s="18"/>
      <c r="H29" s="18">
        <f t="shared" ref="H29:H37" si="3">G29-F29</f>
        <v>0</v>
      </c>
      <c r="K29" s="20"/>
      <c r="L29" s="20">
        <v>44388</v>
      </c>
      <c r="M29" s="21" t="s">
        <v>57</v>
      </c>
      <c r="N29" s="21"/>
      <c r="O29" s="2"/>
      <c r="P29" s="22"/>
      <c r="Q29" s="28">
        <v>26000</v>
      </c>
      <c r="R29" s="2">
        <f>100.6*E29</f>
        <v>25150</v>
      </c>
      <c r="S29" s="24">
        <f>-40*E29</f>
        <v>-10000</v>
      </c>
      <c r="T29" s="24" t="e">
        <f>X29*F29*0.0045</f>
        <v>#DIV/0!</v>
      </c>
      <c r="U29" s="2">
        <f>E29*5</f>
        <v>1250</v>
      </c>
      <c r="V29" s="2">
        <v>3600</v>
      </c>
      <c r="W29" s="2">
        <v>0.3</v>
      </c>
      <c r="X29" s="2" t="e">
        <f>((O29*F29)+Q29+R29+S29+U29)/G29</f>
        <v>#DIV/0!</v>
      </c>
      <c r="Y29" s="2" t="e">
        <f>((O29*F29)+Q29+R29+S29+T29+U29+V29)/G29+W29</f>
        <v>#DIV/0!</v>
      </c>
      <c r="Z29" s="3" t="e">
        <f>Y29*G29</f>
        <v>#DIV/0!</v>
      </c>
      <c r="AA29" s="27"/>
    </row>
    <row r="30" spans="1:29" x14ac:dyDescent="0.25">
      <c r="A30" s="39"/>
      <c r="D30" s="21"/>
      <c r="F30" s="17"/>
      <c r="G30" s="18"/>
      <c r="H30" s="18">
        <f t="shared" si="3"/>
        <v>0</v>
      </c>
      <c r="I30" s="36"/>
      <c r="K30" s="20"/>
      <c r="L30" s="20">
        <v>44389</v>
      </c>
      <c r="M30" s="21" t="s">
        <v>62</v>
      </c>
      <c r="N30" s="21"/>
      <c r="O30" s="2"/>
      <c r="P30" s="35"/>
      <c r="Q30" s="2"/>
      <c r="R30" s="2"/>
      <c r="S30" s="24"/>
      <c r="T30" s="24"/>
      <c r="U30" s="2"/>
      <c r="V30" s="2"/>
      <c r="W30" s="2"/>
      <c r="X30" s="2" t="e">
        <f>IF(O30&gt;0,O30,((P30*2.2046*S30)+(Q30+R30)/G30)+V30)</f>
        <v>#DIV/0!</v>
      </c>
      <c r="Y30" s="2" t="e">
        <f>IF(O30&gt;0,O30+W30,((P30*2.2046*S30)+(Q30+R30+T30)/G30)+V30+W30)</f>
        <v>#DIV/0!</v>
      </c>
      <c r="Z30" s="26" t="e">
        <f>Y30*F30</f>
        <v>#DIV/0!</v>
      </c>
      <c r="AA30" s="27"/>
    </row>
    <row r="31" spans="1:29" x14ac:dyDescent="0.25">
      <c r="A31" s="39"/>
      <c r="B31" s="16" t="s">
        <v>26</v>
      </c>
      <c r="C31" t="s">
        <v>42</v>
      </c>
      <c r="D31" s="21" t="s">
        <v>42</v>
      </c>
      <c r="E31" t="s">
        <v>43</v>
      </c>
      <c r="F31" s="17">
        <f>38004*0.4536</f>
        <v>17238.614399999999</v>
      </c>
      <c r="G31" s="40">
        <v>17200</v>
      </c>
      <c r="H31" s="18">
        <f t="shared" si="3"/>
        <v>-38.614399999998568</v>
      </c>
      <c r="I31" t="s">
        <v>92</v>
      </c>
      <c r="J31" s="41" t="s">
        <v>30</v>
      </c>
      <c r="K31" s="20">
        <v>44389</v>
      </c>
      <c r="L31" s="20">
        <v>44390</v>
      </c>
      <c r="M31" s="21" t="s">
        <v>71</v>
      </c>
      <c r="N31" s="21" t="s">
        <v>93</v>
      </c>
      <c r="O31" s="2"/>
      <c r="P31" s="22">
        <f>0.872+0.11</f>
        <v>0.98199999999999998</v>
      </c>
      <c r="Q31" s="2">
        <v>26000</v>
      </c>
      <c r="R31" s="24">
        <v>10963</v>
      </c>
      <c r="S31" s="25">
        <v>19.864999999999998</v>
      </c>
      <c r="T31" s="24">
        <f>X31*F31*0.005</f>
        <v>3902.3992478331497</v>
      </c>
      <c r="V31" s="2">
        <v>0.12</v>
      </c>
      <c r="W31" s="2">
        <v>0.3</v>
      </c>
      <c r="X31" s="2">
        <f>IF(O31&gt;0,O31,((P31*2.2046*S31)+(Q31+R31)/G31)+V31)</f>
        <v>45.275091805906975</v>
      </c>
      <c r="Y31" s="2">
        <f>IF(O31&gt;0,O31+W31,((P31*2.2046*S31)+(Q31+R31+T31)/G31)+V31+W31)</f>
        <v>45.801975483106574</v>
      </c>
      <c r="Z31" s="26">
        <f>Y31*F31</f>
        <v>789562.5941115279</v>
      </c>
      <c r="AA31" s="27">
        <v>44383</v>
      </c>
      <c r="AB31" s="19">
        <v>45.8</v>
      </c>
      <c r="AC31" t="s">
        <v>42</v>
      </c>
    </row>
    <row r="32" spans="1:29" x14ac:dyDescent="0.25">
      <c r="A32" s="39"/>
      <c r="B32" s="16" t="s">
        <v>26</v>
      </c>
      <c r="C32" t="s">
        <v>42</v>
      </c>
      <c r="D32" s="21" t="s">
        <v>42</v>
      </c>
      <c r="E32" t="s">
        <v>43</v>
      </c>
      <c r="F32" s="17">
        <f>38394*0.4536</f>
        <v>17415.518400000001</v>
      </c>
      <c r="G32" s="40">
        <v>17400</v>
      </c>
      <c r="H32" s="18">
        <f t="shared" si="3"/>
        <v>-15.518400000000838</v>
      </c>
      <c r="I32" t="s">
        <v>94</v>
      </c>
      <c r="J32" s="41" t="s">
        <v>30</v>
      </c>
      <c r="K32" s="20">
        <v>44389</v>
      </c>
      <c r="L32" s="20">
        <v>44390</v>
      </c>
      <c r="M32" s="21" t="s">
        <v>71</v>
      </c>
      <c r="N32" s="21" t="s">
        <v>93</v>
      </c>
      <c r="O32" s="2"/>
      <c r="P32" s="22">
        <f>0.872+0.11</f>
        <v>0.98199999999999998</v>
      </c>
      <c r="Q32" s="2">
        <v>26000</v>
      </c>
      <c r="R32" s="24">
        <v>11913</v>
      </c>
      <c r="S32" s="25">
        <v>19.864999999999998</v>
      </c>
      <c r="T32" s="24">
        <f>X32*F32*0.005</f>
        <v>3945.0492801322748</v>
      </c>
      <c r="V32" s="2">
        <v>0.12</v>
      </c>
      <c r="W32" s="2">
        <v>0.3</v>
      </c>
      <c r="X32" s="2">
        <f>IF(O32&gt;0,O32,((P32*2.2046*S32)+(Q32+R32)/G32)+V32)</f>
        <v>45.304988223977006</v>
      </c>
      <c r="Y32" s="2">
        <f>IF(O32&gt;0,O32+W32,((P32*2.2046*S32)+(Q32+R32+T32)/G32)+V32+W32)</f>
        <v>45.831715194099552</v>
      </c>
      <c r="Z32" s="26">
        <f>Y32*F32</f>
        <v>798183.07926640031</v>
      </c>
      <c r="AA32" s="27">
        <v>44383</v>
      </c>
      <c r="AB32" s="19">
        <v>45.83</v>
      </c>
      <c r="AC32" t="s">
        <v>42</v>
      </c>
    </row>
    <row r="33" spans="1:29" x14ac:dyDescent="0.25">
      <c r="A33" s="39"/>
      <c r="B33" s="16" t="s">
        <v>33</v>
      </c>
      <c r="C33" t="s">
        <v>34</v>
      </c>
      <c r="D33" s="21"/>
      <c r="E33">
        <v>200</v>
      </c>
      <c r="F33" s="17"/>
      <c r="G33" s="18"/>
      <c r="H33" s="18">
        <f t="shared" si="3"/>
        <v>0</v>
      </c>
      <c r="K33" s="20"/>
      <c r="L33" s="20">
        <v>44390</v>
      </c>
      <c r="M33" s="21" t="s">
        <v>71</v>
      </c>
      <c r="N33" s="21"/>
      <c r="O33" s="2"/>
      <c r="P33" s="22"/>
      <c r="Q33" s="28">
        <v>26000</v>
      </c>
      <c r="R33" s="2">
        <f>100.6*E33</f>
        <v>20120</v>
      </c>
      <c r="S33" s="24">
        <f>-40*E33</f>
        <v>-8000</v>
      </c>
      <c r="T33" s="24" t="e">
        <f>X33*F33*0.0045</f>
        <v>#DIV/0!</v>
      </c>
      <c r="U33" s="2">
        <f>E33*5</f>
        <v>1000</v>
      </c>
      <c r="V33" s="2">
        <v>3600</v>
      </c>
      <c r="W33" s="2">
        <v>0.3</v>
      </c>
      <c r="X33" s="2" t="e">
        <f>((O33*F33)+Q33+R33+S33+U33)/G33</f>
        <v>#DIV/0!</v>
      </c>
      <c r="Y33" s="2" t="e">
        <f>((O33*F33)+Q33+R33+S33+T33+U33+V33)/G33+W33</f>
        <v>#DIV/0!</v>
      </c>
      <c r="Z33" s="3" t="e">
        <f>Y33*G33</f>
        <v>#DIV/0!</v>
      </c>
      <c r="AA33" s="27"/>
      <c r="AB33" s="19">
        <v>45.97</v>
      </c>
      <c r="AC33" t="s">
        <v>27</v>
      </c>
    </row>
    <row r="34" spans="1:29" x14ac:dyDescent="0.25">
      <c r="A34" s="39"/>
      <c r="B34" s="16" t="s">
        <v>26</v>
      </c>
      <c r="C34" t="s">
        <v>27</v>
      </c>
      <c r="D34" t="s">
        <v>27</v>
      </c>
      <c r="E34" t="s">
        <v>28</v>
      </c>
      <c r="F34" s="17">
        <f>40729*0.4536</f>
        <v>18474.6744</v>
      </c>
      <c r="G34" s="40">
        <v>18450</v>
      </c>
      <c r="H34" s="18">
        <f t="shared" si="3"/>
        <v>-24.674399999999878</v>
      </c>
      <c r="I34" t="s">
        <v>95</v>
      </c>
      <c r="J34" s="41" t="s">
        <v>45</v>
      </c>
      <c r="K34" s="20">
        <v>44390</v>
      </c>
      <c r="L34" s="20">
        <v>44391</v>
      </c>
      <c r="M34" s="21" t="s">
        <v>73</v>
      </c>
      <c r="N34" s="21" t="s">
        <v>96</v>
      </c>
      <c r="O34" s="2"/>
      <c r="P34" s="22">
        <f>0.872+0.115</f>
        <v>0.98699999999999999</v>
      </c>
      <c r="Q34" s="2">
        <v>26000</v>
      </c>
      <c r="R34" s="24">
        <v>10963</v>
      </c>
      <c r="S34" s="25">
        <v>19.91</v>
      </c>
      <c r="T34" s="24">
        <f>X34*F34*0.005</f>
        <v>4198.035736778339</v>
      </c>
      <c r="V34" s="2">
        <v>0.12</v>
      </c>
      <c r="W34" s="2">
        <v>0.3</v>
      </c>
      <c r="X34" s="2">
        <f>IF(O34&gt;0,O34,((P34*2.2046*S34)+(Q34+R34)/G34)+V34)</f>
        <v>45.446384016146332</v>
      </c>
      <c r="Y34" s="2">
        <f>IF(O34&gt;0,O34+W34,((P34*2.2046*S34)+(Q34+R34+T34)/G34)+V34+W34)</f>
        <v>45.973919828437843</v>
      </c>
      <c r="Z34" s="3">
        <f>Y34*F34</f>
        <v>849353.19972209306</v>
      </c>
      <c r="AA34" s="27">
        <v>44390</v>
      </c>
      <c r="AB34">
        <v>46.16</v>
      </c>
      <c r="AC34" t="s">
        <v>27</v>
      </c>
    </row>
    <row r="35" spans="1:29" x14ac:dyDescent="0.25">
      <c r="A35" s="39"/>
      <c r="B35" s="16"/>
      <c r="D35" s="21"/>
      <c r="F35" s="17"/>
      <c r="G35" s="18"/>
      <c r="H35" s="18">
        <f t="shared" si="3"/>
        <v>0</v>
      </c>
      <c r="K35" s="20"/>
      <c r="L35" s="20">
        <v>44391</v>
      </c>
      <c r="M35" s="21" t="s">
        <v>73</v>
      </c>
      <c r="N35" s="21"/>
      <c r="O35" s="2"/>
      <c r="P35" s="22"/>
      <c r="Q35" s="2"/>
      <c r="R35" s="2"/>
      <c r="S35" s="25"/>
      <c r="T35" s="24"/>
      <c r="U35" s="2"/>
      <c r="V35" s="2"/>
      <c r="W35" s="2">
        <v>0.3</v>
      </c>
      <c r="X35" s="2" t="e">
        <f>((O35*F35)+Q35+R35+S35+U35)/G35</f>
        <v>#DIV/0!</v>
      </c>
      <c r="Y35" s="2" t="e">
        <f>((O35*F35)+Q35+R35+S35+T35+U35+V35)/G35+W35</f>
        <v>#DIV/0!</v>
      </c>
      <c r="Z35" s="3" t="e">
        <f>Y35*G35</f>
        <v>#DIV/0!</v>
      </c>
      <c r="AA35" s="27"/>
      <c r="AB35" s="19">
        <v>46.45</v>
      </c>
      <c r="AC35" t="s">
        <v>42</v>
      </c>
    </row>
    <row r="36" spans="1:29" x14ac:dyDescent="0.25">
      <c r="A36" s="39"/>
      <c r="B36" s="16" t="s">
        <v>26</v>
      </c>
      <c r="C36" t="s">
        <v>27</v>
      </c>
      <c r="D36" t="s">
        <v>27</v>
      </c>
      <c r="E36" t="s">
        <v>28</v>
      </c>
      <c r="F36" s="17">
        <v>18500</v>
      </c>
      <c r="G36" s="40">
        <v>18500</v>
      </c>
      <c r="H36" s="18">
        <f t="shared" si="3"/>
        <v>0</v>
      </c>
      <c r="I36" t="s">
        <v>97</v>
      </c>
      <c r="J36" s="41" t="s">
        <v>30</v>
      </c>
      <c r="K36" s="20">
        <v>44391</v>
      </c>
      <c r="L36" s="20">
        <v>44392</v>
      </c>
      <c r="M36" s="21" t="s">
        <v>31</v>
      </c>
      <c r="N36" s="21" t="s">
        <v>98</v>
      </c>
      <c r="O36" s="2"/>
      <c r="P36" s="22">
        <f>0.8514+0.115</f>
        <v>0.96640000000000004</v>
      </c>
      <c r="Q36" s="2">
        <v>26000</v>
      </c>
      <c r="R36" s="24">
        <v>9663</v>
      </c>
      <c r="S36" s="42">
        <v>20.399999999999999</v>
      </c>
      <c r="T36" s="24">
        <f>X36*F36*0.005</f>
        <v>4209.7165052799992</v>
      </c>
      <c r="V36" s="2">
        <v>0.12</v>
      </c>
      <c r="W36" s="2">
        <v>0.3</v>
      </c>
      <c r="X36" s="2">
        <f>IF(O36&gt;0,O36,((P36*2.2046*S36)+(Q36+R36)/G36)+V36)</f>
        <v>45.510448705729722</v>
      </c>
      <c r="Y36" s="2">
        <f>IF(O36&gt;0,O36+W36,((P36*2.2046*S36)+(Q36+R36+T36)/G36)+V36+W36)</f>
        <v>46.038000949258368</v>
      </c>
      <c r="Z36" s="26">
        <f>Y36*F36</f>
        <v>851703.01756127982</v>
      </c>
      <c r="AA36" s="27">
        <v>44391</v>
      </c>
      <c r="AB36" s="19">
        <v>46.4</v>
      </c>
      <c r="AC36" t="s">
        <v>42</v>
      </c>
    </row>
    <row r="37" spans="1:29" x14ac:dyDescent="0.25">
      <c r="A37" s="39"/>
      <c r="B37" s="16" t="s">
        <v>33</v>
      </c>
      <c r="C37" t="s">
        <v>34</v>
      </c>
      <c r="D37" s="21"/>
      <c r="E37">
        <v>250</v>
      </c>
      <c r="F37" s="17"/>
      <c r="G37" s="18"/>
      <c r="H37" s="18">
        <f t="shared" si="3"/>
        <v>0</v>
      </c>
      <c r="K37" s="20"/>
      <c r="L37" s="20">
        <v>44392</v>
      </c>
      <c r="M37" s="21" t="s">
        <v>31</v>
      </c>
      <c r="N37" s="21"/>
      <c r="O37" s="2"/>
      <c r="P37" s="22"/>
      <c r="Q37" s="28">
        <v>26000</v>
      </c>
      <c r="R37" s="2">
        <f>100.6*E37</f>
        <v>25150</v>
      </c>
      <c r="S37" s="24">
        <f>-40*E37</f>
        <v>-10000</v>
      </c>
      <c r="T37" s="24" t="e">
        <f>X37*F37*0.0045</f>
        <v>#DIV/0!</v>
      </c>
      <c r="U37" s="2">
        <f>E37*5</f>
        <v>1250</v>
      </c>
      <c r="V37" s="2">
        <v>3600</v>
      </c>
      <c r="W37" s="2">
        <v>0.3</v>
      </c>
      <c r="X37" s="2" t="e">
        <f>((O37*F37)+Q37+R37+S37+U37)/G37</f>
        <v>#DIV/0!</v>
      </c>
      <c r="Y37" s="2" t="e">
        <f>((O37*F37)+Q37+R37+S37+T37+U37+V37)/G37+W37</f>
        <v>#DIV/0!</v>
      </c>
      <c r="Z37" s="3" t="e">
        <f>Y37*G37</f>
        <v>#DIV/0!</v>
      </c>
      <c r="AA37" s="27"/>
      <c r="AB37" s="37">
        <f>SUM(AB31:AB36)/6</f>
        <v>46.101666666666659</v>
      </c>
      <c r="AC37" t="s">
        <v>86</v>
      </c>
    </row>
    <row r="38" spans="1:29" x14ac:dyDescent="0.25">
      <c r="A38" s="39"/>
      <c r="B38" s="16" t="s">
        <v>26</v>
      </c>
      <c r="C38" t="s">
        <v>42</v>
      </c>
      <c r="D38" s="21" t="s">
        <v>42</v>
      </c>
      <c r="E38" t="s">
        <v>43</v>
      </c>
      <c r="F38" s="17">
        <v>18500</v>
      </c>
      <c r="G38" s="40">
        <v>18500</v>
      </c>
      <c r="H38" s="18">
        <f>G38-F38</f>
        <v>0</v>
      </c>
      <c r="I38" t="s">
        <v>99</v>
      </c>
      <c r="J38" s="41"/>
      <c r="K38" s="20">
        <v>44392</v>
      </c>
      <c r="L38" s="20">
        <v>44393</v>
      </c>
      <c r="M38" s="21" t="s">
        <v>46</v>
      </c>
      <c r="N38" s="21" t="s">
        <v>100</v>
      </c>
      <c r="O38" s="2"/>
      <c r="P38" s="22">
        <f>0.8861+0.11</f>
        <v>0.99609999999999999</v>
      </c>
      <c r="Q38" s="2">
        <v>26000</v>
      </c>
      <c r="R38" s="43">
        <v>12000</v>
      </c>
      <c r="S38" s="25">
        <v>19.920000000000002</v>
      </c>
      <c r="T38" s="24">
        <f>X38*F38*0.005</f>
        <v>4247.4533957560006</v>
      </c>
      <c r="V38" s="2">
        <v>0.12</v>
      </c>
      <c r="W38" s="2">
        <v>0.3</v>
      </c>
      <c r="X38" s="2">
        <f>IF(O38&gt;0,O38,((P38*2.2046*S38)+(Q38+R38)/G38)+V38)</f>
        <v>45.918415089254061</v>
      </c>
      <c r="Y38" s="2">
        <f>IF(O38&gt;0,O38+W38,((P38*2.2046*S38)+(Q38+R38+T38)/G38)+V38+W38)</f>
        <v>46.448007164700329</v>
      </c>
      <c r="Z38" s="26">
        <f>Y38*F38</f>
        <v>859288.13254695607</v>
      </c>
      <c r="AA38" s="27">
        <v>44386</v>
      </c>
    </row>
    <row r="39" spans="1:29" x14ac:dyDescent="0.25">
      <c r="A39" s="39"/>
      <c r="B39" s="16" t="s">
        <v>26</v>
      </c>
      <c r="C39" t="s">
        <v>42</v>
      </c>
      <c r="D39" s="21" t="s">
        <v>42</v>
      </c>
      <c r="E39" t="s">
        <v>43</v>
      </c>
      <c r="F39" s="17">
        <v>18500</v>
      </c>
      <c r="G39" s="40">
        <v>18500</v>
      </c>
      <c r="H39" s="18">
        <f>G39-F39</f>
        <v>0</v>
      </c>
      <c r="I39" t="s">
        <v>101</v>
      </c>
      <c r="J39" s="41"/>
      <c r="K39" s="20">
        <v>44392</v>
      </c>
      <c r="L39" s="20">
        <v>44393</v>
      </c>
      <c r="M39" s="21" t="s">
        <v>46</v>
      </c>
      <c r="N39" s="21" t="s">
        <v>100</v>
      </c>
      <c r="O39" s="2"/>
      <c r="P39" s="22">
        <f>0.8861+0.11</f>
        <v>0.99609999999999999</v>
      </c>
      <c r="Q39" s="2">
        <v>26000</v>
      </c>
      <c r="R39" s="43">
        <v>12000</v>
      </c>
      <c r="S39" s="25">
        <v>19.899999999999999</v>
      </c>
      <c r="T39" s="24">
        <f>X39*F39*0.005</f>
        <v>4243.3907919450003</v>
      </c>
      <c r="V39" s="2">
        <v>0.12</v>
      </c>
      <c r="W39" s="2">
        <v>0.3</v>
      </c>
      <c r="X39" s="2">
        <f>IF(O39&gt;0,O39,((P39*2.2046*S39)+(Q39+R39)/G39)+V39)</f>
        <v>45.874495048054051</v>
      </c>
      <c r="Y39" s="2">
        <f>IF(O39&gt;0,O39+W39,((P39*2.2046*S39)+(Q39+R39+T39)/G39)+V39+W39)</f>
        <v>46.403867523294316</v>
      </c>
      <c r="Z39" s="26">
        <f>Y39*F39</f>
        <v>858471.5491809448</v>
      </c>
      <c r="AA39" s="27"/>
    </row>
    <row r="40" spans="1:29" x14ac:dyDescent="0.25">
      <c r="A40" s="39"/>
      <c r="B40" t="s">
        <v>33</v>
      </c>
      <c r="C40" t="s">
        <v>34</v>
      </c>
      <c r="D40" s="21"/>
      <c r="E40">
        <v>250</v>
      </c>
      <c r="F40" s="17"/>
      <c r="G40" s="18"/>
      <c r="H40" s="18">
        <f>G40-F40</f>
        <v>0</v>
      </c>
      <c r="K40" s="20"/>
      <c r="L40" s="20">
        <v>44393</v>
      </c>
      <c r="M40" s="21" t="s">
        <v>46</v>
      </c>
      <c r="N40" s="21"/>
      <c r="O40" s="2"/>
      <c r="P40" s="22"/>
      <c r="Q40" s="2"/>
      <c r="R40" s="2"/>
      <c r="S40" s="24"/>
      <c r="T40" s="24"/>
      <c r="U40" s="2">
        <f>E40*5</f>
        <v>1250</v>
      </c>
      <c r="V40" s="2"/>
      <c r="W40" s="2">
        <v>0.3</v>
      </c>
      <c r="X40" s="2" t="e">
        <f>((O40*F40)+Q40+R40+S40+U40)/G40</f>
        <v>#DIV/0!</v>
      </c>
      <c r="Y40" s="2" t="e">
        <f>((O40*F40)+Q40+R40+S40+T40+U40+V40)/G40+W40</f>
        <v>#DIV/0!</v>
      </c>
      <c r="Z40" s="3" t="e">
        <f>Y40*G40</f>
        <v>#DIV/0!</v>
      </c>
      <c r="AA40" s="27"/>
    </row>
    <row r="41" spans="1:29" x14ac:dyDescent="0.25">
      <c r="A41" s="39"/>
      <c r="B41" s="16"/>
      <c r="D41" s="21"/>
      <c r="F41" s="17"/>
      <c r="G41" s="18"/>
      <c r="H41" s="18"/>
      <c r="I41" s="21"/>
      <c r="K41" s="20"/>
      <c r="L41" s="20">
        <v>44394</v>
      </c>
      <c r="M41" s="21" t="s">
        <v>52</v>
      </c>
      <c r="O41" s="2"/>
      <c r="P41" s="22"/>
      <c r="Q41" s="2"/>
      <c r="R41" s="2"/>
      <c r="S41" s="24"/>
      <c r="T41" s="24"/>
      <c r="U41" s="2"/>
      <c r="V41" s="2"/>
      <c r="W41" s="2"/>
      <c r="X41" s="2"/>
      <c r="Y41" s="2"/>
      <c r="Z41" s="26"/>
      <c r="AA41" s="27"/>
    </row>
    <row r="42" spans="1:29" ht="15.75" thickBot="1" x14ac:dyDescent="0.3">
      <c r="A42" s="44"/>
      <c r="B42" s="31"/>
      <c r="C42" s="4"/>
      <c r="D42" s="4"/>
      <c r="E42" s="4"/>
      <c r="F42" s="32"/>
      <c r="G42" s="32"/>
      <c r="H42" s="32"/>
      <c r="I42" s="7"/>
      <c r="J42" s="4"/>
      <c r="K42" s="8"/>
      <c r="L42" s="8"/>
      <c r="M42" s="4"/>
      <c r="N42" s="4"/>
      <c r="O42" s="9"/>
      <c r="P42" s="10"/>
      <c r="Q42" s="9"/>
      <c r="R42" s="9"/>
      <c r="S42" s="9"/>
      <c r="T42" s="9"/>
      <c r="U42" s="9"/>
      <c r="V42" s="9"/>
      <c r="W42" s="9"/>
      <c r="X42" s="9"/>
      <c r="Y42" s="9"/>
      <c r="Z42" s="13"/>
      <c r="AA42" s="14"/>
    </row>
    <row r="43" spans="1:29" x14ac:dyDescent="0.25">
      <c r="A43" s="45"/>
      <c r="B43" s="16" t="s">
        <v>33</v>
      </c>
      <c r="C43" t="s">
        <v>34</v>
      </c>
      <c r="D43" s="21"/>
      <c r="E43">
        <v>250</v>
      </c>
      <c r="F43" s="17"/>
      <c r="G43" s="18"/>
      <c r="H43" s="18">
        <f t="shared" ref="H43:H51" si="4">G43-F43</f>
        <v>0</v>
      </c>
      <c r="K43" s="20"/>
      <c r="L43" s="20">
        <v>44395</v>
      </c>
      <c r="M43" s="21" t="s">
        <v>57</v>
      </c>
      <c r="N43" s="21"/>
      <c r="O43" s="2"/>
      <c r="P43" s="22"/>
      <c r="Q43" s="28">
        <v>26000</v>
      </c>
      <c r="R43" s="2">
        <f>100.6*E43</f>
        <v>25150</v>
      </c>
      <c r="S43" s="24">
        <f>-40*E43</f>
        <v>-10000</v>
      </c>
      <c r="T43" s="24" t="e">
        <f>X43*F43*0.0045</f>
        <v>#DIV/0!</v>
      </c>
      <c r="U43" s="2">
        <f>E43*5</f>
        <v>1250</v>
      </c>
      <c r="V43" s="2">
        <v>3600</v>
      </c>
      <c r="W43" s="2">
        <v>0.3</v>
      </c>
      <c r="X43" s="2" t="e">
        <f>((O43*F43)+Q43+R43+S43+U43)/G43</f>
        <v>#DIV/0!</v>
      </c>
      <c r="Y43" s="2" t="e">
        <f>((O43*F43)+Q43+R43+S43+T43+U43+V43)/G43+W43</f>
        <v>#DIV/0!</v>
      </c>
      <c r="Z43" s="3" t="e">
        <f>Y43*G43</f>
        <v>#DIV/0!</v>
      </c>
      <c r="AA43" s="27"/>
    </row>
    <row r="44" spans="1:29" x14ac:dyDescent="0.25">
      <c r="A44" s="45"/>
      <c r="D44" s="21"/>
      <c r="F44" s="17"/>
      <c r="G44" s="18"/>
      <c r="H44" s="18">
        <f t="shared" si="4"/>
        <v>0</v>
      </c>
      <c r="I44" s="36"/>
      <c r="K44" s="20"/>
      <c r="L44" s="20">
        <v>44396</v>
      </c>
      <c r="M44" s="21" t="s">
        <v>62</v>
      </c>
      <c r="N44" s="21"/>
      <c r="O44" s="2"/>
      <c r="P44" s="35"/>
      <c r="Q44" s="2"/>
      <c r="R44" s="2"/>
      <c r="S44" s="24"/>
      <c r="T44" s="24"/>
      <c r="U44" s="2"/>
      <c r="V44" s="2"/>
      <c r="W44" s="2"/>
      <c r="X44" s="2" t="e">
        <f>IF(O44&gt;0,O44,((P44*2.2046*S44)+(Q44+R44)/G44)+V44)</f>
        <v>#DIV/0!</v>
      </c>
      <c r="Y44" s="2" t="e">
        <f>IF(O44&gt;0,O44+W44,((P44*2.2046*S44)+(Q44+R44+T44)/G44)+V44+W44)</f>
        <v>#DIV/0!</v>
      </c>
      <c r="Z44" s="26" t="e">
        <f>Y44*F44</f>
        <v>#DIV/0!</v>
      </c>
      <c r="AA44" s="27"/>
    </row>
    <row r="45" spans="1:29" x14ac:dyDescent="0.25">
      <c r="A45" s="45"/>
      <c r="B45" s="16" t="s">
        <v>26</v>
      </c>
      <c r="C45" t="s">
        <v>42</v>
      </c>
      <c r="D45" s="21" t="s">
        <v>42</v>
      </c>
      <c r="E45" t="s">
        <v>43</v>
      </c>
      <c r="F45" s="17">
        <v>18500</v>
      </c>
      <c r="G45" s="40">
        <v>18500</v>
      </c>
      <c r="H45" s="18">
        <f t="shared" si="4"/>
        <v>0</v>
      </c>
      <c r="I45" t="s">
        <v>102</v>
      </c>
      <c r="J45" s="41"/>
      <c r="K45" s="20">
        <v>44396</v>
      </c>
      <c r="L45" s="20">
        <v>44397</v>
      </c>
      <c r="M45" s="21" t="s">
        <v>71</v>
      </c>
      <c r="N45" s="21" t="s">
        <v>103</v>
      </c>
      <c r="O45" s="2"/>
      <c r="P45" s="22"/>
      <c r="Q45" s="2">
        <v>26000</v>
      </c>
      <c r="R45" s="43">
        <v>12000</v>
      </c>
      <c r="S45" s="25">
        <v>20.07</v>
      </c>
      <c r="T45" s="24">
        <f>X45*F45*0.005</f>
        <v>201.1</v>
      </c>
      <c r="V45" s="2">
        <v>0.12</v>
      </c>
      <c r="W45" s="2">
        <v>0.3</v>
      </c>
      <c r="X45" s="2">
        <f>IF(O45&gt;0,O45,((P45*2.2046*S45)+(Q45+R45)/G45)+V45)</f>
        <v>2.1740540540540541</v>
      </c>
      <c r="Y45" s="2">
        <f>IF(O45&gt;0,O45+W45,((P45*2.2046*S45)+(Q45+R45+T45)/G45)+V45+W45)</f>
        <v>2.4849243243243242</v>
      </c>
      <c r="Z45" s="26">
        <f>Y45*F45</f>
        <v>45971.1</v>
      </c>
      <c r="AA45" s="27">
        <v>44390</v>
      </c>
      <c r="AB45" s="19"/>
      <c r="AC45" t="s">
        <v>42</v>
      </c>
    </row>
    <row r="46" spans="1:29" x14ac:dyDescent="0.25">
      <c r="A46" s="45"/>
      <c r="B46" s="16" t="s">
        <v>26</v>
      </c>
      <c r="C46" t="s">
        <v>42</v>
      </c>
      <c r="D46" s="21" t="s">
        <v>42</v>
      </c>
      <c r="E46" t="s">
        <v>43</v>
      </c>
      <c r="F46" s="17">
        <v>18500</v>
      </c>
      <c r="G46" s="40">
        <v>18500</v>
      </c>
      <c r="H46" s="18">
        <f t="shared" si="4"/>
        <v>0</v>
      </c>
      <c r="I46" t="s">
        <v>104</v>
      </c>
      <c r="J46" s="41"/>
      <c r="K46" s="20">
        <v>44396</v>
      </c>
      <c r="L46" s="20">
        <v>44397</v>
      </c>
      <c r="M46" s="21" t="s">
        <v>71</v>
      </c>
      <c r="N46" s="21" t="s">
        <v>103</v>
      </c>
      <c r="O46" s="2"/>
      <c r="P46" s="22"/>
      <c r="Q46" s="2">
        <v>26000</v>
      </c>
      <c r="R46" s="43">
        <v>12000</v>
      </c>
      <c r="S46" s="25">
        <v>20.07</v>
      </c>
      <c r="T46" s="24">
        <f>X46*F46*0.005</f>
        <v>201.1</v>
      </c>
      <c r="V46" s="2">
        <v>0.12</v>
      </c>
      <c r="W46" s="2">
        <v>0.3</v>
      </c>
      <c r="X46" s="2">
        <f>IF(O46&gt;0,O46,((P46*2.2046*S46)+(Q46+R46)/G46)+V46)</f>
        <v>2.1740540540540541</v>
      </c>
      <c r="Y46" s="2">
        <f>IF(O46&gt;0,O46+W46,((P46*2.2046*S46)+(Q46+R46+T46)/G46)+V46+W46)</f>
        <v>2.4849243243243242</v>
      </c>
      <c r="Z46" s="26">
        <f>Y46*F46</f>
        <v>45971.1</v>
      </c>
      <c r="AA46" s="27">
        <v>44390</v>
      </c>
      <c r="AB46" s="19"/>
      <c r="AC46" t="s">
        <v>42</v>
      </c>
    </row>
    <row r="47" spans="1:29" x14ac:dyDescent="0.25">
      <c r="A47" s="45"/>
      <c r="B47" s="16" t="s">
        <v>33</v>
      </c>
      <c r="C47" t="s">
        <v>34</v>
      </c>
      <c r="D47" s="21"/>
      <c r="E47">
        <v>200</v>
      </c>
      <c r="F47" s="17"/>
      <c r="G47" s="18"/>
      <c r="H47" s="18">
        <f t="shared" si="4"/>
        <v>0</v>
      </c>
      <c r="K47" s="20"/>
      <c r="L47" s="20">
        <v>44397</v>
      </c>
      <c r="M47" s="21" t="s">
        <v>71</v>
      </c>
      <c r="N47" s="21"/>
      <c r="O47" s="2"/>
      <c r="P47" s="22"/>
      <c r="Q47" s="28">
        <v>26000</v>
      </c>
      <c r="R47" s="2">
        <f>100.6*E47</f>
        <v>20120</v>
      </c>
      <c r="S47" s="24">
        <f>-40*E47</f>
        <v>-8000</v>
      </c>
      <c r="T47" s="24" t="e">
        <f>X47*F47*0.0045</f>
        <v>#DIV/0!</v>
      </c>
      <c r="U47" s="2">
        <f>E47*5</f>
        <v>1000</v>
      </c>
      <c r="V47" s="2">
        <v>3600</v>
      </c>
      <c r="W47" s="2">
        <v>0.3</v>
      </c>
      <c r="X47" s="2" t="e">
        <f>((O47*F47)+Q47+R47+S47+U47)/G47</f>
        <v>#DIV/0!</v>
      </c>
      <c r="Y47" s="2" t="e">
        <f>((O47*F47)+Q47+R47+S47+T47+U47+V47)/G47+W47</f>
        <v>#DIV/0!</v>
      </c>
      <c r="Z47" s="3" t="e">
        <f>Y47*G47</f>
        <v>#DIV/0!</v>
      </c>
      <c r="AA47" s="27"/>
      <c r="AC47" t="s">
        <v>27</v>
      </c>
    </row>
    <row r="48" spans="1:29" x14ac:dyDescent="0.25">
      <c r="A48" s="45"/>
      <c r="B48" s="16" t="s">
        <v>26</v>
      </c>
      <c r="C48" t="s">
        <v>27</v>
      </c>
      <c r="D48" t="s">
        <v>27</v>
      </c>
      <c r="E48" t="s">
        <v>28</v>
      </c>
      <c r="F48" s="17">
        <v>18500</v>
      </c>
      <c r="G48" s="40">
        <v>18500</v>
      </c>
      <c r="H48" s="18">
        <f t="shared" si="4"/>
        <v>0</v>
      </c>
      <c r="I48" t="s">
        <v>105</v>
      </c>
      <c r="J48" s="41"/>
      <c r="K48" s="20">
        <v>44397</v>
      </c>
      <c r="L48" s="20">
        <v>44398</v>
      </c>
      <c r="M48" s="21" t="s">
        <v>73</v>
      </c>
      <c r="N48" s="21" t="s">
        <v>106</v>
      </c>
      <c r="O48" s="2"/>
      <c r="P48" s="22"/>
      <c r="Q48" s="2">
        <v>26000</v>
      </c>
      <c r="R48" s="43">
        <v>12000</v>
      </c>
      <c r="S48" s="42">
        <v>20.5</v>
      </c>
      <c r="T48" s="24">
        <f>X48*F48*0.005</f>
        <v>201.1</v>
      </c>
      <c r="V48" s="2">
        <v>0.12</v>
      </c>
      <c r="W48" s="2">
        <v>0.3</v>
      </c>
      <c r="X48" s="2">
        <f>IF(O48&gt;0,O48,((P48*2.2046*S48)+(Q48+R48)/G48)+V48)</f>
        <v>2.1740540540540541</v>
      </c>
      <c r="Y48" s="2">
        <f>IF(O48&gt;0,O48+W48,((P48*2.2046*S48)+(Q48+R48+T48)/G48)+V48+W48)</f>
        <v>2.4849243243243242</v>
      </c>
      <c r="Z48" s="3">
        <f>Y48*F48</f>
        <v>45971.1</v>
      </c>
      <c r="AA48" s="27"/>
      <c r="AC48" t="s">
        <v>27</v>
      </c>
    </row>
    <row r="49" spans="1:29" x14ac:dyDescent="0.25">
      <c r="A49" s="45"/>
      <c r="B49" s="16"/>
      <c r="D49" s="21"/>
      <c r="F49" s="17"/>
      <c r="G49" s="18"/>
      <c r="H49" s="18">
        <f t="shared" si="4"/>
        <v>0</v>
      </c>
      <c r="K49" s="20"/>
      <c r="L49" s="20">
        <v>44398</v>
      </c>
      <c r="M49" s="21" t="s">
        <v>73</v>
      </c>
      <c r="N49" s="21"/>
      <c r="O49" s="2"/>
      <c r="P49" s="22"/>
      <c r="Q49" s="2"/>
      <c r="R49" s="2"/>
      <c r="S49" s="25"/>
      <c r="T49" s="24"/>
      <c r="U49" s="2"/>
      <c r="V49" s="2"/>
      <c r="W49" s="2">
        <v>0.3</v>
      </c>
      <c r="X49" s="2" t="e">
        <f>((O49*F49)+Q49+R49+S49+U49)/G49</f>
        <v>#DIV/0!</v>
      </c>
      <c r="Y49" s="2" t="e">
        <f>((O49*F49)+Q49+R49+S49+T49+U49+V49)/G49+W49</f>
        <v>#DIV/0!</v>
      </c>
      <c r="Z49" s="3" t="e">
        <f>Y49*G49</f>
        <v>#DIV/0!</v>
      </c>
      <c r="AA49" s="27"/>
      <c r="AB49" s="19"/>
      <c r="AC49" t="s">
        <v>42</v>
      </c>
    </row>
    <row r="50" spans="1:29" x14ac:dyDescent="0.25">
      <c r="A50" s="45"/>
      <c r="B50" s="16" t="s">
        <v>26</v>
      </c>
      <c r="C50" t="s">
        <v>27</v>
      </c>
      <c r="D50" t="s">
        <v>27</v>
      </c>
      <c r="E50" t="s">
        <v>28</v>
      </c>
      <c r="F50" s="17">
        <v>18500</v>
      </c>
      <c r="G50" s="40">
        <v>18500</v>
      </c>
      <c r="H50" s="18">
        <f t="shared" si="4"/>
        <v>0</v>
      </c>
      <c r="I50" t="s">
        <v>107</v>
      </c>
      <c r="J50" s="41"/>
      <c r="K50" s="20">
        <v>44398</v>
      </c>
      <c r="L50" s="20">
        <v>44399</v>
      </c>
      <c r="M50" s="21" t="s">
        <v>31</v>
      </c>
      <c r="N50" s="21" t="s">
        <v>108</v>
      </c>
      <c r="O50" s="2"/>
      <c r="P50" s="22"/>
      <c r="Q50" s="2">
        <v>26000</v>
      </c>
      <c r="R50" s="43">
        <v>12000</v>
      </c>
      <c r="S50" s="42">
        <v>20.5</v>
      </c>
      <c r="T50" s="24">
        <f>X50*F50*0.005</f>
        <v>201.1</v>
      </c>
      <c r="V50" s="2">
        <v>0.12</v>
      </c>
      <c r="W50" s="2">
        <v>0.3</v>
      </c>
      <c r="X50" s="2">
        <f>IF(O50&gt;0,O50,((P50*2.2046*S50)+(Q50+R50)/G50)+V50)</f>
        <v>2.1740540540540541</v>
      </c>
      <c r="Y50" s="2">
        <f>IF(O50&gt;0,O50+W50,((P50*2.2046*S50)+(Q50+R50+T50)/G50)+V50+W50)</f>
        <v>2.4849243243243242</v>
      </c>
      <c r="Z50" s="26">
        <f>Y50*F50</f>
        <v>45971.1</v>
      </c>
      <c r="AA50" s="27"/>
      <c r="AB50" s="19"/>
      <c r="AC50" t="s">
        <v>42</v>
      </c>
    </row>
    <row r="51" spans="1:29" x14ac:dyDescent="0.25">
      <c r="A51" s="45"/>
      <c r="B51" s="16" t="s">
        <v>33</v>
      </c>
      <c r="C51" t="s">
        <v>34</v>
      </c>
      <c r="D51" s="21"/>
      <c r="E51">
        <v>250</v>
      </c>
      <c r="F51" s="17"/>
      <c r="G51" s="18"/>
      <c r="H51" s="18">
        <f t="shared" si="4"/>
        <v>0</v>
      </c>
      <c r="K51" s="20"/>
      <c r="L51" s="20">
        <v>44399</v>
      </c>
      <c r="M51" s="21" t="s">
        <v>31</v>
      </c>
      <c r="N51" s="21"/>
      <c r="O51" s="2"/>
      <c r="P51" s="22"/>
      <c r="Q51" s="28">
        <v>26000</v>
      </c>
      <c r="R51" s="2">
        <f>100.6*E51</f>
        <v>25150</v>
      </c>
      <c r="S51" s="24">
        <f>-40*E51</f>
        <v>-10000</v>
      </c>
      <c r="T51" s="24" t="e">
        <f>X51*F51*0.0045</f>
        <v>#DIV/0!</v>
      </c>
      <c r="U51" s="2">
        <f>E51*5</f>
        <v>1250</v>
      </c>
      <c r="V51" s="2">
        <v>3600</v>
      </c>
      <c r="W51" s="2">
        <v>0.3</v>
      </c>
      <c r="X51" s="2" t="e">
        <f>((O51*F51)+Q51+R51+S51+U51)/G51</f>
        <v>#DIV/0!</v>
      </c>
      <c r="Y51" s="2" t="e">
        <f>((O51*F51)+Q51+R51+S51+T51+U51+V51)/G51+W51</f>
        <v>#DIV/0!</v>
      </c>
      <c r="Z51" s="3" t="e">
        <f>Y51*G51</f>
        <v>#DIV/0!</v>
      </c>
      <c r="AA51" s="27"/>
      <c r="AB51" s="37"/>
      <c r="AC51" t="s">
        <v>86</v>
      </c>
    </row>
    <row r="52" spans="1:29" x14ac:dyDescent="0.25">
      <c r="A52" s="45"/>
      <c r="B52" s="16" t="s">
        <v>26</v>
      </c>
      <c r="C52" t="s">
        <v>42</v>
      </c>
      <c r="D52" s="21" t="s">
        <v>42</v>
      </c>
      <c r="E52" t="s">
        <v>43</v>
      </c>
      <c r="F52" s="17">
        <v>18500</v>
      </c>
      <c r="G52" s="40">
        <v>18500</v>
      </c>
      <c r="H52" s="18">
        <f>G52-F52</f>
        <v>0</v>
      </c>
      <c r="I52" t="s">
        <v>109</v>
      </c>
      <c r="J52" s="41"/>
      <c r="K52" s="20">
        <v>44399</v>
      </c>
      <c r="L52" s="20">
        <v>44400</v>
      </c>
      <c r="M52" s="21" t="s">
        <v>46</v>
      </c>
      <c r="N52" s="21" t="s">
        <v>110</v>
      </c>
      <c r="O52" s="2"/>
      <c r="P52" s="22"/>
      <c r="Q52" s="2">
        <v>26000</v>
      </c>
      <c r="R52" s="43">
        <v>12000</v>
      </c>
      <c r="S52" s="42">
        <v>20.5</v>
      </c>
      <c r="T52" s="24">
        <f>X52*F52*0.005</f>
        <v>201.1</v>
      </c>
      <c r="V52" s="2">
        <v>0.12</v>
      </c>
      <c r="W52" s="2">
        <v>0.3</v>
      </c>
      <c r="X52" s="2">
        <f>IF(O52&gt;0,O52,((P52*2.2046*S52)+(Q52+R52)/G52)+V52)</f>
        <v>2.1740540540540541</v>
      </c>
      <c r="Y52" s="2">
        <f>IF(O52&gt;0,O52+W52,((P52*2.2046*S52)+(Q52+R52+T52)/G52)+V52+W52)</f>
        <v>2.4849243243243242</v>
      </c>
      <c r="Z52" s="26">
        <f>Y52*F52</f>
        <v>45971.1</v>
      </c>
      <c r="AA52" s="27"/>
    </row>
    <row r="53" spans="1:29" x14ac:dyDescent="0.25">
      <c r="A53" s="45"/>
      <c r="B53" s="16" t="s">
        <v>26</v>
      </c>
      <c r="C53" t="s">
        <v>42</v>
      </c>
      <c r="D53" s="21" t="s">
        <v>42</v>
      </c>
      <c r="E53" t="s">
        <v>43</v>
      </c>
      <c r="F53" s="17">
        <v>18500</v>
      </c>
      <c r="G53" s="40">
        <v>18500</v>
      </c>
      <c r="H53" s="18">
        <f>G53-F53</f>
        <v>0</v>
      </c>
      <c r="I53" t="s">
        <v>111</v>
      </c>
      <c r="J53" s="41"/>
      <c r="K53" s="20">
        <v>44399</v>
      </c>
      <c r="L53" s="20">
        <v>44400</v>
      </c>
      <c r="M53" s="21" t="s">
        <v>46</v>
      </c>
      <c r="N53" s="21" t="s">
        <v>110</v>
      </c>
      <c r="O53" s="2"/>
      <c r="P53" s="22"/>
      <c r="Q53" s="2">
        <v>26000</v>
      </c>
      <c r="R53" s="43">
        <v>12000</v>
      </c>
      <c r="S53" s="42">
        <v>20.5</v>
      </c>
      <c r="T53" s="24">
        <f>X53*F53*0.005</f>
        <v>201.1</v>
      </c>
      <c r="V53" s="2">
        <v>0.12</v>
      </c>
      <c r="W53" s="2">
        <v>0.3</v>
      </c>
      <c r="X53" s="2">
        <f>IF(O53&gt;0,O53,((P53*2.2046*S53)+(Q53+R53)/G53)+V53)</f>
        <v>2.1740540540540541</v>
      </c>
      <c r="Y53" s="2">
        <f>IF(O53&gt;0,O53+W53,((P53*2.2046*S53)+(Q53+R53+T53)/G53)+V53+W53)</f>
        <v>2.4849243243243242</v>
      </c>
      <c r="Z53" s="26">
        <f>Y53*F53</f>
        <v>45971.1</v>
      </c>
      <c r="AA53" s="27"/>
    </row>
    <row r="54" spans="1:29" x14ac:dyDescent="0.25">
      <c r="A54" s="45"/>
      <c r="B54" t="s">
        <v>33</v>
      </c>
      <c r="C54" t="s">
        <v>34</v>
      </c>
      <c r="D54" s="21"/>
      <c r="E54">
        <v>250</v>
      </c>
      <c r="F54" s="17"/>
      <c r="G54" s="18"/>
      <c r="H54" s="18">
        <f>G54-F54</f>
        <v>0</v>
      </c>
      <c r="K54" s="20"/>
      <c r="L54" s="20">
        <v>44400</v>
      </c>
      <c r="M54" s="21" t="s">
        <v>46</v>
      </c>
      <c r="N54" s="21"/>
      <c r="O54" s="2"/>
      <c r="P54" s="22"/>
      <c r="Q54" s="2"/>
      <c r="R54" s="2"/>
      <c r="S54" s="24"/>
      <c r="T54" s="24"/>
      <c r="U54" s="2">
        <f>E54*5</f>
        <v>1250</v>
      </c>
      <c r="V54" s="2"/>
      <c r="W54" s="2">
        <v>0.3</v>
      </c>
      <c r="X54" s="2" t="e">
        <f>((O54*F54)+Q54+R54+S54+U54)/G54</f>
        <v>#DIV/0!</v>
      </c>
      <c r="Y54" s="2" t="e">
        <f>((O54*F54)+Q54+R54+S54+T54+U54+V54)/G54+W54</f>
        <v>#DIV/0!</v>
      </c>
      <c r="Z54" s="3" t="e">
        <f>Y54*G54</f>
        <v>#DIV/0!</v>
      </c>
      <c r="AA54" s="27"/>
    </row>
    <row r="55" spans="1:29" x14ac:dyDescent="0.25">
      <c r="A55" s="45"/>
      <c r="B55" s="16"/>
      <c r="D55" s="21"/>
      <c r="F55" s="17"/>
      <c r="G55" s="18"/>
      <c r="H55" s="18"/>
      <c r="I55" s="21"/>
      <c r="K55" s="20"/>
      <c r="L55" s="20">
        <v>44401</v>
      </c>
      <c r="M55" s="21" t="s">
        <v>52</v>
      </c>
      <c r="O55" s="2"/>
      <c r="P55" s="22"/>
      <c r="Q55" s="2"/>
      <c r="R55" s="2"/>
      <c r="S55" s="24"/>
      <c r="T55" s="24"/>
      <c r="U55" s="2"/>
      <c r="V55" s="2"/>
      <c r="W55" s="2"/>
      <c r="X55" s="2"/>
      <c r="Y55" s="2"/>
      <c r="Z55" s="26"/>
      <c r="AA55" s="27"/>
    </row>
    <row r="56" spans="1:29" ht="15.75" thickBot="1" x14ac:dyDescent="0.3">
      <c r="A56" s="46"/>
      <c r="B56" s="31"/>
      <c r="C56" s="4"/>
      <c r="D56" s="4"/>
      <c r="E56" s="4"/>
      <c r="F56" s="32"/>
      <c r="G56" s="32"/>
      <c r="H56" s="32"/>
      <c r="I56" s="7"/>
      <c r="J56" s="4"/>
      <c r="K56" s="8"/>
      <c r="L56" s="8"/>
      <c r="M56" s="4"/>
      <c r="N56" s="4"/>
      <c r="O56" s="9"/>
      <c r="P56" s="10"/>
      <c r="Q56" s="9"/>
      <c r="R56" s="9"/>
      <c r="S56" s="9"/>
      <c r="T56" s="9"/>
      <c r="U56" s="9"/>
      <c r="V56" s="9"/>
      <c r="W56" s="9"/>
      <c r="X56" s="9"/>
      <c r="Y56" s="9"/>
      <c r="Z56" s="13"/>
      <c r="AA56" s="14"/>
    </row>
    <row r="57" spans="1:29" x14ac:dyDescent="0.25">
      <c r="A57" s="45"/>
      <c r="B57" s="16" t="s">
        <v>33</v>
      </c>
      <c r="C57" t="s">
        <v>34</v>
      </c>
      <c r="D57" s="21"/>
      <c r="E57">
        <v>250</v>
      </c>
      <c r="F57" s="17"/>
      <c r="G57" s="18"/>
      <c r="H57" s="18">
        <f t="shared" ref="H57:H65" si="5">G57-F57</f>
        <v>0</v>
      </c>
      <c r="K57" s="20"/>
      <c r="L57" s="20">
        <v>44381</v>
      </c>
      <c r="M57" s="21" t="s">
        <v>57</v>
      </c>
      <c r="N57" s="21"/>
      <c r="O57" s="2"/>
      <c r="P57" s="22"/>
      <c r="Q57" s="28">
        <v>26000</v>
      </c>
      <c r="R57" s="2">
        <f>100.6*E57</f>
        <v>25150</v>
      </c>
      <c r="S57" s="24">
        <f>-40*E57</f>
        <v>-10000</v>
      </c>
      <c r="T57" s="24" t="e">
        <f>X57*F57*0.0045</f>
        <v>#DIV/0!</v>
      </c>
      <c r="U57" s="2">
        <f>E57*5</f>
        <v>1250</v>
      </c>
      <c r="V57" s="2">
        <v>3600</v>
      </c>
      <c r="W57" s="2">
        <v>0.3</v>
      </c>
      <c r="X57" s="2" t="e">
        <f>((O57*F57)+Q57+R57+S57+U57)/G57</f>
        <v>#DIV/0!</v>
      </c>
      <c r="Y57" s="2" t="e">
        <f>((O57*F57)+Q57+R57+S57+T57+U57+V57)/G57+W57</f>
        <v>#DIV/0!</v>
      </c>
      <c r="Z57" s="3" t="e">
        <f>Y57*G57</f>
        <v>#DIV/0!</v>
      </c>
      <c r="AA57" s="27"/>
    </row>
    <row r="58" spans="1:29" x14ac:dyDescent="0.25">
      <c r="A58" s="45"/>
      <c r="D58" s="21"/>
      <c r="F58" s="17"/>
      <c r="G58" s="18"/>
      <c r="H58" s="18">
        <f t="shared" si="5"/>
        <v>0</v>
      </c>
      <c r="I58" s="36"/>
      <c r="K58" s="20"/>
      <c r="L58" s="20">
        <v>44382</v>
      </c>
      <c r="M58" s="21" t="s">
        <v>62</v>
      </c>
      <c r="N58" s="21"/>
      <c r="O58" s="2"/>
      <c r="P58" s="35"/>
      <c r="Q58" s="2"/>
      <c r="R58" s="2"/>
      <c r="S58" s="24"/>
      <c r="T58" s="24"/>
      <c r="U58" s="2"/>
      <c r="V58" s="2"/>
      <c r="W58" s="2"/>
      <c r="X58" s="2" t="e">
        <f>IF(O58&gt;0,O58,((P58*2.2046*S58)+(Q58+R58)/G58)+V58)</f>
        <v>#DIV/0!</v>
      </c>
      <c r="Y58" s="2" t="e">
        <f>IF(O58&gt;0,O58+W58,((P58*2.2046*S58)+(Q58+R58+T58)/G58)+V58+W58)</f>
        <v>#DIV/0!</v>
      </c>
      <c r="Z58" s="26" t="e">
        <f>Y58*F58</f>
        <v>#DIV/0!</v>
      </c>
      <c r="AA58" s="27"/>
    </row>
    <row r="59" spans="1:29" x14ac:dyDescent="0.25">
      <c r="A59" s="45"/>
      <c r="B59" s="16" t="s">
        <v>26</v>
      </c>
      <c r="C59" t="s">
        <v>42</v>
      </c>
      <c r="D59" s="21" t="s">
        <v>42</v>
      </c>
      <c r="E59" t="s">
        <v>43</v>
      </c>
      <c r="F59" s="17">
        <v>18500</v>
      </c>
      <c r="G59" s="40">
        <v>18500</v>
      </c>
      <c r="H59" s="18">
        <f t="shared" si="5"/>
        <v>0</v>
      </c>
      <c r="J59" s="41"/>
      <c r="K59" s="20">
        <v>44375</v>
      </c>
      <c r="L59" s="20">
        <v>44376</v>
      </c>
      <c r="M59" s="21" t="s">
        <v>71</v>
      </c>
      <c r="N59" s="21" t="s">
        <v>112</v>
      </c>
      <c r="O59" s="2"/>
      <c r="P59" s="22"/>
      <c r="Q59" s="2">
        <v>26000</v>
      </c>
      <c r="R59" s="43">
        <v>12000</v>
      </c>
      <c r="S59" s="42">
        <v>20.5</v>
      </c>
      <c r="T59" s="24">
        <f>X59*F59*0.005</f>
        <v>201.1</v>
      </c>
      <c r="V59" s="2">
        <v>0.12</v>
      </c>
      <c r="W59" s="2">
        <v>0.3</v>
      </c>
      <c r="X59" s="2">
        <f>IF(O59&gt;0,O59,((P59*2.2046*S59)+(Q59+R59)/G59)+V59)</f>
        <v>2.1740540540540541</v>
      </c>
      <c r="Y59" s="2">
        <f>IF(O59&gt;0,O59+W59,((P59*2.2046*S59)+(Q59+R59+T59)/G59)+V59+W59)</f>
        <v>2.4849243243243242</v>
      </c>
      <c r="Z59" s="26">
        <f>Y59*F59</f>
        <v>45971.1</v>
      </c>
      <c r="AA59" s="27"/>
      <c r="AB59" s="19"/>
      <c r="AC59" t="s">
        <v>42</v>
      </c>
    </row>
    <row r="60" spans="1:29" x14ac:dyDescent="0.25">
      <c r="A60" s="45"/>
      <c r="B60" s="16" t="s">
        <v>26</v>
      </c>
      <c r="C60" t="s">
        <v>42</v>
      </c>
      <c r="D60" s="21" t="s">
        <v>42</v>
      </c>
      <c r="E60" t="s">
        <v>43</v>
      </c>
      <c r="F60" s="17">
        <v>18500</v>
      </c>
      <c r="G60" s="40">
        <v>18500</v>
      </c>
      <c r="H60" s="18">
        <f t="shared" si="5"/>
        <v>0</v>
      </c>
      <c r="J60" s="41"/>
      <c r="K60" s="20">
        <v>44375</v>
      </c>
      <c r="L60" s="20">
        <v>44376</v>
      </c>
      <c r="M60" s="21" t="s">
        <v>71</v>
      </c>
      <c r="N60" s="21" t="s">
        <v>112</v>
      </c>
      <c r="O60" s="2"/>
      <c r="P60" s="22"/>
      <c r="Q60" s="2">
        <v>26000</v>
      </c>
      <c r="R60" s="43">
        <v>12000</v>
      </c>
      <c r="S60" s="42">
        <v>20.5</v>
      </c>
      <c r="T60" s="24">
        <f>X60*F60*0.005</f>
        <v>201.1</v>
      </c>
      <c r="V60" s="2">
        <v>0.12</v>
      </c>
      <c r="W60" s="2">
        <v>0.3</v>
      </c>
      <c r="X60" s="2">
        <f>IF(O60&gt;0,O60,((P60*2.2046*S60)+(Q60+R60)/G60)+V60)</f>
        <v>2.1740540540540541</v>
      </c>
      <c r="Y60" s="2">
        <f>IF(O60&gt;0,O60+W60,((P60*2.2046*S60)+(Q60+R60+T60)/G60)+V60+W60)</f>
        <v>2.4849243243243242</v>
      </c>
      <c r="Z60" s="26">
        <f>Y60*F60</f>
        <v>45971.1</v>
      </c>
      <c r="AA60" s="27"/>
      <c r="AB60" s="19"/>
      <c r="AC60" t="s">
        <v>42</v>
      </c>
    </row>
    <row r="61" spans="1:29" x14ac:dyDescent="0.25">
      <c r="A61" s="45"/>
      <c r="B61" s="16" t="s">
        <v>33</v>
      </c>
      <c r="C61" t="s">
        <v>34</v>
      </c>
      <c r="D61" s="21"/>
      <c r="E61">
        <v>200</v>
      </c>
      <c r="F61" s="17"/>
      <c r="G61" s="18"/>
      <c r="H61" s="18">
        <f t="shared" si="5"/>
        <v>0</v>
      </c>
      <c r="K61" s="20"/>
      <c r="L61" s="20">
        <v>44376</v>
      </c>
      <c r="M61" s="21" t="s">
        <v>71</v>
      </c>
      <c r="N61" s="21"/>
      <c r="O61" s="2"/>
      <c r="P61" s="22"/>
      <c r="Q61" s="28">
        <v>26000</v>
      </c>
      <c r="R61" s="2">
        <f>100.6*E61</f>
        <v>20120</v>
      </c>
      <c r="S61" s="24">
        <f>-40*E61</f>
        <v>-8000</v>
      </c>
      <c r="T61" s="24" t="e">
        <f>X61*F61*0.0045</f>
        <v>#DIV/0!</v>
      </c>
      <c r="U61" s="2">
        <f>E61*5</f>
        <v>1000</v>
      </c>
      <c r="V61" s="2">
        <v>3600</v>
      </c>
      <c r="W61" s="2">
        <v>0.3</v>
      </c>
      <c r="X61" s="2" t="e">
        <f>((O61*F61)+Q61+R61+S61+U61)/G61</f>
        <v>#DIV/0!</v>
      </c>
      <c r="Y61" s="2" t="e">
        <f>((O61*F61)+Q61+R61+S61+T61+U61+V61)/G61+W61</f>
        <v>#DIV/0!</v>
      </c>
      <c r="Z61" s="3" t="e">
        <f>Y61*G61</f>
        <v>#DIV/0!</v>
      </c>
      <c r="AA61" s="27"/>
      <c r="AC61" t="s">
        <v>27</v>
      </c>
    </row>
    <row r="62" spans="1:29" x14ac:dyDescent="0.25">
      <c r="A62" s="45"/>
      <c r="B62" s="16" t="s">
        <v>26</v>
      </c>
      <c r="C62" t="s">
        <v>27</v>
      </c>
      <c r="D62" t="s">
        <v>27</v>
      </c>
      <c r="E62" t="s">
        <v>28</v>
      </c>
      <c r="F62" s="17">
        <v>18500</v>
      </c>
      <c r="G62" s="40">
        <v>18500</v>
      </c>
      <c r="H62" s="18">
        <f t="shared" si="5"/>
        <v>0</v>
      </c>
      <c r="J62" s="41"/>
      <c r="K62" s="20">
        <v>44376</v>
      </c>
      <c r="L62" s="20">
        <v>44377</v>
      </c>
      <c r="M62" s="21" t="s">
        <v>73</v>
      </c>
      <c r="N62" s="21" t="s">
        <v>96</v>
      </c>
      <c r="O62" s="2"/>
      <c r="P62" s="22"/>
      <c r="Q62" s="2">
        <v>26000</v>
      </c>
      <c r="R62" s="43">
        <v>12000</v>
      </c>
      <c r="S62" s="42">
        <v>20.5</v>
      </c>
      <c r="T62" s="24">
        <f>X62*F62*0.005</f>
        <v>201.1</v>
      </c>
      <c r="V62" s="2">
        <v>0.12</v>
      </c>
      <c r="W62" s="2">
        <v>0.3</v>
      </c>
      <c r="X62" s="2">
        <f>IF(O62&gt;0,O62,((P62*2.2046*S62)+(Q62+R62)/G62)+V62)</f>
        <v>2.1740540540540541</v>
      </c>
      <c r="Y62" s="2">
        <f>IF(O62&gt;0,O62+W62,((P62*2.2046*S62)+(Q62+R62+T62)/G62)+V62+W62)</f>
        <v>2.4849243243243242</v>
      </c>
      <c r="Z62" s="3">
        <f>Y62*F62</f>
        <v>45971.1</v>
      </c>
      <c r="AA62" s="27"/>
      <c r="AC62" t="s">
        <v>27</v>
      </c>
    </row>
    <row r="63" spans="1:29" x14ac:dyDescent="0.25">
      <c r="A63" s="45"/>
      <c r="B63" s="16"/>
      <c r="D63" s="21"/>
      <c r="F63" s="17"/>
      <c r="G63" s="18"/>
      <c r="H63" s="18">
        <f t="shared" si="5"/>
        <v>0</v>
      </c>
      <c r="K63" s="20"/>
      <c r="L63" s="20">
        <v>44377</v>
      </c>
      <c r="M63" s="21" t="s">
        <v>73</v>
      </c>
      <c r="N63" s="21"/>
      <c r="O63" s="2"/>
      <c r="P63" s="22"/>
      <c r="Q63" s="2"/>
      <c r="R63" s="2"/>
      <c r="S63" s="25"/>
      <c r="T63" s="24"/>
      <c r="U63" s="2"/>
      <c r="V63" s="2"/>
      <c r="W63" s="2">
        <v>0.3</v>
      </c>
      <c r="X63" s="2" t="e">
        <f>((O63*F63)+Q63+R63+S63+U63)/G63</f>
        <v>#DIV/0!</v>
      </c>
      <c r="Y63" s="2" t="e">
        <f>((O63*F63)+Q63+R63+S63+T63+U63+V63)/G63+W63</f>
        <v>#DIV/0!</v>
      </c>
      <c r="Z63" s="3" t="e">
        <f>Y63*G63</f>
        <v>#DIV/0!</v>
      </c>
      <c r="AA63" s="27"/>
      <c r="AB63" s="19"/>
      <c r="AC63" t="s">
        <v>42</v>
      </c>
    </row>
    <row r="64" spans="1:29" x14ac:dyDescent="0.25">
      <c r="A64" s="45"/>
      <c r="B64" s="16" t="s">
        <v>26</v>
      </c>
      <c r="C64" t="s">
        <v>27</v>
      </c>
      <c r="D64" t="s">
        <v>27</v>
      </c>
      <c r="E64" t="s">
        <v>28</v>
      </c>
      <c r="F64" s="17">
        <v>18500</v>
      </c>
      <c r="G64" s="40">
        <v>18500</v>
      </c>
      <c r="H64" s="18">
        <f t="shared" si="5"/>
        <v>0</v>
      </c>
      <c r="J64" s="41"/>
      <c r="K64" s="20">
        <v>44377</v>
      </c>
      <c r="L64" s="20">
        <v>44378</v>
      </c>
      <c r="M64" s="21" t="s">
        <v>31</v>
      </c>
      <c r="N64" s="21" t="s">
        <v>98</v>
      </c>
      <c r="O64" s="2"/>
      <c r="P64" s="22"/>
      <c r="Q64" s="2">
        <v>26000</v>
      </c>
      <c r="R64" s="43">
        <v>12000</v>
      </c>
      <c r="S64" s="42">
        <v>20.5</v>
      </c>
      <c r="T64" s="24">
        <f>X64*F64*0.005</f>
        <v>201.1</v>
      </c>
      <c r="V64" s="2">
        <v>0.12</v>
      </c>
      <c r="W64" s="2">
        <v>0.3</v>
      </c>
      <c r="X64" s="2">
        <f>IF(O64&gt;0,O64,((P64*2.2046*S64)+(Q64+R64)/G64)+V64)</f>
        <v>2.1740540540540541</v>
      </c>
      <c r="Y64" s="2">
        <f>IF(O64&gt;0,O64+W64,((P64*2.2046*S64)+(Q64+R64+T64)/G64)+V64+W64)</f>
        <v>2.4849243243243242</v>
      </c>
      <c r="Z64" s="26">
        <f>Y64*F64</f>
        <v>45971.1</v>
      </c>
      <c r="AA64" s="27"/>
      <c r="AB64" s="19"/>
      <c r="AC64" t="s">
        <v>42</v>
      </c>
    </row>
    <row r="65" spans="1:29" x14ac:dyDescent="0.25">
      <c r="A65" s="45"/>
      <c r="B65" s="16" t="s">
        <v>33</v>
      </c>
      <c r="C65" t="s">
        <v>34</v>
      </c>
      <c r="D65" s="21"/>
      <c r="E65">
        <v>250</v>
      </c>
      <c r="F65" s="17"/>
      <c r="G65" s="18"/>
      <c r="H65" s="18">
        <f t="shared" si="5"/>
        <v>0</v>
      </c>
      <c r="K65" s="20"/>
      <c r="L65" s="20">
        <v>44378</v>
      </c>
      <c r="M65" s="21" t="s">
        <v>31</v>
      </c>
      <c r="N65" s="21"/>
      <c r="O65" s="2"/>
      <c r="P65" s="22"/>
      <c r="Q65" s="28">
        <v>26000</v>
      </c>
      <c r="R65" s="2">
        <f>100.6*E65</f>
        <v>25150</v>
      </c>
      <c r="S65" s="24">
        <f>-40*E65</f>
        <v>-10000</v>
      </c>
      <c r="T65" s="24" t="e">
        <f>X65*F65*0.0045</f>
        <v>#DIV/0!</v>
      </c>
      <c r="U65" s="2">
        <f>E65*5</f>
        <v>1250</v>
      </c>
      <c r="V65" s="2">
        <v>3600</v>
      </c>
      <c r="W65" s="2">
        <v>0.3</v>
      </c>
      <c r="X65" s="2" t="e">
        <f>((O65*F65)+Q65+R65+S65+U65)/G65</f>
        <v>#DIV/0!</v>
      </c>
      <c r="Y65" s="2" t="e">
        <f>((O65*F65)+Q65+R65+S65+T65+U65+V65)/G65+W65</f>
        <v>#DIV/0!</v>
      </c>
      <c r="Z65" s="3" t="e">
        <f>Y65*G65</f>
        <v>#DIV/0!</v>
      </c>
      <c r="AA65" s="27"/>
      <c r="AB65" s="37"/>
      <c r="AC65" t="s">
        <v>86</v>
      </c>
    </row>
    <row r="66" spans="1:29" x14ac:dyDescent="0.25">
      <c r="A66" s="45"/>
      <c r="B66" s="16" t="s">
        <v>26</v>
      </c>
      <c r="C66" t="s">
        <v>42</v>
      </c>
      <c r="D66" s="21" t="s">
        <v>42</v>
      </c>
      <c r="E66" t="s">
        <v>43</v>
      </c>
      <c r="F66" s="17">
        <v>18500</v>
      </c>
      <c r="G66" s="40">
        <v>18500</v>
      </c>
      <c r="H66" s="18">
        <f>G66-F66</f>
        <v>0</v>
      </c>
      <c r="J66" s="41"/>
      <c r="K66" s="20">
        <v>44378</v>
      </c>
      <c r="L66" s="20">
        <v>44379</v>
      </c>
      <c r="M66" s="21" t="s">
        <v>46</v>
      </c>
      <c r="N66" s="21" t="s">
        <v>47</v>
      </c>
      <c r="O66" s="2"/>
      <c r="P66" s="22"/>
      <c r="Q66" s="2">
        <v>26000</v>
      </c>
      <c r="R66" s="43">
        <v>12000</v>
      </c>
      <c r="S66" s="42">
        <v>20.5</v>
      </c>
      <c r="T66" s="24">
        <f>X66*F66*0.005</f>
        <v>201.1</v>
      </c>
      <c r="V66" s="2">
        <v>0.12</v>
      </c>
      <c r="W66" s="2">
        <v>0.3</v>
      </c>
      <c r="X66" s="2">
        <f>IF(O66&gt;0,O66,((P66*2.2046*S66)+(Q66+R66)/G66)+V66)</f>
        <v>2.1740540540540541</v>
      </c>
      <c r="Y66" s="2">
        <f>IF(O66&gt;0,O66+W66,((P66*2.2046*S66)+(Q66+R66+T66)/G66)+V66+W66)</f>
        <v>2.4849243243243242</v>
      </c>
      <c r="Z66" s="26">
        <f>Y66*F66</f>
        <v>45971.1</v>
      </c>
      <c r="AA66" s="27"/>
    </row>
    <row r="67" spans="1:29" x14ac:dyDescent="0.25">
      <c r="A67" s="45"/>
      <c r="B67" s="16" t="s">
        <v>26</v>
      </c>
      <c r="C67" t="s">
        <v>42</v>
      </c>
      <c r="D67" s="21" t="s">
        <v>42</v>
      </c>
      <c r="E67" t="s">
        <v>43</v>
      </c>
      <c r="F67" s="17">
        <v>18500</v>
      </c>
      <c r="G67" s="40">
        <v>18500</v>
      </c>
      <c r="H67" s="18">
        <f>G67-F67</f>
        <v>0</v>
      </c>
      <c r="J67" s="41"/>
      <c r="K67" s="20">
        <v>44378</v>
      </c>
      <c r="L67" s="20">
        <v>44379</v>
      </c>
      <c r="M67" s="21" t="s">
        <v>46</v>
      </c>
      <c r="N67" s="21" t="s">
        <v>47</v>
      </c>
      <c r="O67" s="2"/>
      <c r="P67" s="22"/>
      <c r="Q67" s="2">
        <v>26000</v>
      </c>
      <c r="R67" s="43">
        <v>12000</v>
      </c>
      <c r="S67" s="42">
        <v>20.5</v>
      </c>
      <c r="T67" s="24">
        <f>X67*F67*0.005</f>
        <v>201.1</v>
      </c>
      <c r="V67" s="2">
        <v>0.12</v>
      </c>
      <c r="W67" s="2">
        <v>0.3</v>
      </c>
      <c r="X67" s="2">
        <f>IF(O67&gt;0,O67,((P67*2.2046*S67)+(Q67+R67)/G67)+V67)</f>
        <v>2.1740540540540541</v>
      </c>
      <c r="Y67" s="2">
        <f>IF(O67&gt;0,O67+W67,((P67*2.2046*S67)+(Q67+R67+T67)/G67)+V67+W67)</f>
        <v>2.4849243243243242</v>
      </c>
      <c r="Z67" s="26">
        <f>Y67*F67</f>
        <v>45971.1</v>
      </c>
      <c r="AA67" s="27"/>
    </row>
    <row r="68" spans="1:29" x14ac:dyDescent="0.25">
      <c r="A68" s="45"/>
      <c r="B68" t="s">
        <v>33</v>
      </c>
      <c r="C68" t="s">
        <v>34</v>
      </c>
      <c r="D68" s="21"/>
      <c r="E68">
        <v>250</v>
      </c>
      <c r="F68" s="17"/>
      <c r="G68" s="18"/>
      <c r="H68" s="18">
        <f>G68-F68</f>
        <v>0</v>
      </c>
      <c r="K68" s="20"/>
      <c r="L68" s="20">
        <v>44379</v>
      </c>
      <c r="M68" s="21" t="s">
        <v>46</v>
      </c>
      <c r="N68" s="21"/>
      <c r="O68" s="2"/>
      <c r="P68" s="22"/>
      <c r="Q68" s="2"/>
      <c r="R68" s="2"/>
      <c r="S68" s="24"/>
      <c r="T68" s="24"/>
      <c r="U68" s="2">
        <f>E68*5</f>
        <v>1250</v>
      </c>
      <c r="V68" s="2"/>
      <c r="W68" s="2">
        <v>0.3</v>
      </c>
      <c r="X68" s="2" t="e">
        <f>((O68*F68)+Q68+R68+S68+U68)/G68</f>
        <v>#DIV/0!</v>
      </c>
      <c r="Y68" s="2" t="e">
        <f>((O68*F68)+Q68+R68+S68+T68+U68+V68)/G68+W68</f>
        <v>#DIV/0!</v>
      </c>
      <c r="Z68" s="3" t="e">
        <f>Y68*G68</f>
        <v>#DIV/0!</v>
      </c>
      <c r="AA68" s="27"/>
    </row>
    <row r="69" spans="1:29" x14ac:dyDescent="0.25">
      <c r="A69" s="45"/>
      <c r="B69" s="16"/>
      <c r="D69" s="21"/>
      <c r="F69" s="17"/>
      <c r="G69" s="18"/>
      <c r="H69" s="18"/>
      <c r="I69" s="21"/>
      <c r="K69" s="20"/>
      <c r="L69" s="20">
        <v>44380</v>
      </c>
      <c r="M69" s="21" t="s">
        <v>52</v>
      </c>
      <c r="O69" s="2"/>
      <c r="P69" s="22"/>
      <c r="Q69" s="2"/>
      <c r="R69" s="2"/>
      <c r="S69" s="24"/>
      <c r="T69" s="24"/>
      <c r="U69" s="2"/>
      <c r="V69" s="2"/>
      <c r="W69" s="2"/>
      <c r="X69" s="2"/>
      <c r="Y69" s="2"/>
      <c r="Z69" s="26"/>
      <c r="AA69" s="27"/>
    </row>
    <row r="70" spans="1:29" ht="15.75" thickBot="1" x14ac:dyDescent="0.3">
      <c r="A70" s="46"/>
      <c r="B70" s="31"/>
      <c r="C70" s="4"/>
      <c r="D70" s="4"/>
      <c r="E70" s="4"/>
      <c r="F70" s="32"/>
      <c r="G70" s="32"/>
      <c r="H70" s="32"/>
      <c r="I70" s="7"/>
      <c r="J70" s="4"/>
      <c r="K70" s="8"/>
      <c r="L70" s="8"/>
      <c r="M70" s="4"/>
      <c r="N70" s="4"/>
      <c r="O70" s="9"/>
      <c r="P70" s="10"/>
      <c r="Q70" s="9"/>
      <c r="R70" s="9"/>
      <c r="S70" s="9"/>
      <c r="T70" s="9"/>
      <c r="U70" s="9"/>
      <c r="V70" s="9"/>
      <c r="W70" s="9"/>
      <c r="X70" s="9"/>
      <c r="Y70" s="9"/>
      <c r="Z70" s="13"/>
      <c r="AA70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718-480D-4021-9284-19B31119E0D0}">
  <dimension ref="A1"/>
  <sheetViews>
    <sheetView workbookViewId="0">
      <selection activeCell="E24" sqref="E24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B6AC-0B7E-4E90-9D02-2A8678EAB421}">
  <sheetPr>
    <tabColor rgb="FF00FF99"/>
  </sheetPr>
  <dimension ref="A2:H71"/>
  <sheetViews>
    <sheetView topLeftCell="A49" workbookViewId="0">
      <selection activeCell="B57" sqref="B57"/>
    </sheetView>
  </sheetViews>
  <sheetFormatPr baseColWidth="10" defaultRowHeight="15.75" x14ac:dyDescent="0.25"/>
  <cols>
    <col min="1" max="1" width="4.85546875" style="88" customWidth="1"/>
    <col min="2" max="2" width="24.140625" style="3" customWidth="1"/>
    <col min="3" max="3" width="27.42578125" style="3" customWidth="1"/>
    <col min="4" max="4" width="4.28515625" style="92" customWidth="1"/>
    <col min="5" max="5" width="26.42578125" style="3" customWidth="1"/>
    <col min="6" max="6" width="5.42578125" style="84" customWidth="1"/>
    <col min="7" max="7" width="25.28515625" style="3" customWidth="1"/>
    <col min="8" max="8" width="4.85546875" style="92" customWidth="1"/>
  </cols>
  <sheetData>
    <row r="2" spans="1:8" ht="21" x14ac:dyDescent="0.35">
      <c r="B2" s="98" t="s">
        <v>118</v>
      </c>
      <c r="C2" s="98"/>
      <c r="E2" s="49" t="s">
        <v>119</v>
      </c>
      <c r="G2" s="50" t="s">
        <v>120</v>
      </c>
    </row>
    <row r="4" spans="1:8" x14ac:dyDescent="0.25">
      <c r="A4" s="88" t="s">
        <v>128</v>
      </c>
      <c r="B4" s="51">
        <v>62280</v>
      </c>
      <c r="C4" s="53">
        <v>120000</v>
      </c>
      <c r="D4" s="93">
        <v>5</v>
      </c>
      <c r="E4" s="53">
        <v>17005</v>
      </c>
      <c r="F4" s="79">
        <v>1</v>
      </c>
      <c r="G4" s="53">
        <v>30000</v>
      </c>
      <c r="H4" s="93">
        <v>2</v>
      </c>
    </row>
    <row r="5" spans="1:8" x14ac:dyDescent="0.25">
      <c r="A5" s="88" t="s">
        <v>128</v>
      </c>
      <c r="B5" s="51">
        <v>140000</v>
      </c>
      <c r="C5" s="53">
        <v>160000</v>
      </c>
      <c r="D5" s="93">
        <v>5</v>
      </c>
      <c r="E5" s="80">
        <v>47152</v>
      </c>
      <c r="F5" s="79">
        <v>1</v>
      </c>
      <c r="G5" s="53">
        <v>18635.400000000001</v>
      </c>
      <c r="H5" s="93">
        <v>2</v>
      </c>
    </row>
    <row r="6" spans="1:8" x14ac:dyDescent="0.25">
      <c r="A6" s="88" t="s">
        <v>128</v>
      </c>
      <c r="B6" s="51">
        <v>30690</v>
      </c>
      <c r="C6" s="53">
        <v>134500</v>
      </c>
      <c r="D6" s="93">
        <v>5</v>
      </c>
      <c r="E6" s="55">
        <f>-352.01-56.32-721.43-115.41</f>
        <v>-1245.17</v>
      </c>
      <c r="F6" s="79">
        <v>1</v>
      </c>
      <c r="G6" s="53">
        <v>500</v>
      </c>
      <c r="H6" s="93">
        <v>5</v>
      </c>
    </row>
    <row r="7" spans="1:8" x14ac:dyDescent="0.25">
      <c r="A7" s="88" t="s">
        <v>128</v>
      </c>
      <c r="B7" s="51">
        <v>51000</v>
      </c>
      <c r="C7" s="53">
        <v>79740</v>
      </c>
      <c r="D7" s="93">
        <v>5</v>
      </c>
      <c r="E7" s="53">
        <v>18813</v>
      </c>
      <c r="F7" s="79">
        <v>2</v>
      </c>
      <c r="G7" s="53">
        <v>38</v>
      </c>
      <c r="H7" s="93">
        <v>5</v>
      </c>
    </row>
    <row r="8" spans="1:8" x14ac:dyDescent="0.25">
      <c r="A8" s="88" t="s">
        <v>128</v>
      </c>
      <c r="B8" s="51">
        <v>39000</v>
      </c>
      <c r="C8" s="53">
        <v>67540</v>
      </c>
      <c r="D8" s="93">
        <v>5</v>
      </c>
      <c r="E8" s="53">
        <v>56308</v>
      </c>
      <c r="F8" s="79">
        <v>2</v>
      </c>
      <c r="G8" s="53">
        <v>52360</v>
      </c>
      <c r="H8" s="93">
        <v>6</v>
      </c>
    </row>
    <row r="9" spans="1:8" x14ac:dyDescent="0.25">
      <c r="A9" s="88" t="s">
        <v>128</v>
      </c>
      <c r="B9" s="51">
        <v>88300</v>
      </c>
      <c r="C9" s="53">
        <v>62900</v>
      </c>
      <c r="D9" s="93">
        <v>5</v>
      </c>
      <c r="E9" s="77">
        <f>-580-389.42-62.28-861.52-137.83</f>
        <v>-2031.05</v>
      </c>
      <c r="F9" s="79">
        <v>2</v>
      </c>
      <c r="G9" s="53">
        <v>36950</v>
      </c>
      <c r="H9" s="93">
        <v>7</v>
      </c>
    </row>
    <row r="10" spans="1:8" x14ac:dyDescent="0.25">
      <c r="A10" s="88" t="s">
        <v>129</v>
      </c>
      <c r="B10" s="51">
        <v>77515</v>
      </c>
      <c r="C10" s="53">
        <v>32970</v>
      </c>
      <c r="D10" s="93">
        <v>5</v>
      </c>
      <c r="E10" s="53">
        <v>85858</v>
      </c>
      <c r="F10" s="79">
        <v>5</v>
      </c>
      <c r="G10" s="53">
        <v>11283</v>
      </c>
      <c r="H10" s="93">
        <v>9</v>
      </c>
    </row>
    <row r="11" spans="1:8" x14ac:dyDescent="0.25">
      <c r="A11" s="88" t="s">
        <v>129</v>
      </c>
      <c r="B11" s="51">
        <v>70681</v>
      </c>
      <c r="C11" s="53">
        <v>28520</v>
      </c>
      <c r="D11" s="93">
        <v>5</v>
      </c>
      <c r="E11" s="53">
        <v>138762</v>
      </c>
      <c r="F11" s="79">
        <v>5</v>
      </c>
      <c r="G11" s="53">
        <v>551158.66</v>
      </c>
      <c r="H11" s="93">
        <v>9</v>
      </c>
    </row>
    <row r="12" spans="1:8" x14ac:dyDescent="0.25">
      <c r="A12" s="88" t="s">
        <v>129</v>
      </c>
      <c r="B12" s="51">
        <v>91000</v>
      </c>
      <c r="C12" s="53">
        <v>9365</v>
      </c>
      <c r="D12" s="93">
        <v>5</v>
      </c>
      <c r="E12" s="55">
        <f>-1777.22-284.32-2123.09-339.75</f>
        <v>-4524.38</v>
      </c>
      <c r="F12" s="79">
        <v>5</v>
      </c>
      <c r="G12" s="53">
        <v>10000</v>
      </c>
      <c r="H12" s="93">
        <v>12</v>
      </c>
    </row>
    <row r="13" spans="1:8" x14ac:dyDescent="0.25">
      <c r="A13" s="88" t="s">
        <v>129</v>
      </c>
      <c r="B13" s="51">
        <v>37000</v>
      </c>
      <c r="C13" s="53">
        <v>78000</v>
      </c>
      <c r="D13" s="93">
        <v>5</v>
      </c>
      <c r="E13" s="53">
        <v>7900</v>
      </c>
      <c r="F13" s="79">
        <v>6</v>
      </c>
      <c r="G13" s="56">
        <v>25600</v>
      </c>
      <c r="H13" s="93">
        <v>12</v>
      </c>
    </row>
    <row r="14" spans="1:8" x14ac:dyDescent="0.25">
      <c r="A14" s="88" t="s">
        <v>129</v>
      </c>
      <c r="B14" s="51">
        <v>61020</v>
      </c>
      <c r="C14" s="53">
        <v>3000</v>
      </c>
      <c r="D14" s="93">
        <v>5</v>
      </c>
      <c r="E14" s="53">
        <v>56918</v>
      </c>
      <c r="F14" s="79">
        <v>6</v>
      </c>
      <c r="G14" s="53">
        <v>26000</v>
      </c>
      <c r="H14" s="93">
        <v>14</v>
      </c>
    </row>
    <row r="15" spans="1:8" x14ac:dyDescent="0.25">
      <c r="A15" s="88" t="s">
        <v>129</v>
      </c>
      <c r="B15" s="51">
        <v>54000</v>
      </c>
      <c r="C15" s="53">
        <v>54670</v>
      </c>
      <c r="D15" s="93">
        <v>5</v>
      </c>
      <c r="E15" s="55">
        <f>-163.53-26.18-870.86-139.37</f>
        <v>-1199.94</v>
      </c>
      <c r="F15" s="79">
        <v>6</v>
      </c>
      <c r="G15" s="53">
        <v>0</v>
      </c>
      <c r="H15" s="93"/>
    </row>
    <row r="16" spans="1:8" x14ac:dyDescent="0.25">
      <c r="A16" s="88" t="s">
        <v>129</v>
      </c>
      <c r="B16" s="51">
        <v>55000</v>
      </c>
      <c r="C16" s="53">
        <v>76000</v>
      </c>
      <c r="D16" s="93">
        <v>5</v>
      </c>
      <c r="E16" s="53">
        <v>29464</v>
      </c>
      <c r="F16" s="79">
        <v>7</v>
      </c>
      <c r="G16" s="71">
        <v>0</v>
      </c>
      <c r="H16" s="95"/>
    </row>
    <row r="17" spans="1:8" ht="18.75" x14ac:dyDescent="0.3">
      <c r="A17" s="88" t="s">
        <v>129</v>
      </c>
      <c r="B17" s="51">
        <v>27900</v>
      </c>
      <c r="C17" s="53">
        <v>50000</v>
      </c>
      <c r="D17" s="93">
        <v>5</v>
      </c>
      <c r="E17" s="53">
        <v>31159</v>
      </c>
      <c r="F17" s="91">
        <v>7</v>
      </c>
      <c r="G17" s="78">
        <f>SUM(G4:G16)</f>
        <v>762525.06</v>
      </c>
      <c r="H17" s="96"/>
    </row>
    <row r="18" spans="1:8" x14ac:dyDescent="0.25">
      <c r="A18" s="88" t="s">
        <v>129</v>
      </c>
      <c r="B18" s="51">
        <v>37000</v>
      </c>
      <c r="C18" s="53">
        <v>167000</v>
      </c>
      <c r="D18" s="93">
        <v>5</v>
      </c>
      <c r="E18" s="55">
        <f>-609.92-97.6-476.73-76.24</f>
        <v>-1260.49</v>
      </c>
      <c r="F18" s="91">
        <v>7</v>
      </c>
      <c r="G18" s="72"/>
      <c r="H18" s="96"/>
    </row>
    <row r="19" spans="1:8" x14ac:dyDescent="0.25">
      <c r="A19" s="88" t="s">
        <v>129</v>
      </c>
      <c r="B19" s="51">
        <v>29600</v>
      </c>
      <c r="C19" s="53">
        <v>28360</v>
      </c>
      <c r="D19" s="94">
        <v>5</v>
      </c>
      <c r="E19" s="53">
        <v>9173</v>
      </c>
      <c r="F19" s="79">
        <v>8</v>
      </c>
      <c r="G19" s="72"/>
      <c r="H19" s="96"/>
    </row>
    <row r="20" spans="1:8" x14ac:dyDescent="0.25">
      <c r="A20" s="88" t="s">
        <v>129</v>
      </c>
      <c r="B20" s="51">
        <v>3000</v>
      </c>
      <c r="C20" s="53">
        <v>133000</v>
      </c>
      <c r="D20" s="94">
        <v>5</v>
      </c>
      <c r="E20" s="53">
        <v>71804</v>
      </c>
      <c r="F20" s="79">
        <v>8</v>
      </c>
      <c r="G20" s="72"/>
      <c r="H20" s="96"/>
    </row>
    <row r="21" spans="1:8" x14ac:dyDescent="0.25">
      <c r="A21" s="84">
        <v>12</v>
      </c>
      <c r="B21" s="51">
        <v>43800</v>
      </c>
      <c r="C21" s="53">
        <v>250000</v>
      </c>
      <c r="D21" s="94">
        <v>6</v>
      </c>
      <c r="E21" s="55">
        <f>189.87-30.37-1098.63-175.78</f>
        <v>-1114.9100000000001</v>
      </c>
      <c r="F21" s="79">
        <v>8</v>
      </c>
      <c r="G21" s="72"/>
      <c r="H21" s="96"/>
    </row>
    <row r="22" spans="1:8" x14ac:dyDescent="0.25">
      <c r="A22" s="84">
        <v>12</v>
      </c>
      <c r="B22" s="51">
        <v>72000</v>
      </c>
      <c r="C22" s="53">
        <v>50230.400000000001</v>
      </c>
      <c r="D22" s="94">
        <v>6</v>
      </c>
      <c r="E22" s="53">
        <v>5534</v>
      </c>
      <c r="F22" s="79">
        <v>9</v>
      </c>
      <c r="G22" s="72"/>
      <c r="H22" s="96"/>
    </row>
    <row r="23" spans="1:8" x14ac:dyDescent="0.25">
      <c r="A23" s="84">
        <v>12</v>
      </c>
      <c r="B23" s="51">
        <v>5378</v>
      </c>
      <c r="C23" s="53">
        <v>70939</v>
      </c>
      <c r="D23" s="94">
        <v>6</v>
      </c>
      <c r="E23" s="53">
        <v>64679</v>
      </c>
      <c r="F23" s="79">
        <v>9</v>
      </c>
      <c r="G23" s="72"/>
      <c r="H23" s="96"/>
    </row>
    <row r="24" spans="1:8" x14ac:dyDescent="0.25">
      <c r="A24" s="84">
        <v>12</v>
      </c>
      <c r="B24" s="51">
        <v>62327</v>
      </c>
      <c r="C24" s="53">
        <v>69511</v>
      </c>
      <c r="D24" s="94">
        <v>6</v>
      </c>
      <c r="E24" s="55">
        <f>114.56-18.32-989.6-158.32</f>
        <v>-1051.68</v>
      </c>
      <c r="F24" s="79">
        <v>9</v>
      </c>
      <c r="G24" s="72"/>
      <c r="H24" s="96"/>
    </row>
    <row r="25" spans="1:8" x14ac:dyDescent="0.25">
      <c r="A25" s="84">
        <v>12</v>
      </c>
      <c r="B25" s="51">
        <v>67829</v>
      </c>
      <c r="C25" s="53">
        <v>8077</v>
      </c>
      <c r="D25" s="94">
        <v>6</v>
      </c>
      <c r="E25" s="53">
        <v>55804</v>
      </c>
      <c r="F25" s="79">
        <v>12</v>
      </c>
      <c r="G25" s="72"/>
      <c r="H25" s="96"/>
    </row>
    <row r="26" spans="1:8" x14ac:dyDescent="0.25">
      <c r="A26" s="84">
        <v>12</v>
      </c>
      <c r="B26" s="51">
        <v>61609</v>
      </c>
      <c r="C26" s="53">
        <v>70883</v>
      </c>
      <c r="D26" s="94">
        <v>6</v>
      </c>
      <c r="E26" s="53">
        <v>161738</v>
      </c>
      <c r="F26" s="79">
        <v>12</v>
      </c>
      <c r="G26" s="72"/>
      <c r="H26" s="96"/>
    </row>
    <row r="27" spans="1:8" x14ac:dyDescent="0.25">
      <c r="A27" s="84">
        <v>12</v>
      </c>
      <c r="B27" s="51">
        <v>61152</v>
      </c>
      <c r="C27" s="53">
        <v>70883</v>
      </c>
      <c r="D27" s="94">
        <v>6</v>
      </c>
      <c r="E27" s="77">
        <f>-1155.15-184-81-2474.57-395.88</f>
        <v>-4290.6000000000004</v>
      </c>
      <c r="F27" s="79">
        <v>12</v>
      </c>
      <c r="G27" s="72"/>
      <c r="H27" s="96"/>
    </row>
    <row r="28" spans="1:8" x14ac:dyDescent="0.25">
      <c r="A28" s="84">
        <v>12</v>
      </c>
      <c r="B28" s="51">
        <v>57125</v>
      </c>
      <c r="C28" s="53">
        <v>11724</v>
      </c>
      <c r="D28" s="94">
        <v>6</v>
      </c>
      <c r="E28" s="53">
        <v>13287</v>
      </c>
      <c r="F28" s="79">
        <v>13</v>
      </c>
      <c r="G28" s="72"/>
      <c r="H28" s="96"/>
    </row>
    <row r="29" spans="1:8" x14ac:dyDescent="0.25">
      <c r="A29" s="84">
        <v>12</v>
      </c>
      <c r="B29" s="51">
        <v>7640</v>
      </c>
      <c r="C29" s="53">
        <v>122000</v>
      </c>
      <c r="D29" s="94">
        <v>6</v>
      </c>
      <c r="E29" s="53">
        <v>47381</v>
      </c>
      <c r="F29" s="79">
        <v>13</v>
      </c>
      <c r="G29" s="72"/>
      <c r="H29" s="96"/>
    </row>
    <row r="30" spans="1:8" x14ac:dyDescent="0.25">
      <c r="A30" s="84">
        <v>12</v>
      </c>
      <c r="B30" s="51">
        <v>68400</v>
      </c>
      <c r="C30" s="53">
        <v>13080</v>
      </c>
      <c r="D30" s="94">
        <v>6</v>
      </c>
      <c r="E30" s="77">
        <f>275.04-44.02-724.93-115.97</f>
        <v>-609.88</v>
      </c>
      <c r="F30" s="79">
        <v>13</v>
      </c>
      <c r="G30" s="72"/>
      <c r="H30" s="96"/>
    </row>
    <row r="31" spans="1:8" x14ac:dyDescent="0.25">
      <c r="A31" s="84">
        <v>12</v>
      </c>
      <c r="B31" s="51">
        <v>154000</v>
      </c>
      <c r="C31" s="53">
        <v>25493</v>
      </c>
      <c r="D31" s="94">
        <v>6</v>
      </c>
      <c r="E31" s="53">
        <v>19872</v>
      </c>
      <c r="F31" s="79">
        <v>14</v>
      </c>
      <c r="G31" s="72"/>
      <c r="H31" s="96"/>
    </row>
    <row r="32" spans="1:8" x14ac:dyDescent="0.25">
      <c r="A32" s="84">
        <v>12</v>
      </c>
      <c r="B32" s="51">
        <v>45800</v>
      </c>
      <c r="C32" s="53">
        <v>21700</v>
      </c>
      <c r="D32" s="94">
        <v>7</v>
      </c>
      <c r="E32" s="53">
        <v>39835</v>
      </c>
      <c r="F32" s="79">
        <v>14</v>
      </c>
      <c r="G32" s="72"/>
      <c r="H32" s="96"/>
    </row>
    <row r="33" spans="1:8" x14ac:dyDescent="0.25">
      <c r="A33" s="84">
        <v>12</v>
      </c>
      <c r="B33" s="51">
        <v>18309</v>
      </c>
      <c r="C33" s="53">
        <v>65586.399999999994</v>
      </c>
      <c r="D33" s="94">
        <v>7</v>
      </c>
      <c r="E33" s="77">
        <f>411.34-65.83-609.48-97.51</f>
        <v>-361.48</v>
      </c>
      <c r="F33" s="79">
        <v>14</v>
      </c>
      <c r="G33" s="72"/>
      <c r="H33" s="96"/>
    </row>
    <row r="34" spans="1:8" x14ac:dyDescent="0.25">
      <c r="A34" s="84">
        <v>12</v>
      </c>
      <c r="B34" s="51">
        <v>132300</v>
      </c>
      <c r="C34" s="53">
        <v>5500</v>
      </c>
      <c r="D34" s="94">
        <v>7</v>
      </c>
      <c r="E34" s="77">
        <v>0</v>
      </c>
      <c r="F34" s="79"/>
      <c r="G34" s="72"/>
      <c r="H34" s="96"/>
    </row>
    <row r="35" spans="1:8" x14ac:dyDescent="0.25">
      <c r="A35" s="84">
        <v>12</v>
      </c>
      <c r="B35" s="51">
        <v>12139</v>
      </c>
      <c r="C35" s="53">
        <v>57257</v>
      </c>
      <c r="D35" s="94">
        <v>7</v>
      </c>
      <c r="E35" s="53">
        <v>0</v>
      </c>
      <c r="F35" s="79"/>
      <c r="G35" s="72"/>
      <c r="H35" s="96"/>
    </row>
    <row r="36" spans="1:8" x14ac:dyDescent="0.25">
      <c r="A36" s="84">
        <v>12</v>
      </c>
      <c r="B36" s="51">
        <v>112250</v>
      </c>
      <c r="C36" s="53">
        <v>66250</v>
      </c>
      <c r="D36" s="94">
        <v>7</v>
      </c>
      <c r="E36" s="76">
        <f>SUM(E4:E35)</f>
        <v>960756.41999999993</v>
      </c>
      <c r="F36" s="79"/>
      <c r="G36" s="72"/>
      <c r="H36" s="96"/>
    </row>
    <row r="37" spans="1:8" x14ac:dyDescent="0.25">
      <c r="A37" s="84">
        <v>12</v>
      </c>
      <c r="B37" s="51">
        <v>184000</v>
      </c>
      <c r="C37" s="53">
        <v>70000</v>
      </c>
      <c r="D37" s="94">
        <v>7</v>
      </c>
      <c r="E37" s="53"/>
      <c r="F37" s="79"/>
      <c r="G37" s="72"/>
      <c r="H37" s="96"/>
    </row>
    <row r="38" spans="1:8" x14ac:dyDescent="0.25">
      <c r="A38" s="84">
        <v>12</v>
      </c>
      <c r="B38" s="51">
        <v>57200</v>
      </c>
      <c r="C38" s="53">
        <v>28307</v>
      </c>
      <c r="D38" s="94">
        <v>7</v>
      </c>
      <c r="E38" s="53"/>
      <c r="F38" s="79"/>
      <c r="G38" s="72"/>
      <c r="H38" s="96"/>
    </row>
    <row r="39" spans="1:8" x14ac:dyDescent="0.25">
      <c r="A39" s="84">
        <v>12</v>
      </c>
      <c r="B39" s="51">
        <v>50000</v>
      </c>
      <c r="C39" s="53">
        <v>30117</v>
      </c>
      <c r="D39" s="94">
        <v>7</v>
      </c>
      <c r="E39" s="53"/>
      <c r="F39" s="79"/>
      <c r="G39" s="72"/>
      <c r="H39" s="96"/>
    </row>
    <row r="40" spans="1:8" x14ac:dyDescent="0.25">
      <c r="A40" s="84">
        <v>12</v>
      </c>
      <c r="B40" s="51">
        <v>100000</v>
      </c>
      <c r="C40" s="53">
        <v>88000</v>
      </c>
      <c r="D40" s="94">
        <v>7</v>
      </c>
      <c r="E40" s="53"/>
      <c r="F40" s="79"/>
      <c r="G40" s="72"/>
      <c r="H40" s="96"/>
    </row>
    <row r="41" spans="1:8" x14ac:dyDescent="0.25">
      <c r="A41" s="84">
        <v>13</v>
      </c>
      <c r="B41" s="51">
        <v>24076.799999999999</v>
      </c>
      <c r="C41" s="53">
        <v>53700</v>
      </c>
      <c r="D41" s="94">
        <v>8</v>
      </c>
      <c r="E41" s="53"/>
      <c r="F41" s="79"/>
      <c r="G41" s="72"/>
      <c r="H41" s="96"/>
    </row>
    <row r="42" spans="1:8" x14ac:dyDescent="0.25">
      <c r="A42" s="84">
        <v>13</v>
      </c>
      <c r="B42" s="51">
        <v>38000</v>
      </c>
      <c r="C42" s="53">
        <v>118500</v>
      </c>
      <c r="D42" s="94">
        <v>8</v>
      </c>
      <c r="E42" s="53"/>
      <c r="F42" s="79"/>
      <c r="G42" s="72"/>
      <c r="H42" s="96"/>
    </row>
    <row r="43" spans="1:8" x14ac:dyDescent="0.25">
      <c r="A43" s="84">
        <v>13</v>
      </c>
      <c r="B43" s="51">
        <v>502200</v>
      </c>
      <c r="C43" s="53">
        <v>110000</v>
      </c>
      <c r="D43" s="94">
        <v>8</v>
      </c>
      <c r="E43" s="53"/>
      <c r="F43" s="79"/>
      <c r="G43" s="72"/>
      <c r="H43" s="96"/>
    </row>
    <row r="44" spans="1:8" x14ac:dyDescent="0.25">
      <c r="A44" s="84">
        <v>13</v>
      </c>
      <c r="B44" s="51">
        <v>72250</v>
      </c>
      <c r="C44" s="56">
        <v>69100</v>
      </c>
      <c r="D44" s="94">
        <v>8</v>
      </c>
      <c r="E44" s="53"/>
      <c r="F44" s="79"/>
      <c r="G44" s="72"/>
      <c r="H44" s="96"/>
    </row>
    <row r="45" spans="1:8" x14ac:dyDescent="0.25">
      <c r="A45" s="84">
        <v>14</v>
      </c>
      <c r="B45" s="51">
        <v>40730</v>
      </c>
      <c r="C45" s="53">
        <v>42150</v>
      </c>
      <c r="D45" s="94">
        <v>8</v>
      </c>
      <c r="E45" s="53"/>
      <c r="F45" s="79"/>
      <c r="G45" s="72"/>
      <c r="H45" s="96"/>
    </row>
    <row r="46" spans="1:8" x14ac:dyDescent="0.25">
      <c r="A46" s="84">
        <v>14</v>
      </c>
      <c r="B46" s="51">
        <v>57890</v>
      </c>
      <c r="C46" s="53">
        <v>25700</v>
      </c>
      <c r="D46" s="94">
        <v>9</v>
      </c>
      <c r="E46" s="53"/>
      <c r="F46" s="79"/>
      <c r="G46" s="72"/>
      <c r="H46" s="96"/>
    </row>
    <row r="47" spans="1:8" x14ac:dyDescent="0.25">
      <c r="A47" s="84">
        <v>14</v>
      </c>
      <c r="B47" s="51">
        <v>57694</v>
      </c>
      <c r="C47" s="53">
        <v>75500</v>
      </c>
      <c r="D47" s="94">
        <v>9</v>
      </c>
      <c r="E47" s="53"/>
      <c r="F47" s="79"/>
      <c r="G47" s="72"/>
      <c r="H47" s="96"/>
    </row>
    <row r="48" spans="1:8" x14ac:dyDescent="0.25">
      <c r="A48" s="84">
        <v>14</v>
      </c>
      <c r="B48" s="51">
        <v>25420</v>
      </c>
      <c r="C48" s="53">
        <v>1571</v>
      </c>
      <c r="D48" s="94">
        <v>9</v>
      </c>
      <c r="E48" s="72"/>
      <c r="F48" s="97"/>
      <c r="G48" s="72"/>
      <c r="H48" s="96"/>
    </row>
    <row r="49" spans="1:8" x14ac:dyDescent="0.25">
      <c r="A49" s="84">
        <v>14</v>
      </c>
      <c r="B49" s="51">
        <v>133000</v>
      </c>
      <c r="C49" s="53">
        <v>81450</v>
      </c>
      <c r="D49" s="94">
        <v>9</v>
      </c>
      <c r="E49" s="72"/>
      <c r="F49" s="97"/>
      <c r="G49" s="72"/>
      <c r="H49" s="96"/>
    </row>
    <row r="50" spans="1:8" x14ac:dyDescent="0.25">
      <c r="A50" s="84">
        <v>14</v>
      </c>
      <c r="B50" s="51">
        <v>52450</v>
      </c>
      <c r="C50" s="53">
        <v>56000</v>
      </c>
      <c r="D50" s="94">
        <v>9</v>
      </c>
      <c r="E50" s="72"/>
      <c r="F50" s="97"/>
      <c r="G50" s="72"/>
      <c r="H50" s="96"/>
    </row>
    <row r="51" spans="1:8" x14ac:dyDescent="0.25">
      <c r="A51" s="84">
        <v>14</v>
      </c>
      <c r="B51" s="51">
        <v>80300</v>
      </c>
      <c r="C51" s="53">
        <v>40000</v>
      </c>
      <c r="D51" s="94">
        <v>9</v>
      </c>
      <c r="E51" s="72"/>
      <c r="F51" s="97"/>
      <c r="G51" s="72"/>
      <c r="H51" s="96"/>
    </row>
    <row r="52" spans="1:8" x14ac:dyDescent="0.25">
      <c r="A52" s="84">
        <v>14</v>
      </c>
      <c r="B52" s="51">
        <v>8541</v>
      </c>
      <c r="C52" s="53">
        <v>56000</v>
      </c>
      <c r="D52" s="94">
        <v>9</v>
      </c>
      <c r="E52" s="72"/>
      <c r="F52" s="97"/>
      <c r="G52" s="72"/>
      <c r="H52" s="96"/>
    </row>
    <row r="53" spans="1:8" x14ac:dyDescent="0.25">
      <c r="A53" s="84">
        <v>14</v>
      </c>
      <c r="B53" s="51">
        <v>28345</v>
      </c>
      <c r="C53" s="53">
        <v>85000</v>
      </c>
      <c r="D53" s="94">
        <v>9</v>
      </c>
      <c r="E53" s="72"/>
      <c r="F53" s="97"/>
      <c r="G53" s="72"/>
      <c r="H53" s="96"/>
    </row>
    <row r="54" spans="1:8" x14ac:dyDescent="0.25">
      <c r="B54" s="51">
        <v>0</v>
      </c>
      <c r="C54" s="53">
        <v>150000</v>
      </c>
      <c r="D54" s="94">
        <v>9</v>
      </c>
      <c r="E54" s="72"/>
      <c r="F54" s="97"/>
      <c r="G54" s="72"/>
      <c r="H54" s="96"/>
    </row>
    <row r="55" spans="1:8" x14ac:dyDescent="0.25">
      <c r="B55" s="51">
        <v>0</v>
      </c>
      <c r="C55" s="53">
        <v>75720</v>
      </c>
      <c r="D55" s="94">
        <v>10</v>
      </c>
      <c r="E55" s="72"/>
      <c r="F55" s="97"/>
      <c r="G55" s="72"/>
      <c r="H55" s="96"/>
    </row>
    <row r="56" spans="1:8" ht="18.75" x14ac:dyDescent="0.3">
      <c r="B56" s="54">
        <f>SUM(B4:B55)</f>
        <v>3449140.8</v>
      </c>
      <c r="C56" s="53">
        <v>72770</v>
      </c>
      <c r="D56" s="94">
        <v>10</v>
      </c>
      <c r="E56" s="72"/>
      <c r="F56" s="97"/>
      <c r="G56" s="72"/>
      <c r="H56" s="96"/>
    </row>
    <row r="57" spans="1:8" x14ac:dyDescent="0.25">
      <c r="B57" s="51"/>
      <c r="C57" s="53">
        <v>61000</v>
      </c>
      <c r="D57" s="94">
        <v>10</v>
      </c>
      <c r="E57" s="72"/>
      <c r="F57" s="97"/>
      <c r="G57" s="72"/>
      <c r="H57" s="96"/>
    </row>
    <row r="58" spans="1:8" x14ac:dyDescent="0.25">
      <c r="B58" s="51"/>
      <c r="C58" s="53">
        <v>59150</v>
      </c>
      <c r="D58" s="94">
        <v>10</v>
      </c>
      <c r="E58" s="72"/>
      <c r="F58" s="97"/>
      <c r="G58" s="72"/>
      <c r="H58" s="96"/>
    </row>
    <row r="59" spans="1:8" x14ac:dyDescent="0.25">
      <c r="B59" s="51"/>
      <c r="C59" s="53">
        <v>135000</v>
      </c>
      <c r="D59" s="94">
        <v>10</v>
      </c>
      <c r="E59" s="72"/>
      <c r="F59" s="97"/>
      <c r="G59" s="72"/>
      <c r="H59" s="96"/>
    </row>
    <row r="60" spans="1:8" x14ac:dyDescent="0.25">
      <c r="B60" s="51"/>
      <c r="C60" s="53">
        <v>187000</v>
      </c>
      <c r="D60" s="94">
        <v>10</v>
      </c>
      <c r="E60" s="72"/>
      <c r="F60" s="97"/>
      <c r="G60" s="72"/>
      <c r="H60" s="96"/>
    </row>
    <row r="61" spans="1:8" x14ac:dyDescent="0.25">
      <c r="B61" s="51"/>
      <c r="C61" s="53">
        <v>3500</v>
      </c>
      <c r="D61" s="94">
        <v>10</v>
      </c>
      <c r="E61" s="72"/>
      <c r="F61" s="97"/>
      <c r="G61" s="72"/>
      <c r="H61" s="96"/>
    </row>
    <row r="62" spans="1:8" x14ac:dyDescent="0.25">
      <c r="B62" s="51"/>
      <c r="C62" s="53">
        <v>15997</v>
      </c>
      <c r="D62" s="94">
        <v>10</v>
      </c>
      <c r="E62" s="72"/>
      <c r="F62" s="97"/>
      <c r="G62" s="72"/>
      <c r="H62" s="96"/>
    </row>
    <row r="63" spans="1:8" x14ac:dyDescent="0.25">
      <c r="B63" s="51"/>
      <c r="C63" s="53">
        <v>42500</v>
      </c>
      <c r="D63" s="94">
        <v>10</v>
      </c>
      <c r="E63" s="72"/>
      <c r="F63" s="97"/>
      <c r="G63" s="72"/>
      <c r="H63" s="96"/>
    </row>
    <row r="64" spans="1:8" x14ac:dyDescent="0.25">
      <c r="B64" s="51"/>
      <c r="C64" s="53">
        <v>100000</v>
      </c>
      <c r="D64" s="94">
        <v>10</v>
      </c>
      <c r="E64" s="72"/>
      <c r="F64" s="97"/>
      <c r="G64" s="72"/>
      <c r="H64" s="96"/>
    </row>
    <row r="65" spans="3:8" x14ac:dyDescent="0.25">
      <c r="C65" s="26">
        <v>0</v>
      </c>
      <c r="E65" s="72"/>
      <c r="F65" s="97"/>
      <c r="G65" s="72"/>
      <c r="H65" s="96"/>
    </row>
    <row r="66" spans="3:8" ht="18.75" x14ac:dyDescent="0.3">
      <c r="C66" s="57">
        <f>SUM(C4:C65)</f>
        <v>4198410.8</v>
      </c>
      <c r="E66" s="72"/>
      <c r="F66" s="97"/>
      <c r="G66" s="72"/>
      <c r="H66" s="96"/>
    </row>
    <row r="67" spans="3:8" x14ac:dyDescent="0.25">
      <c r="C67" s="26"/>
      <c r="E67" s="72"/>
      <c r="F67" s="97"/>
      <c r="G67" s="72"/>
      <c r="H67" s="96"/>
    </row>
    <row r="68" spans="3:8" x14ac:dyDescent="0.25">
      <c r="C68" s="26"/>
      <c r="E68" s="72"/>
      <c r="F68" s="97"/>
      <c r="G68" s="72"/>
      <c r="H68" s="96"/>
    </row>
    <row r="69" spans="3:8" ht="18.75" x14ac:dyDescent="0.3">
      <c r="C69" s="26"/>
      <c r="E69" s="72"/>
      <c r="F69" s="97"/>
      <c r="G69" s="73"/>
    </row>
    <row r="70" spans="3:8" x14ac:dyDescent="0.25">
      <c r="E70" s="74"/>
      <c r="F70" s="97"/>
      <c r="G70" s="74"/>
    </row>
    <row r="71" spans="3:8" x14ac:dyDescent="0.25">
      <c r="E71" s="74"/>
      <c r="F71" s="97"/>
      <c r="G71" s="74"/>
    </row>
  </sheetData>
  <sortState xmlns:xlrd2="http://schemas.microsoft.com/office/spreadsheetml/2017/richdata2" ref="E4:F33">
    <sortCondition ref="F4:F33"/>
  </sortState>
  <mergeCells count="1">
    <mergeCell ref="B2:C2"/>
  </mergeCells>
  <phoneticPr fontId="14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D8BA-D015-46CC-9B2C-19569D137ABD}">
  <sheetPr>
    <tabColor rgb="FFFF66FF"/>
  </sheetPr>
  <dimension ref="A1:AC62"/>
  <sheetViews>
    <sheetView workbookViewId="0">
      <selection activeCell="F26" sqref="F26"/>
    </sheetView>
  </sheetViews>
  <sheetFormatPr baseColWidth="10" defaultRowHeight="15" x14ac:dyDescent="0.25"/>
  <cols>
    <col min="1" max="1" width="8.28515625" customWidth="1"/>
    <col min="2" max="2" width="17.140625" bestFit="1" customWidth="1"/>
    <col min="4" max="4" width="21" bestFit="1" customWidth="1"/>
    <col min="9" max="9" width="13.28515625" customWidth="1"/>
    <col min="26" max="26" width="21.28515625" customWidth="1"/>
  </cols>
  <sheetData>
    <row r="1" spans="1:29" x14ac:dyDescent="0.2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2"/>
      <c r="T1" s="100"/>
      <c r="U1" s="100"/>
      <c r="V1" s="100"/>
      <c r="W1" s="102"/>
      <c r="X1" s="100"/>
      <c r="Y1" s="100"/>
      <c r="Z1" s="103"/>
      <c r="AA1" s="100"/>
    </row>
    <row r="2" spans="1:29" ht="30.75" thickBot="1" x14ac:dyDescent="0.3">
      <c r="A2" s="104"/>
      <c r="B2" s="104" t="s">
        <v>1</v>
      </c>
      <c r="C2" s="104" t="s">
        <v>2</v>
      </c>
      <c r="D2" s="104" t="s">
        <v>3</v>
      </c>
      <c r="E2" s="104" t="s">
        <v>4</v>
      </c>
      <c r="F2" s="105" t="s">
        <v>5</v>
      </c>
      <c r="G2" s="105" t="s">
        <v>6</v>
      </c>
      <c r="H2" s="106" t="s">
        <v>7</v>
      </c>
      <c r="I2" s="107" t="s">
        <v>8</v>
      </c>
      <c r="J2" s="104" t="s">
        <v>9</v>
      </c>
      <c r="K2" s="108" t="s">
        <v>10</v>
      </c>
      <c r="L2" s="108" t="s">
        <v>11</v>
      </c>
      <c r="M2" s="104" t="s">
        <v>12</v>
      </c>
      <c r="N2" s="104" t="s">
        <v>13</v>
      </c>
      <c r="O2" s="109" t="s">
        <v>14</v>
      </c>
      <c r="P2" s="110" t="s">
        <v>15</v>
      </c>
      <c r="Q2" s="109" t="s">
        <v>16</v>
      </c>
      <c r="R2" s="111" t="s">
        <v>17</v>
      </c>
      <c r="S2" s="111" t="s">
        <v>18</v>
      </c>
      <c r="T2" s="112" t="s">
        <v>19</v>
      </c>
      <c r="U2" s="109" t="s">
        <v>20</v>
      </c>
      <c r="V2" s="111" t="s">
        <v>21</v>
      </c>
      <c r="W2" s="112" t="s">
        <v>22</v>
      </c>
      <c r="X2" s="109" t="s">
        <v>23</v>
      </c>
      <c r="Y2" s="109" t="s">
        <v>24</v>
      </c>
      <c r="Z2" s="113" t="s">
        <v>25</v>
      </c>
      <c r="AA2" s="114"/>
    </row>
    <row r="3" spans="1:29" x14ac:dyDescent="0.25">
      <c r="A3" s="115"/>
      <c r="B3" s="116" t="s">
        <v>26</v>
      </c>
      <c r="C3" s="100" t="s">
        <v>27</v>
      </c>
      <c r="D3" s="100" t="s">
        <v>27</v>
      </c>
      <c r="E3" s="100" t="s">
        <v>28</v>
      </c>
      <c r="F3" s="117">
        <v>18706.464</v>
      </c>
      <c r="G3" s="118">
        <v>18638.27</v>
      </c>
      <c r="H3" s="118">
        <v>-68.193999999999505</v>
      </c>
      <c r="I3" s="100" t="s">
        <v>29</v>
      </c>
      <c r="J3" s="119" t="s">
        <v>30</v>
      </c>
      <c r="K3" s="120">
        <v>44377</v>
      </c>
      <c r="L3" s="120">
        <v>44378</v>
      </c>
      <c r="M3" s="121" t="s">
        <v>31</v>
      </c>
      <c r="N3" s="121" t="s">
        <v>32</v>
      </c>
      <c r="O3" s="102"/>
      <c r="P3" s="122">
        <v>0.80669999999999997</v>
      </c>
      <c r="Q3" s="123">
        <v>26000</v>
      </c>
      <c r="R3" s="124">
        <v>9663</v>
      </c>
      <c r="S3" s="125">
        <v>19.864999999999998</v>
      </c>
      <c r="T3" s="124">
        <v>3494.5876689683478</v>
      </c>
      <c r="U3" s="100"/>
      <c r="V3" s="102">
        <v>0.12</v>
      </c>
      <c r="W3" s="102">
        <v>0.3</v>
      </c>
      <c r="X3" s="102">
        <v>37.362354199792627</v>
      </c>
      <c r="Y3" s="102">
        <v>37.84984948068341</v>
      </c>
      <c r="Z3" s="126">
        <v>708036.84671582293</v>
      </c>
      <c r="AA3" s="127">
        <v>44377</v>
      </c>
    </row>
    <row r="4" spans="1:29" x14ac:dyDescent="0.25">
      <c r="A4" s="115"/>
      <c r="B4" s="116" t="s">
        <v>37</v>
      </c>
      <c r="C4" s="100" t="s">
        <v>38</v>
      </c>
      <c r="D4" s="121" t="s">
        <v>39</v>
      </c>
      <c r="E4" s="100" t="s">
        <v>40</v>
      </c>
      <c r="F4" s="117">
        <v>1728</v>
      </c>
      <c r="G4" s="118">
        <v>1728</v>
      </c>
      <c r="H4" s="118">
        <v>0</v>
      </c>
      <c r="I4" s="100" t="s">
        <v>41</v>
      </c>
      <c r="J4" s="100"/>
      <c r="K4" s="120"/>
      <c r="L4" s="120">
        <v>44378</v>
      </c>
      <c r="M4" s="121" t="s">
        <v>31</v>
      </c>
      <c r="N4" s="121"/>
      <c r="O4" s="102">
        <v>22</v>
      </c>
      <c r="P4" s="122"/>
      <c r="Q4" s="102"/>
      <c r="R4" s="124"/>
      <c r="S4" s="125"/>
      <c r="T4" s="124"/>
      <c r="U4" s="100"/>
      <c r="V4" s="102"/>
      <c r="W4" s="102"/>
      <c r="X4" s="102">
        <v>22</v>
      </c>
      <c r="Y4" s="102">
        <v>22</v>
      </c>
      <c r="Z4" s="126">
        <v>38016</v>
      </c>
      <c r="AA4" s="127">
        <v>44389</v>
      </c>
    </row>
    <row r="5" spans="1:29" x14ac:dyDescent="0.25">
      <c r="A5" s="115"/>
      <c r="B5" s="116" t="s">
        <v>26</v>
      </c>
      <c r="C5" s="100" t="s">
        <v>42</v>
      </c>
      <c r="D5" s="121" t="s">
        <v>42</v>
      </c>
      <c r="E5" s="100" t="s">
        <v>43</v>
      </c>
      <c r="F5" s="117">
        <v>18757.720799999999</v>
      </c>
      <c r="G5" s="118">
        <v>18636.759999999998</v>
      </c>
      <c r="H5" s="118">
        <v>-120.96080000000075</v>
      </c>
      <c r="I5" s="100" t="s">
        <v>44</v>
      </c>
      <c r="J5" s="119" t="s">
        <v>45</v>
      </c>
      <c r="K5" s="120">
        <v>44378</v>
      </c>
      <c r="L5" s="120">
        <v>44379</v>
      </c>
      <c r="M5" s="121" t="s">
        <v>46</v>
      </c>
      <c r="N5" s="121" t="s">
        <v>47</v>
      </c>
      <c r="O5" s="102"/>
      <c r="P5" s="122">
        <v>0.84089999999999998</v>
      </c>
      <c r="Q5" s="123">
        <v>26000</v>
      </c>
      <c r="R5" s="124">
        <v>9663</v>
      </c>
      <c r="S5" s="125">
        <v>19.829999999999998</v>
      </c>
      <c r="T5" s="124">
        <v>3638.5656861795756</v>
      </c>
      <c r="U5" s="100"/>
      <c r="V5" s="102">
        <v>0.12</v>
      </c>
      <c r="W5" s="102">
        <v>0.3</v>
      </c>
      <c r="X5" s="102">
        <v>38.795392307785875</v>
      </c>
      <c r="Y5" s="102">
        <v>39.290628265440503</v>
      </c>
      <c r="Z5" s="126">
        <v>737002.63505972119</v>
      </c>
      <c r="AA5" s="127">
        <v>44372</v>
      </c>
    </row>
    <row r="6" spans="1:29" x14ac:dyDescent="0.25">
      <c r="A6" s="115"/>
      <c r="B6" s="116" t="s">
        <v>26</v>
      </c>
      <c r="C6" s="100" t="s">
        <v>42</v>
      </c>
      <c r="D6" s="121" t="s">
        <v>42</v>
      </c>
      <c r="E6" s="100" t="s">
        <v>43</v>
      </c>
      <c r="F6" s="117">
        <v>18873.842400000001</v>
      </c>
      <c r="G6" s="118">
        <v>18882.240000000002</v>
      </c>
      <c r="H6" s="118">
        <v>8.3976000000002387</v>
      </c>
      <c r="I6" s="100" t="s">
        <v>48</v>
      </c>
      <c r="J6" s="119" t="s">
        <v>30</v>
      </c>
      <c r="K6" s="120">
        <v>44378</v>
      </c>
      <c r="L6" s="120">
        <v>44379</v>
      </c>
      <c r="M6" s="121" t="s">
        <v>46</v>
      </c>
      <c r="N6" s="121" t="s">
        <v>47</v>
      </c>
      <c r="O6" s="102"/>
      <c r="P6" s="122">
        <v>0.84089999999999998</v>
      </c>
      <c r="Q6" s="123">
        <v>26000</v>
      </c>
      <c r="R6" s="124">
        <v>9913</v>
      </c>
      <c r="S6" s="125">
        <v>19.829999999999998</v>
      </c>
      <c r="T6" s="124">
        <v>3659.9923573388219</v>
      </c>
      <c r="U6" s="100"/>
      <c r="V6" s="102">
        <v>0.12</v>
      </c>
      <c r="W6" s="102">
        <v>0.3</v>
      </c>
      <c r="X6" s="102">
        <v>38.78375457176459</v>
      </c>
      <c r="Y6" s="102">
        <v>39.277587102086137</v>
      </c>
      <c r="Z6" s="126">
        <v>741318.98881704651</v>
      </c>
      <c r="AA6" s="127">
        <v>44372</v>
      </c>
    </row>
    <row r="7" spans="1:29" x14ac:dyDescent="0.25">
      <c r="A7" s="115"/>
      <c r="B7" s="116" t="s">
        <v>26</v>
      </c>
      <c r="C7" s="100" t="s">
        <v>42</v>
      </c>
      <c r="D7" s="121" t="s">
        <v>42</v>
      </c>
      <c r="E7" s="100" t="s">
        <v>43</v>
      </c>
      <c r="F7" s="117">
        <v>18677.887200000001</v>
      </c>
      <c r="G7" s="118">
        <v>18689.240000000002</v>
      </c>
      <c r="H7" s="118">
        <v>11.35280000000057</v>
      </c>
      <c r="I7" s="100" t="s">
        <v>51</v>
      </c>
      <c r="J7" s="119" t="s">
        <v>30</v>
      </c>
      <c r="K7" s="120">
        <v>44379</v>
      </c>
      <c r="L7" s="120">
        <v>44380</v>
      </c>
      <c r="M7" s="121" t="s">
        <v>52</v>
      </c>
      <c r="N7" s="121" t="s">
        <v>53</v>
      </c>
      <c r="O7" s="102"/>
      <c r="P7" s="122">
        <v>0.85209999999999997</v>
      </c>
      <c r="Q7" s="123">
        <v>26000</v>
      </c>
      <c r="R7" s="124">
        <v>11973</v>
      </c>
      <c r="S7" s="125">
        <v>19.864999999999998</v>
      </c>
      <c r="T7" s="124">
        <v>3685.987758119009</v>
      </c>
      <c r="U7" s="100"/>
      <c r="V7" s="102">
        <v>0.12</v>
      </c>
      <c r="W7" s="102">
        <v>0.3</v>
      </c>
      <c r="X7" s="102">
        <v>39.469001163247299</v>
      </c>
      <c r="Y7" s="102">
        <v>39.966226291616294</v>
      </c>
      <c r="Z7" s="126">
        <v>746484.66648448352</v>
      </c>
      <c r="AA7" s="127">
        <v>44375</v>
      </c>
    </row>
    <row r="8" spans="1:29" x14ac:dyDescent="0.25">
      <c r="A8" s="115"/>
      <c r="B8" s="116" t="s">
        <v>26</v>
      </c>
      <c r="C8" s="100" t="s">
        <v>42</v>
      </c>
      <c r="D8" s="121" t="s">
        <v>42</v>
      </c>
      <c r="E8" s="100" t="s">
        <v>43</v>
      </c>
      <c r="F8" s="117">
        <v>18183.463199999998</v>
      </c>
      <c r="G8" s="118">
        <v>18327.009999999998</v>
      </c>
      <c r="H8" s="118">
        <v>143.54680000000008</v>
      </c>
      <c r="I8" s="100" t="s">
        <v>54</v>
      </c>
      <c r="J8" s="119" t="s">
        <v>30</v>
      </c>
      <c r="K8" s="120">
        <v>44379</v>
      </c>
      <c r="L8" s="120">
        <v>44380</v>
      </c>
      <c r="M8" s="121" t="s">
        <v>52</v>
      </c>
      <c r="N8" s="121" t="s">
        <v>53</v>
      </c>
      <c r="O8" s="102"/>
      <c r="P8" s="122">
        <v>0.85209999999999997</v>
      </c>
      <c r="Q8" s="123">
        <v>26000</v>
      </c>
      <c r="R8" s="124">
        <v>9663</v>
      </c>
      <c r="S8" s="125">
        <v>19.864999999999998</v>
      </c>
      <c r="T8" s="124">
        <v>3580.6072077846993</v>
      </c>
      <c r="U8" s="100"/>
      <c r="V8" s="102">
        <v>0.12</v>
      </c>
      <c r="W8" s="102">
        <v>0.3</v>
      </c>
      <c r="X8" s="102">
        <v>39.383116058823155</v>
      </c>
      <c r="Y8" s="102">
        <v>39.878489292524925</v>
      </c>
      <c r="Z8" s="126">
        <v>725129.04252222099</v>
      </c>
      <c r="AA8" s="127">
        <v>44375</v>
      </c>
    </row>
    <row r="9" spans="1:29" x14ac:dyDescent="0.25">
      <c r="A9" s="129"/>
      <c r="B9" s="116" t="s">
        <v>37</v>
      </c>
      <c r="C9" s="100" t="s">
        <v>42</v>
      </c>
      <c r="D9" s="121" t="s">
        <v>39</v>
      </c>
      <c r="E9" s="100" t="s">
        <v>40</v>
      </c>
      <c r="F9" s="117">
        <v>1810.7</v>
      </c>
      <c r="G9" s="118">
        <v>1810.7</v>
      </c>
      <c r="H9" s="118">
        <v>0</v>
      </c>
      <c r="I9" s="100" t="s">
        <v>55</v>
      </c>
      <c r="J9" s="100"/>
      <c r="K9" s="120"/>
      <c r="L9" s="120">
        <v>44380</v>
      </c>
      <c r="M9" s="121" t="s">
        <v>52</v>
      </c>
      <c r="N9" s="121"/>
      <c r="O9" s="102">
        <v>22</v>
      </c>
      <c r="P9" s="122"/>
      <c r="Q9" s="102"/>
      <c r="R9" s="124"/>
      <c r="S9" s="125"/>
      <c r="T9" s="124"/>
      <c r="U9" s="100"/>
      <c r="V9" s="102"/>
      <c r="W9" s="102"/>
      <c r="X9" s="102">
        <v>22</v>
      </c>
      <c r="Y9" s="102">
        <v>22</v>
      </c>
      <c r="Z9" s="126">
        <v>39835.4</v>
      </c>
      <c r="AA9" s="127">
        <v>44389</v>
      </c>
    </row>
    <row r="10" spans="1:29" x14ac:dyDescent="0.25">
      <c r="A10" s="132"/>
      <c r="B10" s="116" t="s">
        <v>63</v>
      </c>
      <c r="C10" s="100" t="s">
        <v>64</v>
      </c>
      <c r="D10" s="121" t="s">
        <v>60</v>
      </c>
      <c r="E10" s="100" t="s">
        <v>65</v>
      </c>
      <c r="F10" s="117">
        <v>2037.4</v>
      </c>
      <c r="G10" s="118">
        <v>2037.4</v>
      </c>
      <c r="H10" s="118">
        <v>0</v>
      </c>
      <c r="I10" s="134" t="s">
        <v>66</v>
      </c>
      <c r="J10" s="100"/>
      <c r="K10" s="120"/>
      <c r="L10" s="120">
        <v>44382</v>
      </c>
      <c r="M10" s="121" t="s">
        <v>62</v>
      </c>
      <c r="N10" s="121"/>
      <c r="O10" s="133">
        <v>115</v>
      </c>
      <c r="P10" s="133"/>
      <c r="Q10" s="102"/>
      <c r="R10" s="102"/>
      <c r="S10" s="124"/>
      <c r="T10" s="124"/>
      <c r="U10" s="102"/>
      <c r="V10" s="102"/>
      <c r="W10" s="102"/>
      <c r="X10" s="102">
        <v>115</v>
      </c>
      <c r="Y10" s="102">
        <v>115</v>
      </c>
      <c r="Z10" s="126">
        <v>234301</v>
      </c>
      <c r="AA10" s="127">
        <v>44389</v>
      </c>
    </row>
    <row r="11" spans="1:29" x14ac:dyDescent="0.25">
      <c r="A11" s="132"/>
      <c r="B11" s="116" t="s">
        <v>67</v>
      </c>
      <c r="C11" s="100" t="s">
        <v>64</v>
      </c>
      <c r="D11" s="121" t="s">
        <v>60</v>
      </c>
      <c r="E11" s="100" t="s">
        <v>68</v>
      </c>
      <c r="F11" s="117">
        <v>1026.55</v>
      </c>
      <c r="G11" s="118">
        <v>1026.55</v>
      </c>
      <c r="H11" s="118">
        <v>0</v>
      </c>
      <c r="I11" s="134" t="s">
        <v>69</v>
      </c>
      <c r="J11" s="100"/>
      <c r="K11" s="120"/>
      <c r="L11" s="120">
        <v>44382</v>
      </c>
      <c r="M11" s="121" t="s">
        <v>62</v>
      </c>
      <c r="N11" s="121"/>
      <c r="O11" s="133">
        <v>106</v>
      </c>
      <c r="P11" s="133"/>
      <c r="Q11" s="102"/>
      <c r="R11" s="102"/>
      <c r="S11" s="124"/>
      <c r="T11" s="124"/>
      <c r="U11" s="102"/>
      <c r="V11" s="102"/>
      <c r="W11" s="102"/>
      <c r="X11" s="102">
        <v>106</v>
      </c>
      <c r="Y11" s="102">
        <v>106</v>
      </c>
      <c r="Z11" s="126">
        <v>108814.29999999999</v>
      </c>
      <c r="AA11" s="127">
        <v>44389</v>
      </c>
    </row>
    <row r="12" spans="1:29" x14ac:dyDescent="0.25">
      <c r="A12" s="132"/>
      <c r="B12" s="116" t="s">
        <v>26</v>
      </c>
      <c r="C12" s="100" t="s">
        <v>27</v>
      </c>
      <c r="D12" s="100" t="s">
        <v>27</v>
      </c>
      <c r="E12" s="100" t="s">
        <v>28</v>
      </c>
      <c r="F12" s="117">
        <v>18124.495200000001</v>
      </c>
      <c r="G12" s="118">
        <v>18141.189999999999</v>
      </c>
      <c r="H12" s="118">
        <v>16.694799999997485</v>
      </c>
      <c r="I12" s="100" t="s">
        <v>72</v>
      </c>
      <c r="J12" s="119" t="s">
        <v>45</v>
      </c>
      <c r="K12" s="120">
        <v>44383</v>
      </c>
      <c r="L12" s="120">
        <v>44384</v>
      </c>
      <c r="M12" s="121" t="s">
        <v>73</v>
      </c>
      <c r="N12" s="121" t="s">
        <v>74</v>
      </c>
      <c r="O12" s="102"/>
      <c r="P12" s="122">
        <v>0.84709999999999996</v>
      </c>
      <c r="Q12" s="123">
        <v>26000</v>
      </c>
      <c r="R12" s="124">
        <v>10963</v>
      </c>
      <c r="S12" s="125">
        <v>20</v>
      </c>
      <c r="T12" s="124">
        <v>3580.2992913568387</v>
      </c>
      <c r="U12" s="100"/>
      <c r="V12" s="102">
        <v>0.12</v>
      </c>
      <c r="W12" s="102">
        <v>0.3</v>
      </c>
      <c r="X12" s="102">
        <v>39.507851135703227</v>
      </c>
      <c r="Y12" s="102">
        <v>40.005208601853838</v>
      </c>
      <c r="Z12" s="103">
        <v>725074.21127929864</v>
      </c>
      <c r="AA12" s="127">
        <v>44384</v>
      </c>
      <c r="AB12" s="119">
        <v>39.9</v>
      </c>
      <c r="AC12" s="100" t="s">
        <v>42</v>
      </c>
    </row>
    <row r="13" spans="1:29" x14ac:dyDescent="0.25">
      <c r="A13" s="132"/>
      <c r="B13" s="116" t="s">
        <v>26</v>
      </c>
      <c r="C13" s="100" t="s">
        <v>27</v>
      </c>
      <c r="D13" s="100" t="s">
        <v>27</v>
      </c>
      <c r="E13" s="100" t="s">
        <v>28</v>
      </c>
      <c r="F13" s="117">
        <v>18212.947199999999</v>
      </c>
      <c r="G13" s="118">
        <v>18202.98</v>
      </c>
      <c r="H13" s="118">
        <v>-9.9671999999991385</v>
      </c>
      <c r="I13" s="100" t="s">
        <v>75</v>
      </c>
      <c r="J13" s="119" t="s">
        <v>30</v>
      </c>
      <c r="K13" s="120">
        <v>44384</v>
      </c>
      <c r="L13" s="120">
        <v>44385</v>
      </c>
      <c r="M13" s="121" t="s">
        <v>31</v>
      </c>
      <c r="N13" s="121" t="s">
        <v>76</v>
      </c>
      <c r="O13" s="102"/>
      <c r="P13" s="122">
        <v>0.91700000000000004</v>
      </c>
      <c r="Q13" s="123">
        <v>26000</v>
      </c>
      <c r="R13" s="124">
        <v>11813</v>
      </c>
      <c r="S13" s="125">
        <v>19.920000000000002</v>
      </c>
      <c r="T13" s="124">
        <v>3867.3309958067821</v>
      </c>
      <c r="U13" s="100"/>
      <c r="V13" s="102">
        <v>0.12</v>
      </c>
      <c r="W13" s="102">
        <v>0.3</v>
      </c>
      <c r="X13" s="102">
        <v>42.467931777749648</v>
      </c>
      <c r="Y13" s="102">
        <v>42.980387705065212</v>
      </c>
      <c r="Z13" s="126">
        <v>782799.53190788184</v>
      </c>
      <c r="AA13" s="127">
        <v>44386</v>
      </c>
      <c r="AB13" s="119">
        <v>40.01</v>
      </c>
      <c r="AC13" s="100" t="s">
        <v>27</v>
      </c>
    </row>
    <row r="14" spans="1:29" x14ac:dyDescent="0.25">
      <c r="A14" s="132"/>
      <c r="B14" s="116" t="s">
        <v>78</v>
      </c>
      <c r="C14" s="100" t="s">
        <v>79</v>
      </c>
      <c r="D14" s="121" t="s">
        <v>80</v>
      </c>
      <c r="E14" s="100" t="s">
        <v>81</v>
      </c>
      <c r="F14" s="117">
        <v>503.94</v>
      </c>
      <c r="G14" s="118">
        <v>503.94</v>
      </c>
      <c r="H14" s="118">
        <v>0</v>
      </c>
      <c r="I14" s="100" t="s">
        <v>82</v>
      </c>
      <c r="J14" s="100"/>
      <c r="K14" s="120"/>
      <c r="L14" s="120">
        <v>44385</v>
      </c>
      <c r="M14" s="121" t="s">
        <v>31</v>
      </c>
      <c r="N14" s="121"/>
      <c r="O14" s="102">
        <v>50</v>
      </c>
      <c r="P14" s="122"/>
      <c r="Q14" s="102"/>
      <c r="R14" s="124"/>
      <c r="S14" s="125"/>
      <c r="T14" s="124"/>
      <c r="U14" s="100"/>
      <c r="V14" s="102"/>
      <c r="W14" s="102"/>
      <c r="X14" s="102">
        <v>50</v>
      </c>
      <c r="Y14" s="102">
        <v>50</v>
      </c>
      <c r="Z14" s="126">
        <v>25197</v>
      </c>
      <c r="AA14" s="127">
        <v>44386</v>
      </c>
      <c r="AB14" s="119">
        <v>42.63</v>
      </c>
      <c r="AC14" s="100" t="s">
        <v>42</v>
      </c>
    </row>
    <row r="15" spans="1:29" x14ac:dyDescent="0.25">
      <c r="A15" s="132"/>
      <c r="B15" s="116" t="s">
        <v>26</v>
      </c>
      <c r="C15" s="100" t="s">
        <v>42</v>
      </c>
      <c r="D15" s="121" t="s">
        <v>42</v>
      </c>
      <c r="E15" s="100" t="s">
        <v>43</v>
      </c>
      <c r="F15" s="117">
        <v>18427.5</v>
      </c>
      <c r="G15" s="118">
        <v>18402.41</v>
      </c>
      <c r="H15" s="118">
        <v>-25.090000000000146</v>
      </c>
      <c r="I15" s="100" t="s">
        <v>83</v>
      </c>
      <c r="J15" s="119" t="s">
        <v>30</v>
      </c>
      <c r="K15" s="120">
        <v>44385</v>
      </c>
      <c r="L15" s="120">
        <v>44386</v>
      </c>
      <c r="M15" s="121" t="s">
        <v>46</v>
      </c>
      <c r="N15" s="121" t="s">
        <v>84</v>
      </c>
      <c r="O15" s="102"/>
      <c r="P15" s="122">
        <v>0.91200000000000003</v>
      </c>
      <c r="Q15" s="123">
        <v>26000</v>
      </c>
      <c r="R15" s="124">
        <v>11963</v>
      </c>
      <c r="S15" s="125">
        <v>19.864999999999998</v>
      </c>
      <c r="T15" s="124">
        <v>3881.1456861041852</v>
      </c>
      <c r="U15" s="100"/>
      <c r="V15" s="102">
        <v>0.12</v>
      </c>
      <c r="W15" s="102">
        <v>0.3</v>
      </c>
      <c r="X15" s="102">
        <v>42.123409969927394</v>
      </c>
      <c r="Y15" s="102">
        <v>42.634314176827694</v>
      </c>
      <c r="Z15" s="126">
        <v>785643.82449349237</v>
      </c>
      <c r="AA15" s="127">
        <v>44379</v>
      </c>
      <c r="AB15" s="119">
        <v>42.53</v>
      </c>
      <c r="AC15" s="100" t="s">
        <v>42</v>
      </c>
    </row>
    <row r="16" spans="1:29" x14ac:dyDescent="0.25">
      <c r="A16" s="132"/>
      <c r="B16" s="116" t="s">
        <v>26</v>
      </c>
      <c r="C16" s="100" t="s">
        <v>42</v>
      </c>
      <c r="D16" s="121" t="s">
        <v>42</v>
      </c>
      <c r="E16" s="100" t="s">
        <v>43</v>
      </c>
      <c r="F16" s="117">
        <v>18364.903200000001</v>
      </c>
      <c r="G16" s="118">
        <v>18357.259999999998</v>
      </c>
      <c r="H16" s="118">
        <v>-7.6432000000022526</v>
      </c>
      <c r="I16" s="100" t="s">
        <v>85</v>
      </c>
      <c r="J16" s="119" t="s">
        <v>30</v>
      </c>
      <c r="K16" s="120">
        <v>44385</v>
      </c>
      <c r="L16" s="120">
        <v>44386</v>
      </c>
      <c r="M16" s="121" t="s">
        <v>46</v>
      </c>
      <c r="N16" s="121" t="s">
        <v>84</v>
      </c>
      <c r="O16" s="102"/>
      <c r="P16" s="122">
        <v>0.91200000000000003</v>
      </c>
      <c r="Q16" s="123">
        <v>26000</v>
      </c>
      <c r="R16" s="124">
        <v>9913</v>
      </c>
      <c r="S16" s="125">
        <v>19.864999999999998</v>
      </c>
      <c r="T16" s="124">
        <v>3858.1733668602997</v>
      </c>
      <c r="U16" s="100"/>
      <c r="V16" s="102">
        <v>0.12</v>
      </c>
      <c r="W16" s="102">
        <v>0.3</v>
      </c>
      <c r="X16" s="102">
        <v>42.016811358529779</v>
      </c>
      <c r="Y16" s="102">
        <v>42.526982885591018</v>
      </c>
      <c r="Z16" s="126">
        <v>781003.92408193578</v>
      </c>
      <c r="AA16" s="127">
        <v>44379</v>
      </c>
      <c r="AB16" s="135">
        <v>41.336666666666666</v>
      </c>
      <c r="AC16" s="100" t="s">
        <v>86</v>
      </c>
    </row>
    <row r="17" spans="1:29" x14ac:dyDescent="0.25">
      <c r="A17" s="132"/>
      <c r="B17" s="116" t="s">
        <v>58</v>
      </c>
      <c r="C17" s="100" t="s">
        <v>59</v>
      </c>
      <c r="D17" s="121" t="s">
        <v>87</v>
      </c>
      <c r="E17" s="100" t="s">
        <v>88</v>
      </c>
      <c r="F17" s="117">
        <v>18532.621800000001</v>
      </c>
      <c r="G17" s="118">
        <v>18469.82</v>
      </c>
      <c r="H17" s="118">
        <v>-62.801800000001094</v>
      </c>
      <c r="I17" s="100">
        <v>15541</v>
      </c>
      <c r="J17" s="119" t="s">
        <v>45</v>
      </c>
      <c r="K17" s="120">
        <v>44385</v>
      </c>
      <c r="L17" s="120">
        <v>44386</v>
      </c>
      <c r="M17" s="121" t="s">
        <v>46</v>
      </c>
      <c r="N17" s="121"/>
      <c r="O17" s="102"/>
      <c r="P17" s="122">
        <v>1.1399999999999999</v>
      </c>
      <c r="Q17" s="123">
        <v>26000</v>
      </c>
      <c r="R17" s="124">
        <v>12355</v>
      </c>
      <c r="S17" s="125">
        <v>20</v>
      </c>
      <c r="T17" s="124">
        <v>4861.2467082023986</v>
      </c>
      <c r="U17" s="100"/>
      <c r="V17" s="102">
        <v>0.12</v>
      </c>
      <c r="W17" s="102">
        <v>0.3</v>
      </c>
      <c r="X17" s="102">
        <v>52.461510957962766</v>
      </c>
      <c r="Y17" s="102">
        <v>53.024710421097893</v>
      </c>
      <c r="Z17" s="126">
        <v>982686.90428872604</v>
      </c>
      <c r="AA17" s="127">
        <v>44385</v>
      </c>
      <c r="AB17" s="100"/>
      <c r="AC17" s="100"/>
    </row>
    <row r="18" spans="1:29" x14ac:dyDescent="0.25">
      <c r="A18" s="132"/>
      <c r="B18" s="116" t="s">
        <v>37</v>
      </c>
      <c r="C18" s="100" t="s">
        <v>89</v>
      </c>
      <c r="D18" s="121" t="s">
        <v>39</v>
      </c>
      <c r="E18" s="100" t="s">
        <v>40</v>
      </c>
      <c r="F18" s="117">
        <v>1386.65</v>
      </c>
      <c r="G18" s="118">
        <v>1386.65</v>
      </c>
      <c r="H18" s="118">
        <v>0</v>
      </c>
      <c r="I18" s="100" t="s">
        <v>90</v>
      </c>
      <c r="J18" s="100"/>
      <c r="K18" s="120"/>
      <c r="L18" s="120">
        <v>44386</v>
      </c>
      <c r="M18" s="121" t="s">
        <v>46</v>
      </c>
      <c r="N18" s="121"/>
      <c r="O18" s="102">
        <v>22</v>
      </c>
      <c r="P18" s="122"/>
      <c r="Q18" s="102"/>
      <c r="R18" s="124"/>
      <c r="S18" s="125"/>
      <c r="T18" s="124"/>
      <c r="U18" s="100"/>
      <c r="V18" s="102"/>
      <c r="W18" s="102"/>
      <c r="X18" s="102">
        <v>22</v>
      </c>
      <c r="Y18" s="102">
        <v>22</v>
      </c>
      <c r="Z18" s="126">
        <v>30506.300000000003</v>
      </c>
      <c r="AA18" s="127">
        <v>44393</v>
      </c>
      <c r="AB18" s="100"/>
      <c r="AC18" s="100"/>
    </row>
    <row r="19" spans="1:29" x14ac:dyDescent="0.25">
      <c r="A19" s="136"/>
      <c r="B19" s="116" t="s">
        <v>26</v>
      </c>
      <c r="C19" s="100" t="s">
        <v>42</v>
      </c>
      <c r="D19" s="121" t="s">
        <v>42</v>
      </c>
      <c r="E19" s="100" t="s">
        <v>43</v>
      </c>
      <c r="F19" s="117">
        <v>17238.614399999999</v>
      </c>
      <c r="G19" s="118">
        <v>17228.71</v>
      </c>
      <c r="H19" s="118">
        <v>-9.9043999999994412</v>
      </c>
      <c r="I19" s="100" t="s">
        <v>92</v>
      </c>
      <c r="J19" s="138" t="s">
        <v>30</v>
      </c>
      <c r="K19" s="120">
        <v>44389</v>
      </c>
      <c r="L19" s="120">
        <v>44390</v>
      </c>
      <c r="M19" s="121" t="s">
        <v>71</v>
      </c>
      <c r="N19" s="121" t="s">
        <v>93</v>
      </c>
      <c r="O19" s="102"/>
      <c r="P19" s="122">
        <v>0.98199999999999998</v>
      </c>
      <c r="Q19" s="102">
        <v>26000</v>
      </c>
      <c r="R19" s="124">
        <v>10963</v>
      </c>
      <c r="S19" s="125">
        <v>19.864999999999998</v>
      </c>
      <c r="T19" s="124">
        <v>3902.0905798696072</v>
      </c>
      <c r="U19" s="100"/>
      <c r="V19" s="102">
        <v>0.12</v>
      </c>
      <c r="W19" s="102">
        <v>0.3</v>
      </c>
      <c r="X19" s="102">
        <v>45.271510683243861</v>
      </c>
      <c r="Y19" s="102">
        <v>45.797998364554275</v>
      </c>
      <c r="Z19" s="126">
        <v>789494.03409838176</v>
      </c>
      <c r="AA19" s="127">
        <v>44383</v>
      </c>
      <c r="AB19" s="119">
        <v>45.8</v>
      </c>
      <c r="AC19" s="100" t="s">
        <v>42</v>
      </c>
    </row>
    <row r="20" spans="1:29" x14ac:dyDescent="0.25">
      <c r="A20" s="136"/>
      <c r="B20" s="116" t="s">
        <v>26</v>
      </c>
      <c r="C20" s="100" t="s">
        <v>42</v>
      </c>
      <c r="D20" s="121" t="s">
        <v>42</v>
      </c>
      <c r="E20" s="100" t="s">
        <v>43</v>
      </c>
      <c r="F20" s="117">
        <v>17415.518400000001</v>
      </c>
      <c r="G20" s="118">
        <v>17426</v>
      </c>
      <c r="H20" s="118">
        <v>10.481599999999162</v>
      </c>
      <c r="I20" s="100" t="s">
        <v>94</v>
      </c>
      <c r="J20" s="138" t="s">
        <v>30</v>
      </c>
      <c r="K20" s="120">
        <v>44389</v>
      </c>
      <c r="L20" s="120">
        <v>44390</v>
      </c>
      <c r="M20" s="121" t="s">
        <v>71</v>
      </c>
      <c r="N20" s="121" t="s">
        <v>93</v>
      </c>
      <c r="O20" s="102"/>
      <c r="P20" s="122">
        <v>0.98199999999999998</v>
      </c>
      <c r="Q20" s="102">
        <v>26000</v>
      </c>
      <c r="R20" s="124">
        <v>11913</v>
      </c>
      <c r="S20" s="125">
        <v>19.864999999999998</v>
      </c>
      <c r="T20" s="124">
        <v>3944.7661924637528</v>
      </c>
      <c r="U20" s="100"/>
      <c r="V20" s="102">
        <v>0.12</v>
      </c>
      <c r="W20" s="102">
        <v>0.3</v>
      </c>
      <c r="X20" s="102">
        <v>45.301737242157003</v>
      </c>
      <c r="Y20" s="102">
        <v>45.828109685199792</v>
      </c>
      <c r="Z20" s="126">
        <v>798120.28745981527</v>
      </c>
      <c r="AA20" s="127">
        <v>44383</v>
      </c>
      <c r="AB20" s="119">
        <v>45.83</v>
      </c>
      <c r="AC20" s="100" t="s">
        <v>42</v>
      </c>
    </row>
    <row r="21" spans="1:29" x14ac:dyDescent="0.25">
      <c r="A21" s="136"/>
      <c r="B21" s="116" t="s">
        <v>132</v>
      </c>
      <c r="C21" s="100" t="s">
        <v>133</v>
      </c>
      <c r="D21" s="121" t="s">
        <v>134</v>
      </c>
      <c r="E21" s="100" t="s">
        <v>135</v>
      </c>
      <c r="F21" s="117">
        <v>541.79999999999995</v>
      </c>
      <c r="G21" s="118">
        <v>541.79999999999995</v>
      </c>
      <c r="H21" s="118">
        <v>0</v>
      </c>
      <c r="I21" s="100" t="s">
        <v>136</v>
      </c>
      <c r="J21" s="100"/>
      <c r="K21" s="120"/>
      <c r="L21" s="120">
        <v>44390</v>
      </c>
      <c r="M21" s="121" t="s">
        <v>71</v>
      </c>
      <c r="N21" s="121"/>
      <c r="O21" s="102">
        <v>117</v>
      </c>
      <c r="P21" s="122"/>
      <c r="Q21" s="102"/>
      <c r="R21" s="102"/>
      <c r="S21" s="124"/>
      <c r="T21" s="124"/>
      <c r="U21" s="102"/>
      <c r="V21" s="102"/>
      <c r="W21" s="102"/>
      <c r="X21" s="102"/>
      <c r="Y21" s="102">
        <v>117</v>
      </c>
      <c r="Z21" s="103">
        <v>63390.599999999991</v>
      </c>
      <c r="AA21" s="127">
        <v>44400</v>
      </c>
      <c r="AB21" s="100">
        <v>46.16</v>
      </c>
      <c r="AC21" s="100" t="s">
        <v>27</v>
      </c>
    </row>
    <row r="22" spans="1:29" x14ac:dyDescent="0.25">
      <c r="A22" s="136"/>
      <c r="B22" s="116" t="s">
        <v>26</v>
      </c>
      <c r="C22" s="100" t="s">
        <v>27</v>
      </c>
      <c r="D22" s="100" t="s">
        <v>27</v>
      </c>
      <c r="E22" s="100" t="s">
        <v>28</v>
      </c>
      <c r="F22" s="117">
        <v>18474.6744</v>
      </c>
      <c r="G22" s="118">
        <v>18470.04</v>
      </c>
      <c r="H22" s="118">
        <v>-4.6343999999990046</v>
      </c>
      <c r="I22" s="100" t="s">
        <v>95</v>
      </c>
      <c r="J22" s="138" t="s">
        <v>45</v>
      </c>
      <c r="K22" s="120">
        <v>44390</v>
      </c>
      <c r="L22" s="120">
        <v>44391</v>
      </c>
      <c r="M22" s="121" t="s">
        <v>73</v>
      </c>
      <c r="N22" s="121" t="s">
        <v>96</v>
      </c>
      <c r="O22" s="102"/>
      <c r="P22" s="122">
        <v>0.98699999999999999</v>
      </c>
      <c r="Q22" s="102">
        <v>26000</v>
      </c>
      <c r="R22" s="124">
        <v>10963</v>
      </c>
      <c r="S22" s="125">
        <v>19.91</v>
      </c>
      <c r="T22" s="124">
        <v>4197.8349442628914</v>
      </c>
      <c r="U22" s="100"/>
      <c r="V22" s="102">
        <v>0.12</v>
      </c>
      <c r="W22" s="102">
        <v>0.3</v>
      </c>
      <c r="X22" s="102">
        <v>45.444210310552393</v>
      </c>
      <c r="Y22" s="102">
        <v>45.971488375151218</v>
      </c>
      <c r="Z22" s="103">
        <v>849308.27941430383</v>
      </c>
      <c r="AA22" s="127">
        <v>44390</v>
      </c>
      <c r="AB22" s="119">
        <v>46.45</v>
      </c>
      <c r="AC22" s="100" t="s">
        <v>42</v>
      </c>
    </row>
    <row r="23" spans="1:29" x14ac:dyDescent="0.25">
      <c r="A23" s="136"/>
      <c r="B23" s="116"/>
      <c r="C23" s="100"/>
      <c r="D23" s="121"/>
      <c r="E23" s="100"/>
      <c r="F23" s="117"/>
      <c r="G23" s="118"/>
      <c r="H23" s="118">
        <v>0</v>
      </c>
      <c r="I23" s="100"/>
      <c r="J23" s="100"/>
      <c r="K23" s="120"/>
      <c r="L23" s="120">
        <v>44391</v>
      </c>
      <c r="M23" s="121" t="s">
        <v>73</v>
      </c>
      <c r="N23" s="121"/>
      <c r="O23" s="102"/>
      <c r="P23" s="122"/>
      <c r="Q23" s="102"/>
      <c r="R23" s="102"/>
      <c r="S23" s="125"/>
      <c r="T23" s="124"/>
      <c r="U23" s="102"/>
      <c r="V23" s="102"/>
      <c r="W23" s="102">
        <v>0.3</v>
      </c>
      <c r="X23" s="102" t="e">
        <v>#DIV/0!</v>
      </c>
      <c r="Y23" s="102" t="e">
        <v>#DIV/0!</v>
      </c>
      <c r="Z23" s="103">
        <v>0</v>
      </c>
      <c r="AA23" s="127"/>
      <c r="AB23" s="119">
        <v>46.4</v>
      </c>
      <c r="AC23" s="100" t="s">
        <v>42</v>
      </c>
    </row>
    <row r="24" spans="1:29" s="144" customFormat="1" ht="15.75" x14ac:dyDescent="0.25">
      <c r="A24" s="180"/>
      <c r="B24" s="160"/>
      <c r="D24" s="165"/>
      <c r="F24" s="161"/>
      <c r="G24" s="162"/>
      <c r="H24" s="162"/>
      <c r="K24" s="164"/>
      <c r="L24" s="164"/>
      <c r="M24" s="165"/>
      <c r="N24" s="165"/>
      <c r="O24" s="146"/>
      <c r="P24" s="166"/>
      <c r="Q24" s="146"/>
      <c r="R24" s="146"/>
      <c r="S24" s="169"/>
      <c r="T24" s="168"/>
      <c r="U24" s="146"/>
      <c r="V24" s="146"/>
      <c r="W24" s="146"/>
      <c r="X24" s="146"/>
      <c r="Y24" s="146"/>
      <c r="Z24" s="188">
        <f>SUM(Z3:Z23)</f>
        <v>10692163.776623128</v>
      </c>
      <c r="AA24" s="171"/>
      <c r="AB24" s="163"/>
    </row>
    <row r="25" spans="1:29" s="144" customFormat="1" x14ac:dyDescent="0.25">
      <c r="A25" s="180"/>
      <c r="B25" s="160"/>
      <c r="D25" s="165"/>
      <c r="F25" s="161"/>
      <c r="G25" s="162"/>
      <c r="H25" s="162"/>
      <c r="K25" s="164"/>
      <c r="L25" s="164"/>
      <c r="M25" s="165"/>
      <c r="N25" s="165"/>
      <c r="O25" s="146"/>
      <c r="P25" s="166"/>
      <c r="Q25" s="146"/>
      <c r="R25" s="146"/>
      <c r="S25" s="169"/>
      <c r="T25" s="168"/>
      <c r="U25" s="146"/>
      <c r="V25" s="146"/>
      <c r="W25" s="146"/>
      <c r="X25" s="146"/>
      <c r="Y25" s="146"/>
      <c r="Z25" s="147"/>
      <c r="AA25" s="171"/>
      <c r="AB25" s="163"/>
    </row>
    <row r="26" spans="1:29" s="144" customFormat="1" x14ac:dyDescent="0.25">
      <c r="A26" s="180"/>
      <c r="B26" s="160"/>
      <c r="D26" s="165"/>
      <c r="F26" s="161"/>
      <c r="G26" s="162"/>
      <c r="H26" s="162"/>
      <c r="K26" s="164"/>
      <c r="L26" s="164"/>
      <c r="M26" s="165"/>
      <c r="N26" s="165"/>
      <c r="O26" s="146"/>
      <c r="P26" s="166"/>
      <c r="Q26" s="146"/>
      <c r="R26" s="146"/>
      <c r="S26" s="169"/>
      <c r="T26" s="168"/>
      <c r="U26" s="146"/>
      <c r="V26" s="146"/>
      <c r="W26" s="146"/>
      <c r="X26" s="146"/>
      <c r="Y26" s="146"/>
      <c r="Z26" s="147"/>
      <c r="AA26" s="171"/>
      <c r="AB26" s="163"/>
    </row>
    <row r="27" spans="1:29" s="144" customFormat="1" x14ac:dyDescent="0.25">
      <c r="A27" s="180"/>
      <c r="B27" s="160"/>
      <c r="D27" s="165"/>
      <c r="F27" s="161"/>
      <c r="G27" s="162"/>
      <c r="H27" s="162"/>
      <c r="K27" s="164"/>
      <c r="L27" s="164"/>
      <c r="M27" s="165"/>
      <c r="N27" s="165"/>
      <c r="O27" s="146"/>
      <c r="P27" s="166"/>
      <c r="Q27" s="146"/>
      <c r="R27" s="146"/>
      <c r="S27" s="169"/>
      <c r="T27" s="168"/>
      <c r="U27" s="146"/>
      <c r="V27" s="146"/>
      <c r="W27" s="146"/>
      <c r="X27" s="146"/>
      <c r="Y27" s="146"/>
      <c r="Z27" s="147"/>
      <c r="AA27" s="171"/>
      <c r="AB27" s="163"/>
    </row>
    <row r="28" spans="1:29" x14ac:dyDescent="0.25">
      <c r="A28" s="136"/>
      <c r="B28" s="116" t="s">
        <v>26</v>
      </c>
      <c r="C28" s="100" t="s">
        <v>27</v>
      </c>
      <c r="D28" s="100" t="s">
        <v>27</v>
      </c>
      <c r="E28" s="100" t="s">
        <v>28</v>
      </c>
      <c r="F28" s="117">
        <v>18428.860799999999</v>
      </c>
      <c r="G28" s="137">
        <v>18400</v>
      </c>
      <c r="H28" s="118">
        <v>-28.860799999998562</v>
      </c>
      <c r="I28" s="100" t="s">
        <v>97</v>
      </c>
      <c r="J28" s="138" t="s">
        <v>30</v>
      </c>
      <c r="K28" s="120">
        <v>44391</v>
      </c>
      <c r="L28" s="120">
        <v>44392</v>
      </c>
      <c r="M28" s="121" t="s">
        <v>31</v>
      </c>
      <c r="N28" s="121" t="s">
        <v>98</v>
      </c>
      <c r="O28" s="102"/>
      <c r="P28" s="122">
        <v>0.96640000000000004</v>
      </c>
      <c r="Q28" s="102">
        <v>26000</v>
      </c>
      <c r="R28" s="124">
        <v>9663</v>
      </c>
      <c r="S28" s="139">
        <v>20.399999999999999</v>
      </c>
      <c r="T28" s="124">
        <v>4194.4939974250256</v>
      </c>
      <c r="U28" s="100"/>
      <c r="V28" s="102">
        <v>0.12</v>
      </c>
      <c r="W28" s="102">
        <v>0.3</v>
      </c>
      <c r="X28" s="102">
        <v>45.520925497739128</v>
      </c>
      <c r="Y28" s="102">
        <v>46.048887128033961</v>
      </c>
      <c r="Z28" s="126">
        <v>848628.53087744955</v>
      </c>
      <c r="AA28" s="127">
        <v>44391</v>
      </c>
      <c r="AB28" s="135">
        <v>46.101666666666659</v>
      </c>
      <c r="AC28" s="100" t="s">
        <v>86</v>
      </c>
    </row>
    <row r="29" spans="1:29" x14ac:dyDescent="0.25">
      <c r="A29" s="136"/>
      <c r="B29" s="116" t="s">
        <v>33</v>
      </c>
      <c r="C29" s="100" t="s">
        <v>34</v>
      </c>
      <c r="D29" s="121"/>
      <c r="E29" s="100">
        <v>250</v>
      </c>
      <c r="F29" s="117"/>
      <c r="G29" s="118"/>
      <c r="H29" s="118">
        <v>0</v>
      </c>
      <c r="I29" s="100"/>
      <c r="J29" s="100"/>
      <c r="K29" s="120"/>
      <c r="L29" s="120">
        <v>44392</v>
      </c>
      <c r="M29" s="121" t="s">
        <v>31</v>
      </c>
      <c r="N29" s="121"/>
      <c r="O29" s="102"/>
      <c r="P29" s="122"/>
      <c r="Q29" s="128">
        <v>26000</v>
      </c>
      <c r="R29" s="102">
        <v>25150</v>
      </c>
      <c r="S29" s="124">
        <v>-10000</v>
      </c>
      <c r="T29" s="124" t="e">
        <v>#DIV/0!</v>
      </c>
      <c r="U29" s="102">
        <v>1250</v>
      </c>
      <c r="V29" s="102">
        <v>3600</v>
      </c>
      <c r="W29" s="102">
        <v>0.3</v>
      </c>
      <c r="X29" s="102" t="e">
        <v>#DIV/0!</v>
      </c>
      <c r="Y29" s="102" t="e">
        <v>#DIV/0!</v>
      </c>
      <c r="Z29" s="103" t="e">
        <v>#DIV/0!</v>
      </c>
      <c r="AA29" s="127"/>
      <c r="AB29" s="100"/>
      <c r="AC29" s="100"/>
    </row>
    <row r="30" spans="1:29" x14ac:dyDescent="0.25">
      <c r="A30" s="136"/>
      <c r="B30" s="116" t="s">
        <v>26</v>
      </c>
      <c r="C30" s="100" t="s">
        <v>42</v>
      </c>
      <c r="D30" s="121" t="s">
        <v>42</v>
      </c>
      <c r="E30" s="100" t="s">
        <v>43</v>
      </c>
      <c r="F30" s="117">
        <v>17731.223999999998</v>
      </c>
      <c r="G30" s="137">
        <v>17731</v>
      </c>
      <c r="H30" s="118">
        <v>-0.22399999999834108</v>
      </c>
      <c r="I30" s="100" t="s">
        <v>99</v>
      </c>
      <c r="J30" s="138" t="s">
        <v>45</v>
      </c>
      <c r="K30" s="120">
        <v>44392</v>
      </c>
      <c r="L30" s="120">
        <v>44393</v>
      </c>
      <c r="M30" s="121" t="s">
        <v>46</v>
      </c>
      <c r="N30" s="121" t="s">
        <v>100</v>
      </c>
      <c r="O30" s="102"/>
      <c r="P30" s="122">
        <v>0.99609999999999999</v>
      </c>
      <c r="Q30" s="102">
        <v>26000</v>
      </c>
      <c r="R30" s="124">
        <v>11963</v>
      </c>
      <c r="S30" s="125">
        <v>19.920000000000002</v>
      </c>
      <c r="T30" s="124">
        <v>4078.6614536386974</v>
      </c>
      <c r="U30" s="100"/>
      <c r="V30" s="102">
        <v>0.12</v>
      </c>
      <c r="W30" s="102">
        <v>0.3</v>
      </c>
      <c r="X30" s="102">
        <v>46.005413429312014</v>
      </c>
      <c r="Y30" s="102">
        <v>46.535443402445992</v>
      </c>
      <c r="Z30" s="126">
        <v>825130.37090809201</v>
      </c>
      <c r="AA30" s="127">
        <v>44386</v>
      </c>
      <c r="AB30" s="100"/>
      <c r="AC30" s="100"/>
    </row>
    <row r="31" spans="1:29" x14ac:dyDescent="0.25">
      <c r="A31" s="136"/>
      <c r="B31" s="116" t="s">
        <v>26</v>
      </c>
      <c r="C31" s="100" t="s">
        <v>42</v>
      </c>
      <c r="D31" s="121" t="s">
        <v>42</v>
      </c>
      <c r="E31" s="100" t="s">
        <v>43</v>
      </c>
      <c r="F31" s="117">
        <v>17596.051200000002</v>
      </c>
      <c r="G31" s="137">
        <v>17590</v>
      </c>
      <c r="H31" s="118">
        <v>-6.0512000000016997</v>
      </c>
      <c r="I31" s="100" t="s">
        <v>101</v>
      </c>
      <c r="J31" s="138" t="s">
        <v>30</v>
      </c>
      <c r="K31" s="120">
        <v>44392</v>
      </c>
      <c r="L31" s="120">
        <v>44393</v>
      </c>
      <c r="M31" s="121" t="s">
        <v>46</v>
      </c>
      <c r="N31" s="121" t="s">
        <v>100</v>
      </c>
      <c r="O31" s="102"/>
      <c r="P31" s="122">
        <v>0.99609999999999999</v>
      </c>
      <c r="Q31" s="102">
        <v>26000</v>
      </c>
      <c r="R31" s="124">
        <v>9663</v>
      </c>
      <c r="S31" s="125">
        <v>19.899999999999999</v>
      </c>
      <c r="T31" s="124">
        <v>4033.7099594779652</v>
      </c>
      <c r="U31" s="100"/>
      <c r="V31" s="102">
        <v>0.12</v>
      </c>
      <c r="W31" s="102">
        <v>0.3</v>
      </c>
      <c r="X31" s="102">
        <v>45.847899777399654</v>
      </c>
      <c r="Y31" s="102">
        <v>46.377218137802039</v>
      </c>
      <c r="Z31" s="126">
        <v>816055.90486633347</v>
      </c>
      <c r="AA31" s="127">
        <v>44386</v>
      </c>
      <c r="AB31" s="100"/>
      <c r="AC31" s="100"/>
    </row>
    <row r="32" spans="1:29" x14ac:dyDescent="0.25">
      <c r="A32" s="136"/>
      <c r="B32" s="100" t="s">
        <v>33</v>
      </c>
      <c r="C32" s="100" t="s">
        <v>34</v>
      </c>
      <c r="D32" s="121"/>
      <c r="E32" s="100">
        <v>250</v>
      </c>
      <c r="F32" s="117"/>
      <c r="G32" s="118"/>
      <c r="H32" s="118">
        <v>0</v>
      </c>
      <c r="I32" s="100"/>
      <c r="J32" s="100"/>
      <c r="K32" s="120"/>
      <c r="L32" s="120">
        <v>44393</v>
      </c>
      <c r="M32" s="121" t="s">
        <v>46</v>
      </c>
      <c r="N32" s="121"/>
      <c r="O32" s="102"/>
      <c r="P32" s="122"/>
      <c r="Q32" s="102"/>
      <c r="R32" s="102"/>
      <c r="S32" s="124"/>
      <c r="T32" s="124"/>
      <c r="U32" s="102">
        <v>1250</v>
      </c>
      <c r="V32" s="102"/>
      <c r="W32" s="102">
        <v>0.3</v>
      </c>
      <c r="X32" s="102" t="e">
        <v>#DIV/0!</v>
      </c>
      <c r="Y32" s="102" t="e">
        <v>#DIV/0!</v>
      </c>
      <c r="Z32" s="103" t="e">
        <v>#DIV/0!</v>
      </c>
      <c r="AA32" s="127"/>
      <c r="AB32" s="100"/>
      <c r="AC32" s="100"/>
    </row>
    <row r="33" spans="1:29" x14ac:dyDescent="0.25">
      <c r="A33" s="136"/>
      <c r="B33" s="116"/>
      <c r="C33" s="100"/>
      <c r="D33" s="121"/>
      <c r="E33" s="100"/>
      <c r="F33" s="117"/>
      <c r="G33" s="118"/>
      <c r="H33" s="118">
        <v>0</v>
      </c>
      <c r="I33" s="121"/>
      <c r="J33" s="100"/>
      <c r="K33" s="120"/>
      <c r="L33" s="120">
        <v>44394</v>
      </c>
      <c r="M33" s="121" t="s">
        <v>52</v>
      </c>
      <c r="N33" s="100"/>
      <c r="O33" s="102"/>
      <c r="P33" s="122"/>
      <c r="Q33" s="102"/>
      <c r="R33" s="102"/>
      <c r="S33" s="124"/>
      <c r="T33" s="124"/>
      <c r="U33" s="102"/>
      <c r="V33" s="102"/>
      <c r="W33" s="102"/>
      <c r="X33" s="102"/>
      <c r="Y33" s="102" t="e">
        <v>#DIV/0!</v>
      </c>
      <c r="Z33" s="103" t="e">
        <v>#DIV/0!</v>
      </c>
      <c r="AA33" s="127"/>
      <c r="AB33" s="100"/>
      <c r="AC33" s="100"/>
    </row>
    <row r="34" spans="1:29" ht="15.75" thickBot="1" x14ac:dyDescent="0.3">
      <c r="A34" s="141"/>
      <c r="B34" s="130"/>
      <c r="C34" s="104"/>
      <c r="D34" s="104"/>
      <c r="E34" s="104"/>
      <c r="F34" s="131"/>
      <c r="G34" s="131"/>
      <c r="H34" s="131"/>
      <c r="I34" s="107"/>
      <c r="J34" s="104"/>
      <c r="K34" s="108"/>
      <c r="L34" s="108"/>
      <c r="M34" s="104"/>
      <c r="N34" s="104"/>
      <c r="O34" s="109"/>
      <c r="P34" s="110"/>
      <c r="Q34" s="109"/>
      <c r="R34" s="109"/>
      <c r="S34" s="109"/>
      <c r="T34" s="109"/>
      <c r="U34" s="109"/>
      <c r="V34" s="109"/>
      <c r="W34" s="109"/>
      <c r="X34" s="109"/>
      <c r="Y34" s="109"/>
      <c r="Z34" s="113"/>
      <c r="AA34" s="114"/>
      <c r="AB34" s="100"/>
      <c r="AC34" s="100"/>
    </row>
    <row r="35" spans="1:29" x14ac:dyDescent="0.25">
      <c r="A35" s="142"/>
      <c r="B35" s="116" t="s">
        <v>33</v>
      </c>
      <c r="C35" s="100" t="s">
        <v>34</v>
      </c>
      <c r="D35" s="121"/>
      <c r="E35" s="100">
        <v>250</v>
      </c>
      <c r="F35" s="117"/>
      <c r="G35" s="118"/>
      <c r="H35" s="118">
        <v>0</v>
      </c>
      <c r="I35" s="100"/>
      <c r="J35" s="100"/>
      <c r="K35" s="120"/>
      <c r="L35" s="120">
        <v>44395</v>
      </c>
      <c r="M35" s="121" t="s">
        <v>57</v>
      </c>
      <c r="N35" s="121"/>
      <c r="O35" s="102"/>
      <c r="P35" s="122"/>
      <c r="Q35" s="128">
        <v>26000</v>
      </c>
      <c r="R35" s="102">
        <v>25150</v>
      </c>
      <c r="S35" s="124">
        <v>-10000</v>
      </c>
      <c r="T35" s="124" t="e">
        <v>#DIV/0!</v>
      </c>
      <c r="U35" s="102">
        <v>1250</v>
      </c>
      <c r="V35" s="102">
        <v>3600</v>
      </c>
      <c r="W35" s="102">
        <v>0.3</v>
      </c>
      <c r="X35" s="102" t="e">
        <v>#DIV/0!</v>
      </c>
      <c r="Y35" s="102" t="e">
        <v>#DIV/0!</v>
      </c>
      <c r="Z35" s="103" t="e">
        <v>#DIV/0!</v>
      </c>
      <c r="AA35" s="127"/>
      <c r="AB35" s="100"/>
      <c r="AC35" s="100"/>
    </row>
    <row r="36" spans="1:29" x14ac:dyDescent="0.25">
      <c r="A36" s="142"/>
      <c r="B36" s="100"/>
      <c r="C36" s="100"/>
      <c r="D36" s="121"/>
      <c r="E36" s="100"/>
      <c r="F36" s="117"/>
      <c r="G36" s="118"/>
      <c r="H36" s="118">
        <v>0</v>
      </c>
      <c r="I36" s="134"/>
      <c r="J36" s="100"/>
      <c r="K36" s="120"/>
      <c r="L36" s="120">
        <v>44396</v>
      </c>
      <c r="M36" s="121" t="s">
        <v>62</v>
      </c>
      <c r="N36" s="121"/>
      <c r="O36" s="102"/>
      <c r="P36" s="133"/>
      <c r="Q36" s="102"/>
      <c r="R36" s="102"/>
      <c r="S36" s="124"/>
      <c r="T36" s="124"/>
      <c r="U36" s="102"/>
      <c r="V36" s="102"/>
      <c r="W36" s="102"/>
      <c r="X36" s="102" t="e">
        <v>#DIV/0!</v>
      </c>
      <c r="Y36" s="102" t="e">
        <v>#DIV/0!</v>
      </c>
      <c r="Z36" s="126" t="e">
        <v>#DIV/0!</v>
      </c>
      <c r="AA36" s="127"/>
      <c r="AB36" s="100"/>
      <c r="AC36" s="100"/>
    </row>
    <row r="37" spans="1:29" x14ac:dyDescent="0.25">
      <c r="A37" s="142"/>
      <c r="B37" s="116" t="s">
        <v>26</v>
      </c>
      <c r="C37" s="100" t="s">
        <v>42</v>
      </c>
      <c r="D37" s="121" t="s">
        <v>42</v>
      </c>
      <c r="E37" s="100" t="s">
        <v>43</v>
      </c>
      <c r="F37" s="117">
        <v>18500</v>
      </c>
      <c r="G37" s="137">
        <v>18500</v>
      </c>
      <c r="H37" s="118">
        <v>0</v>
      </c>
      <c r="I37" s="100" t="s">
        <v>102</v>
      </c>
      <c r="J37" s="138"/>
      <c r="K37" s="120">
        <v>44396</v>
      </c>
      <c r="L37" s="120">
        <v>44397</v>
      </c>
      <c r="M37" s="121" t="s">
        <v>71</v>
      </c>
      <c r="N37" s="121" t="s">
        <v>103</v>
      </c>
      <c r="O37" s="102"/>
      <c r="P37" s="122">
        <v>1.0687</v>
      </c>
      <c r="Q37" s="102">
        <v>26000</v>
      </c>
      <c r="R37" s="140">
        <v>12000</v>
      </c>
      <c r="S37" s="125">
        <v>20.07</v>
      </c>
      <c r="T37" s="124">
        <v>4575.0590997295003</v>
      </c>
      <c r="U37" s="100"/>
      <c r="V37" s="102">
        <v>0.12</v>
      </c>
      <c r="W37" s="102">
        <v>0.3</v>
      </c>
      <c r="X37" s="102">
        <v>49.460098375454052</v>
      </c>
      <c r="Y37" s="102">
        <v>50.007398867331318</v>
      </c>
      <c r="Z37" s="126">
        <v>925136.87904562941</v>
      </c>
      <c r="AA37" s="127">
        <v>44390</v>
      </c>
      <c r="AB37" s="119"/>
      <c r="AC37" s="100" t="s">
        <v>42</v>
      </c>
    </row>
    <row r="38" spans="1:29" x14ac:dyDescent="0.25">
      <c r="A38" s="142"/>
      <c r="B38" s="116" t="s">
        <v>26</v>
      </c>
      <c r="C38" s="100" t="s">
        <v>42</v>
      </c>
      <c r="D38" s="121" t="s">
        <v>42</v>
      </c>
      <c r="E38" s="100" t="s">
        <v>43</v>
      </c>
      <c r="F38" s="117">
        <v>18500</v>
      </c>
      <c r="G38" s="137">
        <v>18500</v>
      </c>
      <c r="H38" s="118">
        <v>0</v>
      </c>
      <c r="I38" s="100" t="s">
        <v>104</v>
      </c>
      <c r="J38" s="138"/>
      <c r="K38" s="120">
        <v>44396</v>
      </c>
      <c r="L38" s="120">
        <v>44397</v>
      </c>
      <c r="M38" s="121" t="s">
        <v>71</v>
      </c>
      <c r="N38" s="121" t="s">
        <v>103</v>
      </c>
      <c r="O38" s="102"/>
      <c r="P38" s="122"/>
      <c r="Q38" s="102">
        <v>26000</v>
      </c>
      <c r="R38" s="140">
        <v>12000</v>
      </c>
      <c r="S38" s="125">
        <v>20.07</v>
      </c>
      <c r="T38" s="124">
        <v>201.1</v>
      </c>
      <c r="U38" s="100"/>
      <c r="V38" s="102">
        <v>0.12</v>
      </c>
      <c r="W38" s="102">
        <v>0.3</v>
      </c>
      <c r="X38" s="102">
        <v>2.1740540540540541</v>
      </c>
      <c r="Y38" s="102">
        <v>2.4849243243243242</v>
      </c>
      <c r="Z38" s="126">
        <v>45971.1</v>
      </c>
      <c r="AA38" s="127">
        <v>44390</v>
      </c>
      <c r="AB38" s="119"/>
      <c r="AC38" s="100" t="s">
        <v>42</v>
      </c>
    </row>
    <row r="39" spans="1:29" x14ac:dyDescent="0.25">
      <c r="A39" s="142"/>
      <c r="B39" s="116" t="s">
        <v>33</v>
      </c>
      <c r="C39" s="100" t="s">
        <v>34</v>
      </c>
      <c r="D39" s="121"/>
      <c r="E39" s="100">
        <v>200</v>
      </c>
      <c r="F39" s="117"/>
      <c r="G39" s="118"/>
      <c r="H39" s="118">
        <v>0</v>
      </c>
      <c r="I39" s="100"/>
      <c r="J39" s="100"/>
      <c r="K39" s="120"/>
      <c r="L39" s="120">
        <v>44397</v>
      </c>
      <c r="M39" s="121" t="s">
        <v>71</v>
      </c>
      <c r="N39" s="121"/>
      <c r="O39" s="102"/>
      <c r="P39" s="122"/>
      <c r="Q39" s="128">
        <v>26000</v>
      </c>
      <c r="R39" s="102">
        <v>20120</v>
      </c>
      <c r="S39" s="124">
        <v>-8000</v>
      </c>
      <c r="T39" s="124" t="e">
        <v>#DIV/0!</v>
      </c>
      <c r="U39" s="102">
        <v>1000</v>
      </c>
      <c r="V39" s="102">
        <v>3600</v>
      </c>
      <c r="W39" s="102">
        <v>0.3</v>
      </c>
      <c r="X39" s="102" t="e">
        <v>#DIV/0!</v>
      </c>
      <c r="Y39" s="102" t="e">
        <v>#DIV/0!</v>
      </c>
      <c r="Z39" s="103" t="e">
        <v>#DIV/0!</v>
      </c>
      <c r="AA39" s="127"/>
      <c r="AB39" s="100"/>
      <c r="AC39" s="100" t="s">
        <v>27</v>
      </c>
    </row>
    <row r="40" spans="1:29" x14ac:dyDescent="0.25">
      <c r="A40" s="142"/>
      <c r="B40" s="116" t="s">
        <v>26</v>
      </c>
      <c r="C40" s="100" t="s">
        <v>27</v>
      </c>
      <c r="D40" s="100" t="s">
        <v>27</v>
      </c>
      <c r="E40" s="100" t="s">
        <v>28</v>
      </c>
      <c r="F40" s="117">
        <v>18500</v>
      </c>
      <c r="G40" s="137">
        <v>18500</v>
      </c>
      <c r="H40" s="118">
        <v>0</v>
      </c>
      <c r="I40" s="100" t="s">
        <v>105</v>
      </c>
      <c r="J40" s="138"/>
      <c r="K40" s="120">
        <v>44397</v>
      </c>
      <c r="L40" s="120">
        <v>44398</v>
      </c>
      <c r="M40" s="121" t="s">
        <v>73</v>
      </c>
      <c r="N40" s="121" t="s">
        <v>106</v>
      </c>
      <c r="O40" s="102"/>
      <c r="P40" s="122"/>
      <c r="Q40" s="102">
        <v>26000</v>
      </c>
      <c r="R40" s="140">
        <v>12000</v>
      </c>
      <c r="S40" s="139">
        <v>20.5</v>
      </c>
      <c r="T40" s="124">
        <v>201.1</v>
      </c>
      <c r="U40" s="100"/>
      <c r="V40" s="102">
        <v>0.12</v>
      </c>
      <c r="W40" s="102">
        <v>0.3</v>
      </c>
      <c r="X40" s="102">
        <v>2.1740540540540541</v>
      </c>
      <c r="Y40" s="102">
        <v>2.4849243243243242</v>
      </c>
      <c r="Z40" s="103">
        <v>45971.1</v>
      </c>
      <c r="AA40" s="127"/>
      <c r="AB40" s="100"/>
      <c r="AC40" s="100" t="s">
        <v>27</v>
      </c>
    </row>
    <row r="41" spans="1:29" x14ac:dyDescent="0.25">
      <c r="A41" s="142"/>
      <c r="B41" s="116"/>
      <c r="C41" s="100"/>
      <c r="D41" s="121"/>
      <c r="E41" s="100"/>
      <c r="F41" s="117"/>
      <c r="G41" s="118"/>
      <c r="H41" s="118">
        <v>0</v>
      </c>
      <c r="I41" s="100"/>
      <c r="J41" s="100"/>
      <c r="K41" s="120"/>
      <c r="L41" s="120">
        <v>44398</v>
      </c>
      <c r="M41" s="121" t="s">
        <v>73</v>
      </c>
      <c r="N41" s="121"/>
      <c r="O41" s="102"/>
      <c r="P41" s="122"/>
      <c r="Q41" s="102"/>
      <c r="R41" s="102"/>
      <c r="S41" s="125"/>
      <c r="T41" s="124"/>
      <c r="U41" s="102"/>
      <c r="V41" s="102"/>
      <c r="W41" s="102">
        <v>0.3</v>
      </c>
      <c r="X41" s="102" t="e">
        <v>#DIV/0!</v>
      </c>
      <c r="Y41" s="102" t="e">
        <v>#DIV/0!</v>
      </c>
      <c r="Z41" s="103" t="e">
        <v>#DIV/0!</v>
      </c>
      <c r="AA41" s="127"/>
      <c r="AB41" s="119"/>
      <c r="AC41" s="100" t="s">
        <v>42</v>
      </c>
    </row>
    <row r="42" spans="1:29" x14ac:dyDescent="0.25">
      <c r="A42" s="142"/>
      <c r="B42" s="116" t="s">
        <v>26</v>
      </c>
      <c r="C42" s="100" t="s">
        <v>27</v>
      </c>
      <c r="D42" s="100" t="s">
        <v>27</v>
      </c>
      <c r="E42" s="100" t="s">
        <v>28</v>
      </c>
      <c r="F42" s="117">
        <v>18500</v>
      </c>
      <c r="G42" s="137">
        <v>18500</v>
      </c>
      <c r="H42" s="118">
        <v>0</v>
      </c>
      <c r="I42" s="100" t="s">
        <v>107</v>
      </c>
      <c r="J42" s="138"/>
      <c r="K42" s="120">
        <v>44398</v>
      </c>
      <c r="L42" s="120">
        <v>44399</v>
      </c>
      <c r="M42" s="121" t="s">
        <v>31</v>
      </c>
      <c r="N42" s="121" t="s">
        <v>108</v>
      </c>
      <c r="O42" s="102"/>
      <c r="P42" s="122"/>
      <c r="Q42" s="102">
        <v>26000</v>
      </c>
      <c r="R42" s="140">
        <v>12000</v>
      </c>
      <c r="S42" s="139">
        <v>20.5</v>
      </c>
      <c r="T42" s="124">
        <v>201.1</v>
      </c>
      <c r="U42" s="100"/>
      <c r="V42" s="102">
        <v>0.12</v>
      </c>
      <c r="W42" s="102">
        <v>0.3</v>
      </c>
      <c r="X42" s="102">
        <v>2.1740540540540541</v>
      </c>
      <c r="Y42" s="102">
        <v>2.4849243243243242</v>
      </c>
      <c r="Z42" s="126">
        <v>45971.1</v>
      </c>
      <c r="AA42" s="127"/>
      <c r="AB42" s="119"/>
      <c r="AC42" s="100" t="s">
        <v>42</v>
      </c>
    </row>
    <row r="43" spans="1:29" x14ac:dyDescent="0.25">
      <c r="A43" s="142"/>
      <c r="B43" s="116" t="s">
        <v>33</v>
      </c>
      <c r="C43" s="100" t="s">
        <v>34</v>
      </c>
      <c r="D43" s="121"/>
      <c r="E43" s="100">
        <v>250</v>
      </c>
      <c r="F43" s="117"/>
      <c r="G43" s="118"/>
      <c r="H43" s="118">
        <v>0</v>
      </c>
      <c r="I43" s="100"/>
      <c r="J43" s="100"/>
      <c r="K43" s="120"/>
      <c r="L43" s="120">
        <v>44399</v>
      </c>
      <c r="M43" s="121" t="s">
        <v>31</v>
      </c>
      <c r="N43" s="121"/>
      <c r="O43" s="102"/>
      <c r="P43" s="122"/>
      <c r="Q43" s="128">
        <v>26000</v>
      </c>
      <c r="R43" s="102">
        <v>25150</v>
      </c>
      <c r="S43" s="124">
        <v>-10000</v>
      </c>
      <c r="T43" s="124" t="e">
        <v>#DIV/0!</v>
      </c>
      <c r="U43" s="102">
        <v>1250</v>
      </c>
      <c r="V43" s="102">
        <v>3600</v>
      </c>
      <c r="W43" s="102">
        <v>0.3</v>
      </c>
      <c r="X43" s="102" t="e">
        <v>#DIV/0!</v>
      </c>
      <c r="Y43" s="102" t="e">
        <v>#DIV/0!</v>
      </c>
      <c r="Z43" s="103" t="e">
        <v>#DIV/0!</v>
      </c>
      <c r="AA43" s="127"/>
      <c r="AB43" s="135"/>
      <c r="AC43" s="100" t="s">
        <v>86</v>
      </c>
    </row>
    <row r="44" spans="1:29" x14ac:dyDescent="0.25">
      <c r="A44" s="142"/>
      <c r="B44" s="116" t="s">
        <v>26</v>
      </c>
      <c r="C44" s="100" t="s">
        <v>42</v>
      </c>
      <c r="D44" s="121" t="s">
        <v>42</v>
      </c>
      <c r="E44" s="100" t="s">
        <v>43</v>
      </c>
      <c r="F44" s="117">
        <v>18500</v>
      </c>
      <c r="G44" s="137">
        <v>18500</v>
      </c>
      <c r="H44" s="118">
        <v>0</v>
      </c>
      <c r="I44" s="100" t="s">
        <v>109</v>
      </c>
      <c r="J44" s="138"/>
      <c r="K44" s="120">
        <v>44399</v>
      </c>
      <c r="L44" s="120">
        <v>44400</v>
      </c>
      <c r="M44" s="121" t="s">
        <v>46</v>
      </c>
      <c r="N44" s="121" t="s">
        <v>110</v>
      </c>
      <c r="O44" s="102"/>
      <c r="P44" s="122"/>
      <c r="Q44" s="102">
        <v>26000</v>
      </c>
      <c r="R44" s="140">
        <v>12000</v>
      </c>
      <c r="S44" s="139">
        <v>20.5</v>
      </c>
      <c r="T44" s="124">
        <v>201.1</v>
      </c>
      <c r="U44" s="100"/>
      <c r="V44" s="102">
        <v>0.12</v>
      </c>
      <c r="W44" s="102">
        <v>0.3</v>
      </c>
      <c r="X44" s="102">
        <v>2.1740540540540541</v>
      </c>
      <c r="Y44" s="102">
        <v>2.4849243243243242</v>
      </c>
      <c r="Z44" s="126">
        <v>45971.1</v>
      </c>
      <c r="AA44" s="127"/>
      <c r="AB44" s="100"/>
      <c r="AC44" s="100"/>
    </row>
    <row r="45" spans="1:29" x14ac:dyDescent="0.25">
      <c r="A45" s="142"/>
      <c r="B45" s="116" t="s">
        <v>26</v>
      </c>
      <c r="C45" s="100" t="s">
        <v>42</v>
      </c>
      <c r="D45" s="121" t="s">
        <v>42</v>
      </c>
      <c r="E45" s="100" t="s">
        <v>43</v>
      </c>
      <c r="F45" s="117">
        <v>18500</v>
      </c>
      <c r="G45" s="137">
        <v>18500</v>
      </c>
      <c r="H45" s="118">
        <v>0</v>
      </c>
      <c r="I45" s="100" t="s">
        <v>111</v>
      </c>
      <c r="J45" s="138"/>
      <c r="K45" s="120">
        <v>44399</v>
      </c>
      <c r="L45" s="120">
        <v>44400</v>
      </c>
      <c r="M45" s="121" t="s">
        <v>46</v>
      </c>
      <c r="N45" s="121" t="s">
        <v>110</v>
      </c>
      <c r="O45" s="102"/>
      <c r="P45" s="122"/>
      <c r="Q45" s="102">
        <v>26000</v>
      </c>
      <c r="R45" s="140">
        <v>12000</v>
      </c>
      <c r="S45" s="139">
        <v>20.5</v>
      </c>
      <c r="T45" s="124">
        <v>201.1</v>
      </c>
      <c r="U45" s="100"/>
      <c r="V45" s="102">
        <v>0.12</v>
      </c>
      <c r="W45" s="102">
        <v>0.3</v>
      </c>
      <c r="X45" s="102">
        <v>2.1740540540540541</v>
      </c>
      <c r="Y45" s="102">
        <v>2.4849243243243242</v>
      </c>
      <c r="Z45" s="126">
        <v>45971.1</v>
      </c>
      <c r="AA45" s="127"/>
      <c r="AB45" s="100"/>
      <c r="AC45" s="100"/>
    </row>
    <row r="46" spans="1:29" x14ac:dyDescent="0.25">
      <c r="A46" s="142"/>
      <c r="B46" s="100" t="s">
        <v>33</v>
      </c>
      <c r="C46" s="100" t="s">
        <v>34</v>
      </c>
      <c r="D46" s="121"/>
      <c r="E46" s="100">
        <v>250</v>
      </c>
      <c r="F46" s="117"/>
      <c r="G46" s="118"/>
      <c r="H46" s="118">
        <v>0</v>
      </c>
      <c r="I46" s="100"/>
      <c r="J46" s="100"/>
      <c r="K46" s="120"/>
      <c r="L46" s="120">
        <v>44400</v>
      </c>
      <c r="M46" s="121" t="s">
        <v>46</v>
      </c>
      <c r="N46" s="121"/>
      <c r="O46" s="102"/>
      <c r="P46" s="122"/>
      <c r="Q46" s="102"/>
      <c r="R46" s="102"/>
      <c r="S46" s="124"/>
      <c r="T46" s="124"/>
      <c r="U46" s="102">
        <v>1250</v>
      </c>
      <c r="V46" s="102"/>
      <c r="W46" s="102">
        <v>0.3</v>
      </c>
      <c r="X46" s="102" t="e">
        <v>#DIV/0!</v>
      </c>
      <c r="Y46" s="102" t="e">
        <v>#DIV/0!</v>
      </c>
      <c r="Z46" s="103" t="e">
        <v>#DIV/0!</v>
      </c>
      <c r="AA46" s="127"/>
      <c r="AB46" s="100"/>
      <c r="AC46" s="100"/>
    </row>
    <row r="47" spans="1:29" x14ac:dyDescent="0.25">
      <c r="A47" s="142"/>
      <c r="B47" s="116"/>
      <c r="C47" s="100"/>
      <c r="D47" s="121"/>
      <c r="E47" s="100"/>
      <c r="F47" s="117"/>
      <c r="G47" s="118"/>
      <c r="H47" s="118"/>
      <c r="I47" s="121"/>
      <c r="J47" s="100"/>
      <c r="K47" s="120"/>
      <c r="L47" s="120">
        <v>44401</v>
      </c>
      <c r="M47" s="121" t="s">
        <v>52</v>
      </c>
      <c r="N47" s="100"/>
      <c r="O47" s="102"/>
      <c r="P47" s="122"/>
      <c r="Q47" s="102"/>
      <c r="R47" s="102"/>
      <c r="S47" s="124"/>
      <c r="T47" s="124"/>
      <c r="U47" s="102"/>
      <c r="V47" s="102"/>
      <c r="W47" s="102"/>
      <c r="X47" s="102"/>
      <c r="Y47" s="102"/>
      <c r="Z47" s="126"/>
      <c r="AA47" s="127"/>
      <c r="AB47" s="100"/>
      <c r="AC47" s="100"/>
    </row>
    <row r="48" spans="1:29" ht="15.75" thickBot="1" x14ac:dyDescent="0.3">
      <c r="A48" s="143"/>
      <c r="B48" s="130"/>
      <c r="C48" s="104"/>
      <c r="D48" s="104"/>
      <c r="E48" s="104"/>
      <c r="F48" s="131"/>
      <c r="G48" s="131"/>
      <c r="H48" s="131"/>
      <c r="I48" s="107"/>
      <c r="J48" s="104"/>
      <c r="K48" s="108"/>
      <c r="L48" s="108"/>
      <c r="M48" s="104"/>
      <c r="N48" s="104"/>
      <c r="O48" s="109"/>
      <c r="P48" s="110"/>
      <c r="Q48" s="109"/>
      <c r="R48" s="109"/>
      <c r="S48" s="109"/>
      <c r="T48" s="109"/>
      <c r="U48" s="109"/>
      <c r="V48" s="109"/>
      <c r="W48" s="109"/>
      <c r="X48" s="109"/>
      <c r="Y48" s="109"/>
      <c r="Z48" s="113"/>
      <c r="AA48" s="114"/>
      <c r="AB48" s="100"/>
      <c r="AC48" s="100"/>
    </row>
    <row r="49" spans="1:29" x14ac:dyDescent="0.25">
      <c r="A49" s="142"/>
      <c r="B49" s="116" t="s">
        <v>33</v>
      </c>
      <c r="C49" s="100" t="s">
        <v>34</v>
      </c>
      <c r="D49" s="121"/>
      <c r="E49" s="100">
        <v>250</v>
      </c>
      <c r="F49" s="117"/>
      <c r="G49" s="118"/>
      <c r="H49" s="118">
        <v>0</v>
      </c>
      <c r="I49" s="100"/>
      <c r="J49" s="100"/>
      <c r="K49" s="120"/>
      <c r="L49" s="120">
        <v>44381</v>
      </c>
      <c r="M49" s="121" t="s">
        <v>57</v>
      </c>
      <c r="N49" s="121"/>
      <c r="O49" s="102"/>
      <c r="P49" s="122"/>
      <c r="Q49" s="128">
        <v>26000</v>
      </c>
      <c r="R49" s="102">
        <v>25150</v>
      </c>
      <c r="S49" s="124">
        <v>-10000</v>
      </c>
      <c r="T49" s="124" t="e">
        <v>#DIV/0!</v>
      </c>
      <c r="U49" s="102">
        <v>1250</v>
      </c>
      <c r="V49" s="102">
        <v>3600</v>
      </c>
      <c r="W49" s="102">
        <v>0.3</v>
      </c>
      <c r="X49" s="102" t="e">
        <v>#DIV/0!</v>
      </c>
      <c r="Y49" s="102" t="e">
        <v>#DIV/0!</v>
      </c>
      <c r="Z49" s="103" t="e">
        <v>#DIV/0!</v>
      </c>
      <c r="AA49" s="127"/>
      <c r="AB49" s="100"/>
      <c r="AC49" s="100"/>
    </row>
    <row r="50" spans="1:29" x14ac:dyDescent="0.25">
      <c r="A50" s="142"/>
      <c r="B50" s="100"/>
      <c r="C50" s="100"/>
      <c r="D50" s="121"/>
      <c r="E50" s="100"/>
      <c r="F50" s="117"/>
      <c r="G50" s="118"/>
      <c r="H50" s="118">
        <v>0</v>
      </c>
      <c r="I50" s="134"/>
      <c r="J50" s="100"/>
      <c r="K50" s="120"/>
      <c r="L50" s="120">
        <v>44382</v>
      </c>
      <c r="M50" s="121" t="s">
        <v>62</v>
      </c>
      <c r="N50" s="121"/>
      <c r="O50" s="102"/>
      <c r="P50" s="133"/>
      <c r="Q50" s="102"/>
      <c r="R50" s="102"/>
      <c r="S50" s="124"/>
      <c r="T50" s="124"/>
      <c r="U50" s="102"/>
      <c r="V50" s="102"/>
      <c r="W50" s="102"/>
      <c r="X50" s="102" t="e">
        <v>#DIV/0!</v>
      </c>
      <c r="Y50" s="102" t="e">
        <v>#DIV/0!</v>
      </c>
      <c r="Z50" s="126" t="e">
        <v>#DIV/0!</v>
      </c>
      <c r="AA50" s="127"/>
      <c r="AB50" s="100"/>
      <c r="AC50" s="100"/>
    </row>
    <row r="51" spans="1:29" x14ac:dyDescent="0.25">
      <c r="A51" s="142"/>
      <c r="B51" s="116" t="s">
        <v>26</v>
      </c>
      <c r="C51" s="100" t="s">
        <v>42</v>
      </c>
      <c r="D51" s="121" t="s">
        <v>42</v>
      </c>
      <c r="E51" s="100" t="s">
        <v>43</v>
      </c>
      <c r="F51" s="117">
        <v>18500</v>
      </c>
      <c r="G51" s="137">
        <v>18500</v>
      </c>
      <c r="H51" s="118">
        <v>0</v>
      </c>
      <c r="I51" s="100"/>
      <c r="J51" s="138"/>
      <c r="K51" s="120">
        <v>44375</v>
      </c>
      <c r="L51" s="120">
        <v>44376</v>
      </c>
      <c r="M51" s="121" t="s">
        <v>71</v>
      </c>
      <c r="N51" s="121" t="s">
        <v>112</v>
      </c>
      <c r="O51" s="102"/>
      <c r="P51" s="122"/>
      <c r="Q51" s="102">
        <v>26000</v>
      </c>
      <c r="R51" s="140">
        <v>12000</v>
      </c>
      <c r="S51" s="139">
        <v>20.5</v>
      </c>
      <c r="T51" s="124">
        <v>201.1</v>
      </c>
      <c r="U51" s="100"/>
      <c r="V51" s="102">
        <v>0.12</v>
      </c>
      <c r="W51" s="102">
        <v>0.3</v>
      </c>
      <c r="X51" s="102">
        <v>2.1740540540540541</v>
      </c>
      <c r="Y51" s="102">
        <v>2.4849243243243242</v>
      </c>
      <c r="Z51" s="126">
        <v>45971.1</v>
      </c>
      <c r="AA51" s="127"/>
      <c r="AB51" s="119"/>
      <c r="AC51" s="100" t="s">
        <v>42</v>
      </c>
    </row>
    <row r="52" spans="1:29" x14ac:dyDescent="0.25">
      <c r="A52" s="142"/>
      <c r="B52" s="116" t="s">
        <v>26</v>
      </c>
      <c r="C52" s="100" t="s">
        <v>42</v>
      </c>
      <c r="D52" s="121" t="s">
        <v>42</v>
      </c>
      <c r="E52" s="100" t="s">
        <v>43</v>
      </c>
      <c r="F52" s="117">
        <v>18500</v>
      </c>
      <c r="G52" s="137">
        <v>18500</v>
      </c>
      <c r="H52" s="118">
        <v>0</v>
      </c>
      <c r="I52" s="100"/>
      <c r="J52" s="138"/>
      <c r="K52" s="120">
        <v>44375</v>
      </c>
      <c r="L52" s="120">
        <v>44376</v>
      </c>
      <c r="M52" s="121" t="s">
        <v>71</v>
      </c>
      <c r="N52" s="121" t="s">
        <v>112</v>
      </c>
      <c r="O52" s="102"/>
      <c r="P52" s="122"/>
      <c r="Q52" s="102">
        <v>26000</v>
      </c>
      <c r="R52" s="140">
        <v>12000</v>
      </c>
      <c r="S52" s="139">
        <v>20.5</v>
      </c>
      <c r="T52" s="124">
        <v>201.1</v>
      </c>
      <c r="U52" s="100"/>
      <c r="V52" s="102">
        <v>0.12</v>
      </c>
      <c r="W52" s="102">
        <v>0.3</v>
      </c>
      <c r="X52" s="102">
        <v>2.1740540540540541</v>
      </c>
      <c r="Y52" s="102">
        <v>2.4849243243243242</v>
      </c>
      <c r="Z52" s="126">
        <v>45971.1</v>
      </c>
      <c r="AA52" s="127"/>
      <c r="AB52" s="119"/>
      <c r="AC52" s="100" t="s">
        <v>42</v>
      </c>
    </row>
    <row r="53" spans="1:29" x14ac:dyDescent="0.25">
      <c r="A53" s="142"/>
      <c r="B53" s="116" t="s">
        <v>33</v>
      </c>
      <c r="C53" s="100" t="s">
        <v>34</v>
      </c>
      <c r="D53" s="121"/>
      <c r="E53" s="100">
        <v>200</v>
      </c>
      <c r="F53" s="117"/>
      <c r="G53" s="118"/>
      <c r="H53" s="118">
        <v>0</v>
      </c>
      <c r="I53" s="100"/>
      <c r="J53" s="100"/>
      <c r="K53" s="120"/>
      <c r="L53" s="120">
        <v>44376</v>
      </c>
      <c r="M53" s="121" t="s">
        <v>71</v>
      </c>
      <c r="N53" s="121"/>
      <c r="O53" s="102"/>
      <c r="P53" s="122"/>
      <c r="Q53" s="128">
        <v>26000</v>
      </c>
      <c r="R53" s="102">
        <v>20120</v>
      </c>
      <c r="S53" s="124">
        <v>-8000</v>
      </c>
      <c r="T53" s="124" t="e">
        <v>#DIV/0!</v>
      </c>
      <c r="U53" s="102">
        <v>1000</v>
      </c>
      <c r="V53" s="102">
        <v>3600</v>
      </c>
      <c r="W53" s="102">
        <v>0.3</v>
      </c>
      <c r="X53" s="102" t="e">
        <v>#DIV/0!</v>
      </c>
      <c r="Y53" s="102" t="e">
        <v>#DIV/0!</v>
      </c>
      <c r="Z53" s="103" t="e">
        <v>#DIV/0!</v>
      </c>
      <c r="AA53" s="127"/>
      <c r="AB53" s="100"/>
      <c r="AC53" s="100" t="s">
        <v>27</v>
      </c>
    </row>
    <row r="54" spans="1:29" x14ac:dyDescent="0.25">
      <c r="A54" s="142"/>
      <c r="B54" s="116" t="s">
        <v>26</v>
      </c>
      <c r="C54" s="100" t="s">
        <v>27</v>
      </c>
      <c r="D54" s="100" t="s">
        <v>27</v>
      </c>
      <c r="E54" s="100" t="s">
        <v>28</v>
      </c>
      <c r="F54" s="117">
        <v>18500</v>
      </c>
      <c r="G54" s="137">
        <v>18500</v>
      </c>
      <c r="H54" s="118">
        <v>0</v>
      </c>
      <c r="I54" s="100"/>
      <c r="J54" s="138"/>
      <c r="K54" s="120">
        <v>44376</v>
      </c>
      <c r="L54" s="120">
        <v>44377</v>
      </c>
      <c r="M54" s="121" t="s">
        <v>73</v>
      </c>
      <c r="N54" s="121" t="s">
        <v>96</v>
      </c>
      <c r="O54" s="102"/>
      <c r="P54" s="122"/>
      <c r="Q54" s="102">
        <v>26000</v>
      </c>
      <c r="R54" s="140">
        <v>12000</v>
      </c>
      <c r="S54" s="139">
        <v>20.5</v>
      </c>
      <c r="T54" s="124">
        <v>201.1</v>
      </c>
      <c r="U54" s="100"/>
      <c r="V54" s="102">
        <v>0.12</v>
      </c>
      <c r="W54" s="102">
        <v>0.3</v>
      </c>
      <c r="X54" s="102">
        <v>2.1740540540540541</v>
      </c>
      <c r="Y54" s="102">
        <v>2.4849243243243242</v>
      </c>
      <c r="Z54" s="103">
        <v>45971.1</v>
      </c>
      <c r="AA54" s="127"/>
      <c r="AB54" s="100"/>
      <c r="AC54" s="100" t="s">
        <v>27</v>
      </c>
    </row>
    <row r="55" spans="1:29" x14ac:dyDescent="0.25">
      <c r="A55" s="142"/>
      <c r="B55" s="116"/>
      <c r="C55" s="100"/>
      <c r="D55" s="121"/>
      <c r="E55" s="100"/>
      <c r="F55" s="117"/>
      <c r="G55" s="118"/>
      <c r="H55" s="118">
        <v>0</v>
      </c>
      <c r="I55" s="100"/>
      <c r="J55" s="100"/>
      <c r="K55" s="120"/>
      <c r="L55" s="120">
        <v>44377</v>
      </c>
      <c r="M55" s="121" t="s">
        <v>73</v>
      </c>
      <c r="N55" s="121"/>
      <c r="O55" s="102"/>
      <c r="P55" s="122"/>
      <c r="Q55" s="102"/>
      <c r="R55" s="102"/>
      <c r="S55" s="125"/>
      <c r="T55" s="124"/>
      <c r="U55" s="102"/>
      <c r="V55" s="102"/>
      <c r="W55" s="102">
        <v>0.3</v>
      </c>
      <c r="X55" s="102" t="e">
        <v>#DIV/0!</v>
      </c>
      <c r="Y55" s="102" t="e">
        <v>#DIV/0!</v>
      </c>
      <c r="Z55" s="103" t="e">
        <v>#DIV/0!</v>
      </c>
      <c r="AA55" s="127"/>
      <c r="AB55" s="119"/>
      <c r="AC55" s="100" t="s">
        <v>42</v>
      </c>
    </row>
    <row r="56" spans="1:29" x14ac:dyDescent="0.25">
      <c r="A56" s="142"/>
      <c r="B56" s="116" t="s">
        <v>26</v>
      </c>
      <c r="C56" s="100" t="s">
        <v>27</v>
      </c>
      <c r="D56" s="100" t="s">
        <v>27</v>
      </c>
      <c r="E56" s="100" t="s">
        <v>28</v>
      </c>
      <c r="F56" s="117">
        <v>18500</v>
      </c>
      <c r="G56" s="137">
        <v>18500</v>
      </c>
      <c r="H56" s="118">
        <v>0</v>
      </c>
      <c r="I56" s="100"/>
      <c r="J56" s="138"/>
      <c r="K56" s="120">
        <v>44377</v>
      </c>
      <c r="L56" s="120">
        <v>44378</v>
      </c>
      <c r="M56" s="121" t="s">
        <v>31</v>
      </c>
      <c r="N56" s="121" t="s">
        <v>98</v>
      </c>
      <c r="O56" s="102"/>
      <c r="P56" s="122"/>
      <c r="Q56" s="102">
        <v>26000</v>
      </c>
      <c r="R56" s="140">
        <v>12000</v>
      </c>
      <c r="S56" s="139">
        <v>20.5</v>
      </c>
      <c r="T56" s="124">
        <v>201.1</v>
      </c>
      <c r="U56" s="100"/>
      <c r="V56" s="102">
        <v>0.12</v>
      </c>
      <c r="W56" s="102">
        <v>0.3</v>
      </c>
      <c r="X56" s="102">
        <v>2.1740540540540541</v>
      </c>
      <c r="Y56" s="102">
        <v>2.4849243243243242</v>
      </c>
      <c r="Z56" s="126">
        <v>45971.1</v>
      </c>
      <c r="AA56" s="127"/>
      <c r="AB56" s="119"/>
      <c r="AC56" s="100" t="s">
        <v>42</v>
      </c>
    </row>
    <row r="57" spans="1:29" x14ac:dyDescent="0.25">
      <c r="A57" s="142"/>
      <c r="B57" s="116" t="s">
        <v>33</v>
      </c>
      <c r="C57" s="100" t="s">
        <v>34</v>
      </c>
      <c r="D57" s="121"/>
      <c r="E57" s="100">
        <v>250</v>
      </c>
      <c r="F57" s="117"/>
      <c r="G57" s="118"/>
      <c r="H57" s="118">
        <v>0</v>
      </c>
      <c r="I57" s="100"/>
      <c r="J57" s="100"/>
      <c r="K57" s="120"/>
      <c r="L57" s="120">
        <v>44378</v>
      </c>
      <c r="M57" s="121" t="s">
        <v>31</v>
      </c>
      <c r="N57" s="121"/>
      <c r="O57" s="102"/>
      <c r="P57" s="122"/>
      <c r="Q57" s="128">
        <v>26000</v>
      </c>
      <c r="R57" s="102">
        <v>25150</v>
      </c>
      <c r="S57" s="124">
        <v>-10000</v>
      </c>
      <c r="T57" s="124" t="e">
        <v>#DIV/0!</v>
      </c>
      <c r="U57" s="102">
        <v>1250</v>
      </c>
      <c r="V57" s="102">
        <v>3600</v>
      </c>
      <c r="W57" s="102">
        <v>0.3</v>
      </c>
      <c r="X57" s="102" t="e">
        <v>#DIV/0!</v>
      </c>
      <c r="Y57" s="102" t="e">
        <v>#DIV/0!</v>
      </c>
      <c r="Z57" s="103" t="e">
        <v>#DIV/0!</v>
      </c>
      <c r="AA57" s="127"/>
      <c r="AB57" s="135"/>
      <c r="AC57" s="100" t="s">
        <v>86</v>
      </c>
    </row>
    <row r="58" spans="1:29" x14ac:dyDescent="0.25">
      <c r="A58" s="142"/>
      <c r="B58" s="116" t="s">
        <v>26</v>
      </c>
      <c r="C58" s="100" t="s">
        <v>42</v>
      </c>
      <c r="D58" s="121" t="s">
        <v>42</v>
      </c>
      <c r="E58" s="100" t="s">
        <v>43</v>
      </c>
      <c r="F58" s="117">
        <v>18500</v>
      </c>
      <c r="G58" s="137">
        <v>18500</v>
      </c>
      <c r="H58" s="118">
        <v>0</v>
      </c>
      <c r="I58" s="100"/>
      <c r="J58" s="138"/>
      <c r="K58" s="120">
        <v>44378</v>
      </c>
      <c r="L58" s="120">
        <v>44379</v>
      </c>
      <c r="M58" s="121" t="s">
        <v>46</v>
      </c>
      <c r="N58" s="121" t="s">
        <v>47</v>
      </c>
      <c r="O58" s="102"/>
      <c r="P58" s="122"/>
      <c r="Q58" s="102">
        <v>26000</v>
      </c>
      <c r="R58" s="140">
        <v>12000</v>
      </c>
      <c r="S58" s="139">
        <v>20.5</v>
      </c>
      <c r="T58" s="124">
        <v>201.1</v>
      </c>
      <c r="U58" s="100"/>
      <c r="V58" s="102">
        <v>0.12</v>
      </c>
      <c r="W58" s="102">
        <v>0.3</v>
      </c>
      <c r="X58" s="102">
        <v>2.1740540540540541</v>
      </c>
      <c r="Y58" s="102">
        <v>2.4849243243243242</v>
      </c>
      <c r="Z58" s="126">
        <v>45971.1</v>
      </c>
      <c r="AA58" s="127"/>
      <c r="AB58" s="100"/>
      <c r="AC58" s="100"/>
    </row>
    <row r="59" spans="1:29" x14ac:dyDescent="0.25">
      <c r="A59" s="142"/>
      <c r="B59" s="116" t="s">
        <v>26</v>
      </c>
      <c r="C59" s="100" t="s">
        <v>42</v>
      </c>
      <c r="D59" s="121" t="s">
        <v>42</v>
      </c>
      <c r="E59" s="100" t="s">
        <v>43</v>
      </c>
      <c r="F59" s="117">
        <v>18500</v>
      </c>
      <c r="G59" s="137">
        <v>18500</v>
      </c>
      <c r="H59" s="118">
        <v>0</v>
      </c>
      <c r="I59" s="100"/>
      <c r="J59" s="138"/>
      <c r="K59" s="120">
        <v>44378</v>
      </c>
      <c r="L59" s="120">
        <v>44379</v>
      </c>
      <c r="M59" s="121" t="s">
        <v>46</v>
      </c>
      <c r="N59" s="121" t="s">
        <v>47</v>
      </c>
      <c r="O59" s="102"/>
      <c r="P59" s="122"/>
      <c r="Q59" s="102">
        <v>26000</v>
      </c>
      <c r="R59" s="140">
        <v>12000</v>
      </c>
      <c r="S59" s="139">
        <v>20.5</v>
      </c>
      <c r="T59" s="124">
        <v>201.1</v>
      </c>
      <c r="U59" s="100"/>
      <c r="V59" s="102">
        <v>0.12</v>
      </c>
      <c r="W59" s="102">
        <v>0.3</v>
      </c>
      <c r="X59" s="102">
        <v>2.1740540540540541</v>
      </c>
      <c r="Y59" s="102">
        <v>2.4849243243243242</v>
      </c>
      <c r="Z59" s="126">
        <v>45971.1</v>
      </c>
      <c r="AA59" s="127"/>
      <c r="AB59" s="100"/>
      <c r="AC59" s="100"/>
    </row>
    <row r="60" spans="1:29" x14ac:dyDescent="0.25">
      <c r="A60" s="142"/>
      <c r="B60" s="100" t="s">
        <v>33</v>
      </c>
      <c r="C60" s="100" t="s">
        <v>34</v>
      </c>
      <c r="D60" s="121"/>
      <c r="E60" s="100">
        <v>250</v>
      </c>
      <c r="F60" s="117"/>
      <c r="G60" s="118"/>
      <c r="H60" s="118">
        <v>0</v>
      </c>
      <c r="I60" s="100"/>
      <c r="J60" s="100"/>
      <c r="K60" s="120"/>
      <c r="L60" s="120">
        <v>44379</v>
      </c>
      <c r="M60" s="121" t="s">
        <v>46</v>
      </c>
      <c r="N60" s="121"/>
      <c r="O60" s="102"/>
      <c r="P60" s="122"/>
      <c r="Q60" s="102"/>
      <c r="R60" s="102"/>
      <c r="S60" s="124"/>
      <c r="T60" s="124"/>
      <c r="U60" s="102">
        <v>1250</v>
      </c>
      <c r="V60" s="102"/>
      <c r="W60" s="102">
        <v>0.3</v>
      </c>
      <c r="X60" s="102" t="e">
        <v>#DIV/0!</v>
      </c>
      <c r="Y60" s="102" t="e">
        <v>#DIV/0!</v>
      </c>
      <c r="Z60" s="103" t="e">
        <v>#DIV/0!</v>
      </c>
      <c r="AA60" s="127"/>
      <c r="AB60" s="100"/>
      <c r="AC60" s="100"/>
    </row>
    <row r="61" spans="1:29" x14ac:dyDescent="0.25">
      <c r="A61" s="142"/>
      <c r="B61" s="116"/>
      <c r="C61" s="100"/>
      <c r="D61" s="121"/>
      <c r="E61" s="100"/>
      <c r="F61" s="117"/>
      <c r="G61" s="118"/>
      <c r="H61" s="118"/>
      <c r="I61" s="121"/>
      <c r="J61" s="100"/>
      <c r="K61" s="120"/>
      <c r="L61" s="120">
        <v>44380</v>
      </c>
      <c r="M61" s="121" t="s">
        <v>52</v>
      </c>
      <c r="N61" s="100"/>
      <c r="O61" s="102"/>
      <c r="P61" s="122"/>
      <c r="Q61" s="102"/>
      <c r="R61" s="102"/>
      <c r="S61" s="124"/>
      <c r="T61" s="124"/>
      <c r="U61" s="102"/>
      <c r="V61" s="102"/>
      <c r="W61" s="102"/>
      <c r="X61" s="102"/>
      <c r="Y61" s="102"/>
      <c r="Z61" s="126"/>
      <c r="AA61" s="127"/>
      <c r="AB61" s="100"/>
      <c r="AC61" s="100"/>
    </row>
    <row r="62" spans="1:29" ht="15.75" thickBot="1" x14ac:dyDescent="0.3">
      <c r="A62" s="143"/>
      <c r="B62" s="130"/>
      <c r="C62" s="104"/>
      <c r="D62" s="104"/>
      <c r="E62" s="104"/>
      <c r="F62" s="131"/>
      <c r="G62" s="131"/>
      <c r="H62" s="131"/>
      <c r="I62" s="107"/>
      <c r="J62" s="104"/>
      <c r="K62" s="108"/>
      <c r="L62" s="108"/>
      <c r="M62" s="104"/>
      <c r="N62" s="104"/>
      <c r="O62" s="109"/>
      <c r="P62" s="110"/>
      <c r="Q62" s="109"/>
      <c r="R62" s="109"/>
      <c r="S62" s="109"/>
      <c r="T62" s="109"/>
      <c r="U62" s="109"/>
      <c r="V62" s="109"/>
      <c r="W62" s="109"/>
      <c r="X62" s="109"/>
      <c r="Y62" s="109"/>
      <c r="Z62" s="113"/>
      <c r="AA62" s="114"/>
      <c r="AB62" s="100"/>
      <c r="AC62" s="100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A3EB-E2D9-4A9D-96DD-7520921AA653}">
  <sheetPr>
    <tabColor rgb="FF99CCFF"/>
  </sheetPr>
  <dimension ref="A2:H80"/>
  <sheetViews>
    <sheetView workbookViewId="0">
      <selection activeCell="A80" sqref="A80"/>
    </sheetView>
  </sheetViews>
  <sheetFormatPr baseColWidth="10" defaultRowHeight="15" x14ac:dyDescent="0.25"/>
  <cols>
    <col min="1" max="1" width="27.42578125" style="3" customWidth="1"/>
    <col min="2" max="2" width="4.28515625" style="84" customWidth="1"/>
    <col min="3" max="3" width="26.42578125" style="3" customWidth="1"/>
    <col min="4" max="4" width="5.28515625" style="84" customWidth="1"/>
    <col min="5" max="5" width="21" style="3" customWidth="1"/>
    <col min="6" max="6" width="5.28515625" style="84" customWidth="1"/>
    <col min="7" max="7" width="17" style="3" customWidth="1"/>
    <col min="8" max="8" width="6.28515625" style="87" customWidth="1"/>
  </cols>
  <sheetData>
    <row r="2" spans="1:8" ht="21" x14ac:dyDescent="0.35">
      <c r="A2" s="48" t="s">
        <v>114</v>
      </c>
      <c r="C2" s="49" t="s">
        <v>115</v>
      </c>
      <c r="E2" s="99" t="s">
        <v>116</v>
      </c>
      <c r="F2" s="99"/>
      <c r="G2" s="99"/>
    </row>
    <row r="4" spans="1:8" x14ac:dyDescent="0.25">
      <c r="A4" s="51">
        <v>4060</v>
      </c>
      <c r="B4" s="79">
        <v>1</v>
      </c>
      <c r="C4" s="51">
        <v>2320</v>
      </c>
      <c r="D4" s="79">
        <v>1</v>
      </c>
      <c r="E4" s="51">
        <v>7000</v>
      </c>
      <c r="F4" s="79">
        <v>5</v>
      </c>
      <c r="G4" s="51">
        <v>46500</v>
      </c>
      <c r="H4" s="87">
        <v>2</v>
      </c>
    </row>
    <row r="5" spans="1:8" x14ac:dyDescent="0.25">
      <c r="A5" s="51">
        <v>208820</v>
      </c>
      <c r="B5" s="79">
        <v>1</v>
      </c>
      <c r="C5" s="51">
        <v>3323</v>
      </c>
      <c r="D5" s="79">
        <v>1</v>
      </c>
      <c r="E5" s="51">
        <v>3400</v>
      </c>
      <c r="F5" s="79">
        <v>5</v>
      </c>
      <c r="G5" s="51">
        <v>4481</v>
      </c>
      <c r="H5" s="87">
        <v>2</v>
      </c>
    </row>
    <row r="6" spans="1:8" ht="15.75" x14ac:dyDescent="0.25">
      <c r="A6" s="51">
        <v>283500</v>
      </c>
      <c r="B6" s="79">
        <v>1</v>
      </c>
      <c r="C6" s="56">
        <v>13650</v>
      </c>
      <c r="D6" s="79">
        <v>1</v>
      </c>
      <c r="E6" s="51">
        <v>8700</v>
      </c>
      <c r="F6" s="79">
        <v>5</v>
      </c>
      <c r="G6" s="51">
        <v>450000</v>
      </c>
      <c r="H6" s="87">
        <v>2</v>
      </c>
    </row>
    <row r="7" spans="1:8" x14ac:dyDescent="0.25">
      <c r="A7" s="51">
        <v>20000</v>
      </c>
      <c r="B7" s="79">
        <v>1</v>
      </c>
      <c r="C7" s="51">
        <v>8669.1</v>
      </c>
      <c r="D7" s="79">
        <v>1</v>
      </c>
      <c r="E7" s="51">
        <v>56000</v>
      </c>
      <c r="F7" s="79">
        <v>5</v>
      </c>
      <c r="G7" s="51">
        <v>443780.28</v>
      </c>
      <c r="H7" s="87">
        <v>2</v>
      </c>
    </row>
    <row r="8" spans="1:8" ht="15.75" x14ac:dyDescent="0.25">
      <c r="A8" s="80">
        <v>291200</v>
      </c>
      <c r="B8" s="79">
        <v>1</v>
      </c>
      <c r="C8" s="51">
        <v>10488.1</v>
      </c>
      <c r="D8" s="79">
        <v>1</v>
      </c>
      <c r="E8" s="51">
        <v>6224</v>
      </c>
      <c r="F8" s="79">
        <v>5</v>
      </c>
      <c r="G8" s="51">
        <v>32070</v>
      </c>
      <c r="H8" s="87">
        <v>2</v>
      </c>
    </row>
    <row r="9" spans="1:8" x14ac:dyDescent="0.25">
      <c r="A9" s="51">
        <v>5600</v>
      </c>
      <c r="B9" s="79">
        <v>2</v>
      </c>
      <c r="C9" s="81">
        <f>-49.42-7.91-53.17-8.51</f>
        <v>-119.01</v>
      </c>
      <c r="D9" s="79">
        <v>1</v>
      </c>
      <c r="E9" s="51">
        <v>8000</v>
      </c>
      <c r="F9" s="79">
        <v>5</v>
      </c>
      <c r="G9" s="51">
        <v>829</v>
      </c>
      <c r="H9" s="87">
        <v>12</v>
      </c>
    </row>
    <row r="10" spans="1:8" x14ac:dyDescent="0.25">
      <c r="A10" s="51">
        <v>294000</v>
      </c>
      <c r="B10" s="79">
        <v>2</v>
      </c>
      <c r="C10" s="51">
        <v>14179.7</v>
      </c>
      <c r="D10" s="79">
        <v>2</v>
      </c>
      <c r="E10" s="51">
        <v>8000</v>
      </c>
      <c r="F10" s="79">
        <v>5</v>
      </c>
      <c r="G10" s="51">
        <v>38885</v>
      </c>
      <c r="H10" s="87">
        <v>12</v>
      </c>
    </row>
    <row r="11" spans="1:8" x14ac:dyDescent="0.25">
      <c r="A11" s="51">
        <v>8000</v>
      </c>
      <c r="B11" s="79">
        <v>2</v>
      </c>
      <c r="C11" s="51">
        <v>24679.9</v>
      </c>
      <c r="D11" s="79">
        <v>2</v>
      </c>
      <c r="E11" s="51">
        <v>142500</v>
      </c>
      <c r="F11" s="79">
        <v>5</v>
      </c>
      <c r="G11" s="51">
        <v>27290</v>
      </c>
      <c r="H11" s="87">
        <v>12</v>
      </c>
    </row>
    <row r="12" spans="1:8" x14ac:dyDescent="0.25">
      <c r="A12" s="51">
        <v>163500</v>
      </c>
      <c r="B12" s="79">
        <v>2</v>
      </c>
      <c r="C12" s="81">
        <v>-580</v>
      </c>
      <c r="D12" s="79">
        <v>2</v>
      </c>
      <c r="E12" s="51">
        <v>8559</v>
      </c>
      <c r="F12" s="79">
        <v>5</v>
      </c>
      <c r="G12" s="51">
        <v>77417</v>
      </c>
      <c r="H12" s="87">
        <v>12</v>
      </c>
    </row>
    <row r="13" spans="1:8" ht="15.75" x14ac:dyDescent="0.25">
      <c r="A13" s="51">
        <v>272200</v>
      </c>
      <c r="B13" s="79">
        <v>3</v>
      </c>
      <c r="C13" s="80">
        <v>3393</v>
      </c>
      <c r="D13" s="79">
        <v>3</v>
      </c>
      <c r="E13" s="51">
        <v>2595</v>
      </c>
      <c r="F13" s="79">
        <v>5</v>
      </c>
      <c r="G13" s="51">
        <v>16600</v>
      </c>
      <c r="H13" s="87">
        <v>12</v>
      </c>
    </row>
    <row r="14" spans="1:8" x14ac:dyDescent="0.25">
      <c r="A14" s="83">
        <v>12983</v>
      </c>
      <c r="B14" s="79">
        <v>3</v>
      </c>
      <c r="C14" s="51">
        <v>110189</v>
      </c>
      <c r="D14" s="79">
        <v>6</v>
      </c>
      <c r="E14" s="51">
        <v>10524.2</v>
      </c>
      <c r="F14" s="79">
        <v>5</v>
      </c>
      <c r="G14" s="51">
        <v>19358</v>
      </c>
      <c r="H14" s="87">
        <v>12</v>
      </c>
    </row>
    <row r="15" spans="1:8" x14ac:dyDescent="0.25">
      <c r="A15" s="51">
        <v>74400</v>
      </c>
      <c r="B15" s="79">
        <v>3</v>
      </c>
      <c r="C15" s="51">
        <v>23714.400000000001</v>
      </c>
      <c r="D15" s="79">
        <v>6</v>
      </c>
      <c r="E15" s="51">
        <v>200</v>
      </c>
      <c r="F15" s="79">
        <v>5</v>
      </c>
      <c r="G15" s="51">
        <v>15620</v>
      </c>
      <c r="H15" s="87">
        <v>12</v>
      </c>
    </row>
    <row r="16" spans="1:8" x14ac:dyDescent="0.25">
      <c r="A16" s="51">
        <v>150800</v>
      </c>
      <c r="B16" s="79">
        <v>3</v>
      </c>
      <c r="C16" s="51">
        <v>17801.400000000001</v>
      </c>
      <c r="D16" s="79">
        <v>6</v>
      </c>
      <c r="E16" s="51">
        <v>7860</v>
      </c>
      <c r="F16" s="79">
        <v>6</v>
      </c>
      <c r="G16" s="51">
        <v>22240</v>
      </c>
      <c r="H16" s="87">
        <v>12</v>
      </c>
    </row>
    <row r="17" spans="1:8" x14ac:dyDescent="0.25">
      <c r="A17" s="51">
        <v>16000</v>
      </c>
      <c r="B17" s="79">
        <v>3</v>
      </c>
      <c r="C17" s="51">
        <v>44180.6</v>
      </c>
      <c r="D17" s="79">
        <v>7</v>
      </c>
      <c r="E17" s="51">
        <v>79872.5</v>
      </c>
      <c r="F17" s="79">
        <v>6</v>
      </c>
      <c r="G17" s="51">
        <v>26586</v>
      </c>
      <c r="H17" s="87">
        <v>12</v>
      </c>
    </row>
    <row r="18" spans="1:8" x14ac:dyDescent="0.25">
      <c r="A18" s="51">
        <v>4000</v>
      </c>
      <c r="B18" s="79">
        <v>5</v>
      </c>
      <c r="C18" s="51">
        <v>15777.4</v>
      </c>
      <c r="D18" s="79">
        <v>7</v>
      </c>
      <c r="E18" s="51">
        <v>4970</v>
      </c>
      <c r="F18" s="79">
        <v>6</v>
      </c>
      <c r="G18" s="51">
        <v>31950</v>
      </c>
      <c r="H18" s="87">
        <v>12</v>
      </c>
    </row>
    <row r="19" spans="1:8" x14ac:dyDescent="0.25">
      <c r="A19" s="51">
        <v>314570</v>
      </c>
      <c r="B19" s="79">
        <v>5</v>
      </c>
      <c r="C19" s="51">
        <v>16670.8</v>
      </c>
      <c r="D19" s="79">
        <v>8</v>
      </c>
      <c r="E19" s="51">
        <v>116072</v>
      </c>
      <c r="F19" s="79">
        <v>6</v>
      </c>
      <c r="G19" s="51">
        <v>20230</v>
      </c>
      <c r="H19" s="87">
        <v>12</v>
      </c>
    </row>
    <row r="20" spans="1:8" x14ac:dyDescent="0.25">
      <c r="A20" s="51">
        <v>20860</v>
      </c>
      <c r="B20" s="79">
        <v>5</v>
      </c>
      <c r="C20" s="51">
        <v>30586</v>
      </c>
      <c r="D20" s="79">
        <v>8</v>
      </c>
      <c r="E20" s="51">
        <v>29980</v>
      </c>
      <c r="F20" s="79">
        <v>6</v>
      </c>
      <c r="G20" s="51">
        <v>68550</v>
      </c>
      <c r="H20" s="87">
        <v>12</v>
      </c>
    </row>
    <row r="21" spans="1:8" x14ac:dyDescent="0.25">
      <c r="A21" s="51">
        <v>271000</v>
      </c>
      <c r="B21" s="79">
        <v>5</v>
      </c>
      <c r="C21" s="51">
        <v>18327.099999999999</v>
      </c>
      <c r="D21" s="79">
        <v>8</v>
      </c>
      <c r="E21" s="51">
        <v>36198</v>
      </c>
      <c r="F21" s="79">
        <v>6</v>
      </c>
      <c r="G21" s="51">
        <v>38669</v>
      </c>
      <c r="H21" s="87">
        <v>12</v>
      </c>
    </row>
    <row r="22" spans="1:8" x14ac:dyDescent="0.25">
      <c r="A22" s="51">
        <v>50006</v>
      </c>
      <c r="B22" s="79">
        <v>5</v>
      </c>
      <c r="C22" s="51">
        <v>44522.8</v>
      </c>
      <c r="D22" s="79">
        <v>12</v>
      </c>
      <c r="E22" s="51">
        <v>3900</v>
      </c>
      <c r="F22" s="79">
        <v>6</v>
      </c>
      <c r="G22" s="51">
        <v>24220</v>
      </c>
      <c r="H22" s="87">
        <v>12</v>
      </c>
    </row>
    <row r="23" spans="1:8" x14ac:dyDescent="0.25">
      <c r="A23" s="51">
        <v>326000</v>
      </c>
      <c r="B23" s="79">
        <v>5</v>
      </c>
      <c r="C23" s="51">
        <v>40496.800000000003</v>
      </c>
      <c r="D23" s="79">
        <v>12</v>
      </c>
      <c r="E23" s="51">
        <v>6785</v>
      </c>
      <c r="F23" s="79">
        <v>6</v>
      </c>
      <c r="G23" s="51">
        <v>71142.5</v>
      </c>
      <c r="H23" s="87">
        <v>12</v>
      </c>
    </row>
    <row r="24" spans="1:8" x14ac:dyDescent="0.25">
      <c r="A24" s="51">
        <v>2560</v>
      </c>
      <c r="B24" s="79">
        <v>5</v>
      </c>
      <c r="C24" s="51">
        <v>36072.400000000001</v>
      </c>
      <c r="D24" s="79">
        <v>12</v>
      </c>
      <c r="E24" s="51">
        <v>8000</v>
      </c>
      <c r="F24" s="79">
        <v>6</v>
      </c>
      <c r="G24" s="51">
        <v>22100</v>
      </c>
      <c r="H24" s="87">
        <v>12</v>
      </c>
    </row>
    <row r="25" spans="1:8" x14ac:dyDescent="0.25">
      <c r="A25" s="51">
        <v>13815.3</v>
      </c>
      <c r="B25" s="79">
        <v>5</v>
      </c>
      <c r="C25" s="51">
        <v>37578.400000000001</v>
      </c>
      <c r="D25" s="79">
        <v>12</v>
      </c>
      <c r="E25" s="51">
        <v>11920</v>
      </c>
      <c r="F25" s="79">
        <v>6</v>
      </c>
      <c r="G25" s="51">
        <v>24350</v>
      </c>
      <c r="H25" s="87">
        <v>12</v>
      </c>
    </row>
    <row r="26" spans="1:8" x14ac:dyDescent="0.25">
      <c r="A26" s="51">
        <v>218.5</v>
      </c>
      <c r="B26" s="79">
        <v>5</v>
      </c>
      <c r="C26" s="51">
        <v>16363</v>
      </c>
      <c r="D26" s="79">
        <v>13</v>
      </c>
      <c r="E26" s="51">
        <v>41</v>
      </c>
      <c r="F26" s="79">
        <v>6</v>
      </c>
      <c r="G26" s="51">
        <v>28060</v>
      </c>
      <c r="H26" s="87">
        <v>12</v>
      </c>
    </row>
    <row r="27" spans="1:8" x14ac:dyDescent="0.25">
      <c r="A27" s="51">
        <v>49870.8</v>
      </c>
      <c r="B27" s="79">
        <v>5</v>
      </c>
      <c r="C27" s="51">
        <v>11426.8</v>
      </c>
      <c r="D27" s="79">
        <v>13</v>
      </c>
      <c r="E27" s="51">
        <v>28041.72</v>
      </c>
      <c r="F27" s="79">
        <v>6</v>
      </c>
      <c r="G27" s="51">
        <v>4524</v>
      </c>
      <c r="H27" s="87">
        <v>12</v>
      </c>
    </row>
    <row r="28" spans="1:8" x14ac:dyDescent="0.25">
      <c r="A28" s="51">
        <v>5500</v>
      </c>
      <c r="B28" s="79">
        <v>5</v>
      </c>
      <c r="C28" s="51">
        <v>28928.7</v>
      </c>
      <c r="D28" s="79">
        <v>14</v>
      </c>
      <c r="E28" s="51">
        <v>120040</v>
      </c>
      <c r="F28" s="79">
        <v>6</v>
      </c>
      <c r="G28" s="51">
        <v>29170</v>
      </c>
      <c r="H28" s="87">
        <v>12</v>
      </c>
    </row>
    <row r="29" spans="1:8" ht="15.75" x14ac:dyDescent="0.25">
      <c r="A29" s="85">
        <v>-316.29000000000002</v>
      </c>
      <c r="B29" s="79">
        <v>5</v>
      </c>
      <c r="C29" s="51">
        <v>49548.6</v>
      </c>
      <c r="D29" s="79">
        <v>14</v>
      </c>
      <c r="E29" s="51">
        <v>250000</v>
      </c>
      <c r="F29" s="79">
        <v>6</v>
      </c>
      <c r="G29" s="51">
        <v>11309</v>
      </c>
      <c r="H29" s="87">
        <v>12</v>
      </c>
    </row>
    <row r="30" spans="1:8" x14ac:dyDescent="0.25">
      <c r="A30" s="51">
        <v>7670</v>
      </c>
      <c r="B30" s="79">
        <v>6</v>
      </c>
      <c r="C30" s="51">
        <v>101966.8</v>
      </c>
      <c r="D30" s="79">
        <v>14</v>
      </c>
      <c r="E30" s="51">
        <v>36920</v>
      </c>
      <c r="F30" s="79">
        <v>7</v>
      </c>
      <c r="G30" s="51">
        <v>38592</v>
      </c>
      <c r="H30" s="87">
        <v>12</v>
      </c>
    </row>
    <row r="31" spans="1:8" ht="15.75" x14ac:dyDescent="0.25">
      <c r="A31" s="51">
        <v>8000</v>
      </c>
      <c r="B31" s="79">
        <v>6</v>
      </c>
      <c r="C31" s="82">
        <f>SUM(C4:C30)</f>
        <v>724154.79</v>
      </c>
      <c r="D31" s="79"/>
      <c r="E31" s="51">
        <v>13100</v>
      </c>
      <c r="F31" s="79">
        <v>7</v>
      </c>
      <c r="G31" s="3">
        <v>35095</v>
      </c>
      <c r="H31" s="87">
        <v>13</v>
      </c>
    </row>
    <row r="32" spans="1:8" x14ac:dyDescent="0.25">
      <c r="A32" s="51">
        <v>230000</v>
      </c>
      <c r="B32" s="79">
        <v>6</v>
      </c>
      <c r="C32" s="51"/>
      <c r="D32" s="79"/>
      <c r="E32" s="51">
        <v>9150</v>
      </c>
      <c r="F32" s="79">
        <v>7</v>
      </c>
      <c r="G32" s="3">
        <v>38700</v>
      </c>
      <c r="H32" s="87">
        <v>13</v>
      </c>
    </row>
    <row r="33" spans="1:8" x14ac:dyDescent="0.25">
      <c r="A33" s="51">
        <v>139600</v>
      </c>
      <c r="B33" s="79">
        <v>6</v>
      </c>
      <c r="C33" s="51"/>
      <c r="D33" s="79"/>
      <c r="E33" s="51">
        <v>16274.5</v>
      </c>
      <c r="F33" s="79">
        <v>7</v>
      </c>
      <c r="G33" s="3">
        <v>16100</v>
      </c>
      <c r="H33" s="87">
        <v>13</v>
      </c>
    </row>
    <row r="34" spans="1:8" x14ac:dyDescent="0.25">
      <c r="A34" s="51">
        <v>102000</v>
      </c>
      <c r="B34" s="79">
        <v>7</v>
      </c>
      <c r="C34" s="51"/>
      <c r="D34" s="79"/>
      <c r="E34" s="51">
        <v>26100</v>
      </c>
      <c r="F34" s="79">
        <v>7</v>
      </c>
      <c r="G34" s="3">
        <v>136705</v>
      </c>
      <c r="H34" s="87">
        <v>13</v>
      </c>
    </row>
    <row r="35" spans="1:8" x14ac:dyDescent="0.25">
      <c r="A35" s="51">
        <v>46300</v>
      </c>
      <c r="B35" s="79">
        <v>7</v>
      </c>
      <c r="C35" s="51"/>
      <c r="D35" s="79"/>
      <c r="E35" s="51">
        <v>18520</v>
      </c>
      <c r="F35" s="79">
        <v>7</v>
      </c>
      <c r="G35" s="3">
        <v>9450</v>
      </c>
      <c r="H35" s="87">
        <v>13</v>
      </c>
    </row>
    <row r="36" spans="1:8" x14ac:dyDescent="0.25">
      <c r="A36" s="51">
        <v>400</v>
      </c>
      <c r="B36" s="79">
        <v>7</v>
      </c>
      <c r="C36" s="51"/>
      <c r="D36" s="79"/>
      <c r="E36" s="51">
        <v>43745</v>
      </c>
      <c r="F36" s="79">
        <v>7</v>
      </c>
      <c r="G36" s="3">
        <v>11516</v>
      </c>
      <c r="H36" s="87">
        <v>13</v>
      </c>
    </row>
    <row r="37" spans="1:8" x14ac:dyDescent="0.25">
      <c r="A37" s="51">
        <v>4200</v>
      </c>
      <c r="B37" s="79">
        <v>7</v>
      </c>
      <c r="C37" s="51"/>
      <c r="D37" s="79"/>
      <c r="E37" s="51">
        <v>1714</v>
      </c>
      <c r="F37" s="79">
        <v>7</v>
      </c>
      <c r="G37" s="3">
        <v>36350</v>
      </c>
      <c r="H37" s="87">
        <v>13</v>
      </c>
    </row>
    <row r="38" spans="1:8" x14ac:dyDescent="0.25">
      <c r="A38" s="51">
        <v>209500</v>
      </c>
      <c r="B38" s="79">
        <v>7</v>
      </c>
      <c r="C38" s="51"/>
      <c r="D38" s="79"/>
      <c r="E38" s="51">
        <v>12650</v>
      </c>
      <c r="F38" s="79">
        <v>7</v>
      </c>
      <c r="G38" s="3">
        <v>23650</v>
      </c>
      <c r="H38" s="87">
        <v>13</v>
      </c>
    </row>
    <row r="39" spans="1:8" x14ac:dyDescent="0.25">
      <c r="A39" s="51">
        <v>235000</v>
      </c>
      <c r="B39" s="79">
        <v>8</v>
      </c>
      <c r="C39" s="51"/>
      <c r="D39" s="79"/>
      <c r="E39" s="51">
        <v>5900</v>
      </c>
      <c r="F39" s="79">
        <v>7</v>
      </c>
      <c r="G39" s="3">
        <v>4000</v>
      </c>
      <c r="H39" s="87">
        <v>13</v>
      </c>
    </row>
    <row r="40" spans="1:8" x14ac:dyDescent="0.25">
      <c r="A40" s="51">
        <v>63722.76</v>
      </c>
      <c r="B40" s="79">
        <v>8</v>
      </c>
      <c r="C40" s="51"/>
      <c r="D40" s="79"/>
      <c r="E40" s="51">
        <v>45827</v>
      </c>
      <c r="F40" s="79">
        <v>7</v>
      </c>
      <c r="G40" s="3">
        <v>45970</v>
      </c>
      <c r="H40" s="87">
        <v>13</v>
      </c>
    </row>
    <row r="41" spans="1:8" x14ac:dyDescent="0.25">
      <c r="A41" s="51">
        <v>11679.6</v>
      </c>
      <c r="B41" s="79">
        <v>8</v>
      </c>
      <c r="C41" s="51"/>
      <c r="D41" s="79"/>
      <c r="E41" s="51">
        <v>2422</v>
      </c>
      <c r="F41" s="79">
        <v>7</v>
      </c>
      <c r="G41" s="3">
        <v>17748.900000000001</v>
      </c>
      <c r="H41" s="87">
        <v>13</v>
      </c>
    </row>
    <row r="42" spans="1:8" x14ac:dyDescent="0.25">
      <c r="A42" s="51">
        <v>86700</v>
      </c>
      <c r="B42" s="79">
        <v>9</v>
      </c>
      <c r="C42" s="51"/>
      <c r="D42" s="79"/>
      <c r="E42" s="51">
        <v>3733</v>
      </c>
      <c r="F42" s="79">
        <v>7</v>
      </c>
      <c r="G42" s="3">
        <v>79219.3</v>
      </c>
      <c r="H42" s="87">
        <v>13</v>
      </c>
    </row>
    <row r="43" spans="1:8" x14ac:dyDescent="0.25">
      <c r="A43" s="51">
        <v>257400</v>
      </c>
      <c r="B43" s="79">
        <v>9</v>
      </c>
      <c r="C43" s="51"/>
      <c r="D43" s="79"/>
      <c r="E43" s="51">
        <v>9710</v>
      </c>
      <c r="F43" s="79">
        <v>8</v>
      </c>
      <c r="G43" s="3">
        <v>1656</v>
      </c>
      <c r="H43" s="87">
        <v>13</v>
      </c>
    </row>
    <row r="44" spans="1:8" x14ac:dyDescent="0.25">
      <c r="A44" s="51">
        <v>243400</v>
      </c>
      <c r="B44" s="79">
        <v>9</v>
      </c>
      <c r="D44" s="79"/>
      <c r="E44" s="51">
        <v>41215</v>
      </c>
      <c r="F44" s="79">
        <v>8</v>
      </c>
      <c r="G44" s="3">
        <v>3896</v>
      </c>
      <c r="H44" s="87">
        <v>13</v>
      </c>
    </row>
    <row r="45" spans="1:8" x14ac:dyDescent="0.25">
      <c r="A45" s="51">
        <v>5490</v>
      </c>
      <c r="B45" s="79">
        <v>9</v>
      </c>
      <c r="D45" s="79"/>
      <c r="E45" s="51">
        <v>16636</v>
      </c>
      <c r="F45" s="79">
        <v>8</v>
      </c>
      <c r="G45" s="3">
        <v>600</v>
      </c>
      <c r="H45" s="87">
        <v>13</v>
      </c>
    </row>
    <row r="46" spans="1:8" x14ac:dyDescent="0.25">
      <c r="A46" s="51">
        <v>33539</v>
      </c>
      <c r="B46" s="79">
        <v>9</v>
      </c>
      <c r="D46" s="79"/>
      <c r="E46" s="51">
        <v>74221</v>
      </c>
      <c r="F46" s="79">
        <v>8</v>
      </c>
      <c r="G46" s="3">
        <v>14197.8</v>
      </c>
      <c r="H46" s="87">
        <v>13</v>
      </c>
    </row>
    <row r="47" spans="1:8" x14ac:dyDescent="0.25">
      <c r="A47" s="51">
        <v>5921.7</v>
      </c>
      <c r="B47" s="79">
        <v>9</v>
      </c>
      <c r="D47" s="79"/>
      <c r="E47" s="51">
        <v>23270</v>
      </c>
      <c r="F47" s="79">
        <v>8</v>
      </c>
      <c r="G47" s="3">
        <v>54558</v>
      </c>
      <c r="H47" s="87">
        <v>14</v>
      </c>
    </row>
    <row r="48" spans="1:8" x14ac:dyDescent="0.25">
      <c r="A48" s="51">
        <v>19247.7</v>
      </c>
      <c r="B48" s="79">
        <v>10</v>
      </c>
      <c r="D48" s="79"/>
      <c r="E48" s="51">
        <v>10037</v>
      </c>
      <c r="F48" s="79">
        <v>8</v>
      </c>
      <c r="G48" s="3">
        <v>20850</v>
      </c>
      <c r="H48" s="87">
        <v>14</v>
      </c>
    </row>
    <row r="49" spans="1:8" x14ac:dyDescent="0.25">
      <c r="A49" s="51">
        <v>70000</v>
      </c>
      <c r="B49" s="79">
        <v>10</v>
      </c>
      <c r="D49" s="79"/>
      <c r="E49" s="51">
        <v>3460.8</v>
      </c>
      <c r="F49" s="79">
        <v>8</v>
      </c>
      <c r="G49" s="3">
        <v>18620</v>
      </c>
      <c r="H49" s="87">
        <v>14</v>
      </c>
    </row>
    <row r="50" spans="1:8" x14ac:dyDescent="0.25">
      <c r="A50" s="51">
        <v>281500</v>
      </c>
      <c r="B50" s="79">
        <v>10</v>
      </c>
      <c r="D50" s="79"/>
      <c r="E50" s="51">
        <v>130000</v>
      </c>
      <c r="F50" s="79">
        <v>8</v>
      </c>
      <c r="G50" s="3">
        <v>41900</v>
      </c>
      <c r="H50" s="87">
        <v>14</v>
      </c>
    </row>
    <row r="51" spans="1:8" x14ac:dyDescent="0.25">
      <c r="A51" s="51">
        <v>9538</v>
      </c>
      <c r="B51" s="79">
        <v>10</v>
      </c>
      <c r="D51" s="79"/>
      <c r="E51" s="89">
        <v>16876.5</v>
      </c>
      <c r="F51" s="90">
        <v>9</v>
      </c>
      <c r="G51" s="3">
        <v>19191.5</v>
      </c>
      <c r="H51" s="87">
        <v>14</v>
      </c>
    </row>
    <row r="52" spans="1:8" x14ac:dyDescent="0.25">
      <c r="A52" s="51">
        <v>12000</v>
      </c>
      <c r="B52" s="79">
        <v>10</v>
      </c>
      <c r="D52" s="79"/>
      <c r="E52" s="51">
        <v>2850</v>
      </c>
      <c r="F52" s="79">
        <v>9</v>
      </c>
      <c r="G52" s="3">
        <v>6965</v>
      </c>
      <c r="H52" s="87">
        <v>14</v>
      </c>
    </row>
    <row r="53" spans="1:8" x14ac:dyDescent="0.25">
      <c r="A53" s="51">
        <v>30900</v>
      </c>
      <c r="B53" s="79">
        <v>10</v>
      </c>
      <c r="D53" s="79"/>
      <c r="E53" s="51">
        <v>11840</v>
      </c>
      <c r="F53" s="79">
        <v>9</v>
      </c>
      <c r="G53" s="3">
        <v>32306.3</v>
      </c>
      <c r="H53" s="87">
        <v>14</v>
      </c>
    </row>
    <row r="54" spans="1:8" x14ac:dyDescent="0.25">
      <c r="A54" s="51">
        <v>2751</v>
      </c>
      <c r="B54" s="79">
        <v>11</v>
      </c>
      <c r="D54" s="79"/>
      <c r="E54" s="51">
        <v>24000</v>
      </c>
      <c r="F54" s="79">
        <v>9</v>
      </c>
      <c r="G54" s="3">
        <v>33277.199999999997</v>
      </c>
      <c r="H54" s="87">
        <v>14</v>
      </c>
    </row>
    <row r="55" spans="1:8" x14ac:dyDescent="0.25">
      <c r="A55" s="51">
        <v>1262.5999999999999</v>
      </c>
      <c r="B55" s="79">
        <v>11</v>
      </c>
      <c r="D55" s="79"/>
      <c r="E55" s="51">
        <v>9504</v>
      </c>
      <c r="F55" s="79">
        <v>9</v>
      </c>
      <c r="G55" s="3">
        <v>0</v>
      </c>
    </row>
    <row r="56" spans="1:8" x14ac:dyDescent="0.25">
      <c r="A56" s="51">
        <v>5834.9</v>
      </c>
      <c r="B56" s="79">
        <v>11</v>
      </c>
      <c r="D56" s="79"/>
      <c r="E56" s="51">
        <v>17200</v>
      </c>
      <c r="F56" s="79">
        <v>9</v>
      </c>
      <c r="G56" s="3">
        <v>0</v>
      </c>
    </row>
    <row r="57" spans="1:8" x14ac:dyDescent="0.25">
      <c r="A57" s="51">
        <v>11000</v>
      </c>
      <c r="B57" s="79">
        <v>11</v>
      </c>
      <c r="D57" s="79"/>
      <c r="E57" s="51">
        <v>12000</v>
      </c>
      <c r="F57" s="79">
        <v>9</v>
      </c>
      <c r="G57" s="3">
        <v>0</v>
      </c>
    </row>
    <row r="58" spans="1:8" ht="15.75" x14ac:dyDescent="0.25">
      <c r="A58" s="51">
        <v>8000</v>
      </c>
      <c r="B58" s="79">
        <v>11</v>
      </c>
      <c r="D58" s="79"/>
      <c r="E58" s="51">
        <v>15909</v>
      </c>
      <c r="F58" s="79">
        <v>9</v>
      </c>
      <c r="G58" s="47">
        <f>SUM(G4:G57)</f>
        <v>2337044.7799999998</v>
      </c>
    </row>
    <row r="59" spans="1:8" x14ac:dyDescent="0.25">
      <c r="A59" s="51">
        <v>315500</v>
      </c>
      <c r="B59" s="79">
        <v>11</v>
      </c>
      <c r="D59" s="79"/>
      <c r="E59" s="51">
        <v>41109</v>
      </c>
      <c r="F59" s="79">
        <v>9</v>
      </c>
    </row>
    <row r="60" spans="1:8" x14ac:dyDescent="0.25">
      <c r="A60" s="51">
        <v>70200</v>
      </c>
      <c r="B60" s="79">
        <v>11</v>
      </c>
      <c r="D60" s="79"/>
      <c r="E60" s="51">
        <v>7200</v>
      </c>
      <c r="F60" s="79">
        <v>9</v>
      </c>
    </row>
    <row r="61" spans="1:8" x14ac:dyDescent="0.25">
      <c r="A61" s="51">
        <v>191900</v>
      </c>
      <c r="B61" s="79">
        <v>11</v>
      </c>
      <c r="C61" s="3" t="s">
        <v>117</v>
      </c>
      <c r="D61" s="79"/>
      <c r="E61" s="51">
        <v>20000</v>
      </c>
      <c r="F61" s="79">
        <v>9</v>
      </c>
    </row>
    <row r="62" spans="1:8" x14ac:dyDescent="0.25">
      <c r="A62" s="51">
        <v>9256</v>
      </c>
      <c r="B62" s="79">
        <v>11</v>
      </c>
      <c r="D62" s="79"/>
      <c r="E62" s="51">
        <v>58310</v>
      </c>
      <c r="F62" s="79">
        <v>9</v>
      </c>
    </row>
    <row r="63" spans="1:8" x14ac:dyDescent="0.25">
      <c r="A63" s="51">
        <v>127050</v>
      </c>
      <c r="B63" s="79">
        <v>11</v>
      </c>
      <c r="D63" s="79"/>
      <c r="E63" s="51">
        <v>5325</v>
      </c>
      <c r="F63" s="79">
        <v>9</v>
      </c>
    </row>
    <row r="64" spans="1:8" x14ac:dyDescent="0.25">
      <c r="A64" s="51">
        <v>192300</v>
      </c>
      <c r="B64" s="79">
        <v>11</v>
      </c>
      <c r="D64" s="79"/>
      <c r="E64" s="51">
        <v>5560</v>
      </c>
      <c r="F64" s="79">
        <v>9</v>
      </c>
    </row>
    <row r="65" spans="1:6" x14ac:dyDescent="0.25">
      <c r="A65" s="81">
        <f>-21-131.28-2.88-18-9.9-61.89</f>
        <v>-244.95</v>
      </c>
      <c r="B65" s="79">
        <v>11</v>
      </c>
      <c r="D65" s="79"/>
      <c r="E65" s="51">
        <v>6553</v>
      </c>
      <c r="F65" s="79">
        <v>9</v>
      </c>
    </row>
    <row r="66" spans="1:6" x14ac:dyDescent="0.25">
      <c r="A66" s="51">
        <v>8190</v>
      </c>
      <c r="B66" s="79">
        <v>13</v>
      </c>
      <c r="D66" s="79"/>
      <c r="E66" s="51">
        <v>21901.68</v>
      </c>
      <c r="F66" s="79">
        <v>9</v>
      </c>
    </row>
    <row r="67" spans="1:6" x14ac:dyDescent="0.25">
      <c r="A67" s="51">
        <v>197500</v>
      </c>
      <c r="B67" s="79">
        <v>13</v>
      </c>
      <c r="D67" s="79"/>
      <c r="E67" s="51">
        <v>29051</v>
      </c>
      <c r="F67" s="79">
        <v>9</v>
      </c>
    </row>
    <row r="68" spans="1:6" x14ac:dyDescent="0.25">
      <c r="A68" s="51">
        <v>4000</v>
      </c>
      <c r="B68" s="79">
        <v>13</v>
      </c>
      <c r="D68" s="79"/>
      <c r="E68" s="51">
        <v>0</v>
      </c>
      <c r="F68" s="79"/>
    </row>
    <row r="69" spans="1:6" ht="18.75" x14ac:dyDescent="0.3">
      <c r="A69" s="51">
        <v>81800</v>
      </c>
      <c r="B69" s="79">
        <v>13</v>
      </c>
      <c r="E69" s="52">
        <f>SUM(E4:E68)</f>
        <v>1815176.9</v>
      </c>
    </row>
    <row r="70" spans="1:6" x14ac:dyDescent="0.25">
      <c r="A70" s="51">
        <v>326000</v>
      </c>
      <c r="B70" s="79">
        <v>14</v>
      </c>
    </row>
    <row r="71" spans="1:6" x14ac:dyDescent="0.25">
      <c r="A71" s="51">
        <v>5120</v>
      </c>
      <c r="B71" s="79">
        <v>14</v>
      </c>
    </row>
    <row r="72" spans="1:6" ht="15.75" x14ac:dyDescent="0.25">
      <c r="A72" s="47">
        <f>SUM(A4:A71)</f>
        <v>6534275.6200000001</v>
      </c>
    </row>
    <row r="74" spans="1:6" ht="18.75" x14ac:dyDescent="0.3">
      <c r="A74" s="86"/>
    </row>
    <row r="75" spans="1:6" x14ac:dyDescent="0.25">
      <c r="A75" s="3">
        <v>6534275.6200000001</v>
      </c>
    </row>
    <row r="76" spans="1:6" x14ac:dyDescent="0.25">
      <c r="A76" s="3">
        <v>1815176.9</v>
      </c>
    </row>
    <row r="77" spans="1:6" x14ac:dyDescent="0.25">
      <c r="A77" s="3">
        <v>2337044.7799999998</v>
      </c>
    </row>
    <row r="78" spans="1:6" x14ac:dyDescent="0.25">
      <c r="A78" s="3">
        <v>724154.79</v>
      </c>
    </row>
    <row r="79" spans="1:6" x14ac:dyDescent="0.25">
      <c r="A79" s="3">
        <v>0</v>
      </c>
    </row>
    <row r="80" spans="1:6" x14ac:dyDescent="0.25">
      <c r="A80" s="3">
        <f>SUM(A75:A79)</f>
        <v>11410652.09</v>
      </c>
    </row>
  </sheetData>
  <sortState xmlns:xlrd2="http://schemas.microsoft.com/office/spreadsheetml/2017/richdata2" ref="E4:F68">
    <sortCondition ref="F4:F68"/>
  </sortState>
  <mergeCells count="1">
    <mergeCell ref="E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8482-823A-4BE4-AD0D-7B31A13B5582}">
  <sheetPr>
    <tabColor theme="9" tint="-0.249977111117893"/>
  </sheetPr>
  <dimension ref="A1:AC54"/>
  <sheetViews>
    <sheetView topLeftCell="A10" workbookViewId="0">
      <selection activeCell="G11" sqref="G11"/>
    </sheetView>
  </sheetViews>
  <sheetFormatPr baseColWidth="10" defaultRowHeight="15" x14ac:dyDescent="0.25"/>
  <cols>
    <col min="2" max="2" width="17.140625" bestFit="1" customWidth="1"/>
    <col min="4" max="4" width="21" bestFit="1" customWidth="1"/>
    <col min="26" max="26" width="15.5703125" bestFit="1" customWidth="1"/>
  </cols>
  <sheetData>
    <row r="1" spans="1:29" x14ac:dyDescent="0.25">
      <c r="A1" s="145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4"/>
      <c r="U1" s="144"/>
      <c r="V1" s="144"/>
      <c r="W1" s="146"/>
      <c r="X1" s="144"/>
      <c r="Y1" s="144"/>
      <c r="Z1" s="147"/>
      <c r="AA1" s="144"/>
    </row>
    <row r="2" spans="1:29" ht="30.75" thickBot="1" x14ac:dyDescent="0.3">
      <c r="A2" s="148"/>
      <c r="B2" s="148" t="s">
        <v>1</v>
      </c>
      <c r="C2" s="148" t="s">
        <v>2</v>
      </c>
      <c r="D2" s="148" t="s">
        <v>3</v>
      </c>
      <c r="E2" s="148" t="s">
        <v>4</v>
      </c>
      <c r="F2" s="149" t="s">
        <v>5</v>
      </c>
      <c r="G2" s="149" t="s">
        <v>6</v>
      </c>
      <c r="H2" s="150" t="s">
        <v>7</v>
      </c>
      <c r="I2" s="151" t="s">
        <v>8</v>
      </c>
      <c r="J2" s="148" t="s">
        <v>9</v>
      </c>
      <c r="K2" s="152" t="s">
        <v>10</v>
      </c>
      <c r="L2" s="152" t="s">
        <v>11</v>
      </c>
      <c r="M2" s="148" t="s">
        <v>12</v>
      </c>
      <c r="N2" s="148" t="s">
        <v>13</v>
      </c>
      <c r="O2" s="153" t="s">
        <v>14</v>
      </c>
      <c r="P2" s="154" t="s">
        <v>15</v>
      </c>
      <c r="Q2" s="153" t="s">
        <v>16</v>
      </c>
      <c r="R2" s="155" t="s">
        <v>17</v>
      </c>
      <c r="S2" s="155" t="s">
        <v>18</v>
      </c>
      <c r="T2" s="156" t="s">
        <v>19</v>
      </c>
      <c r="U2" s="153" t="s">
        <v>20</v>
      </c>
      <c r="V2" s="155" t="s">
        <v>21</v>
      </c>
      <c r="W2" s="156" t="s">
        <v>22</v>
      </c>
      <c r="X2" s="153" t="s">
        <v>23</v>
      </c>
      <c r="Y2" s="153" t="s">
        <v>24</v>
      </c>
      <c r="Z2" s="157" t="s">
        <v>25</v>
      </c>
      <c r="AA2" s="158"/>
    </row>
    <row r="3" spans="1:29" x14ac:dyDescent="0.25">
      <c r="A3" s="159"/>
      <c r="B3" s="160" t="s">
        <v>33</v>
      </c>
      <c r="C3" s="144" t="s">
        <v>34</v>
      </c>
      <c r="D3" s="165" t="s">
        <v>35</v>
      </c>
      <c r="E3" s="144">
        <v>198</v>
      </c>
      <c r="F3" s="161">
        <v>22345</v>
      </c>
      <c r="G3" s="162">
        <v>17710</v>
      </c>
      <c r="H3" s="162">
        <v>-4635</v>
      </c>
      <c r="I3" s="144" t="s">
        <v>36</v>
      </c>
      <c r="J3" s="144">
        <v>197</v>
      </c>
      <c r="K3" s="164"/>
      <c r="L3" s="164">
        <v>44378</v>
      </c>
      <c r="M3" s="165" t="s">
        <v>31</v>
      </c>
      <c r="N3" s="165"/>
      <c r="O3" s="146">
        <v>42</v>
      </c>
      <c r="P3" s="166"/>
      <c r="Q3" s="172">
        <v>26000</v>
      </c>
      <c r="R3" s="146">
        <v>19918.8</v>
      </c>
      <c r="S3" s="168">
        <v>-7920</v>
      </c>
      <c r="T3" s="168">
        <v>5549.8552815923204</v>
      </c>
      <c r="U3" s="146">
        <v>990</v>
      </c>
      <c r="V3" s="146">
        <v>3600</v>
      </c>
      <c r="W3" s="146">
        <v>0.3</v>
      </c>
      <c r="X3" s="146">
        <v>55.193608130999436</v>
      </c>
      <c r="Y3" s="146">
        <v>56.010257215222609</v>
      </c>
      <c r="Z3" s="147">
        <v>991941.65528159239</v>
      </c>
      <c r="AA3" s="171">
        <v>44392</v>
      </c>
    </row>
    <row r="4" spans="1:29" x14ac:dyDescent="0.25">
      <c r="A4" s="159"/>
      <c r="B4" s="144" t="s">
        <v>33</v>
      </c>
      <c r="C4" s="144" t="s">
        <v>34</v>
      </c>
      <c r="D4" s="165" t="s">
        <v>49</v>
      </c>
      <c r="E4" s="144">
        <v>249</v>
      </c>
      <c r="F4" s="161">
        <v>27715</v>
      </c>
      <c r="G4" s="162">
        <v>21890</v>
      </c>
      <c r="H4" s="162">
        <v>-5825</v>
      </c>
      <c r="I4" s="144" t="s">
        <v>50</v>
      </c>
      <c r="J4" s="144"/>
      <c r="K4" s="164"/>
      <c r="L4" s="164">
        <v>44379</v>
      </c>
      <c r="M4" s="165" t="s">
        <v>46</v>
      </c>
      <c r="N4" s="165"/>
      <c r="O4" s="146">
        <v>42</v>
      </c>
      <c r="P4" s="166"/>
      <c r="Q4" s="172">
        <v>26000</v>
      </c>
      <c r="R4" s="146">
        <v>25049.399999999998</v>
      </c>
      <c r="S4" s="168">
        <v>-9960</v>
      </c>
      <c r="T4" s="168">
        <v>6873.2184585198711</v>
      </c>
      <c r="U4" s="146">
        <v>1245</v>
      </c>
      <c r="V4" s="146">
        <v>3600</v>
      </c>
      <c r="W4" s="146">
        <v>0.3</v>
      </c>
      <c r="X4" s="146">
        <v>55.110296939241657</v>
      </c>
      <c r="Y4" s="146">
        <v>55.88874456183278</v>
      </c>
      <c r="Z4" s="147">
        <v>1223404.6184585195</v>
      </c>
      <c r="AA4" s="171">
        <v>44393</v>
      </c>
    </row>
    <row r="5" spans="1:29" x14ac:dyDescent="0.25">
      <c r="A5" s="175"/>
      <c r="B5" s="160" t="s">
        <v>33</v>
      </c>
      <c r="C5" s="144" t="s">
        <v>34</v>
      </c>
      <c r="D5" s="165" t="s">
        <v>35</v>
      </c>
      <c r="E5" s="144">
        <v>201</v>
      </c>
      <c r="F5" s="161">
        <v>22080</v>
      </c>
      <c r="G5" s="162">
        <v>17520</v>
      </c>
      <c r="H5" s="162">
        <v>-4560</v>
      </c>
      <c r="I5" s="144" t="s">
        <v>56</v>
      </c>
      <c r="J5" s="144"/>
      <c r="K5" s="164"/>
      <c r="L5" s="164">
        <v>44381</v>
      </c>
      <c r="M5" s="165" t="s">
        <v>57</v>
      </c>
      <c r="N5" s="165"/>
      <c r="O5" s="146">
        <v>41.5</v>
      </c>
      <c r="P5" s="166"/>
      <c r="Q5" s="172">
        <v>26000</v>
      </c>
      <c r="R5" s="146">
        <v>20220.599999999999</v>
      </c>
      <c r="S5" s="168">
        <v>-8040</v>
      </c>
      <c r="T5" s="168">
        <v>5418.8947726027391</v>
      </c>
      <c r="U5" s="146">
        <v>1005</v>
      </c>
      <c r="V5" s="146">
        <v>3600</v>
      </c>
      <c r="W5" s="146">
        <v>0.3</v>
      </c>
      <c r="X5" s="146">
        <v>54.537990867579907</v>
      </c>
      <c r="Y5" s="146">
        <v>55.352767966472754</v>
      </c>
      <c r="Z5" s="147">
        <v>969780.49477260269</v>
      </c>
      <c r="AA5" s="171">
        <v>44396</v>
      </c>
    </row>
    <row r="6" spans="1:29" x14ac:dyDescent="0.25">
      <c r="A6" s="175"/>
      <c r="B6" s="160" t="s">
        <v>58</v>
      </c>
      <c r="C6" s="144" t="s">
        <v>59</v>
      </c>
      <c r="D6" s="165" t="s">
        <v>60</v>
      </c>
      <c r="E6" s="144" t="s">
        <v>61</v>
      </c>
      <c r="F6" s="161">
        <v>5030.5</v>
      </c>
      <c r="G6" s="162">
        <v>5030.5</v>
      </c>
      <c r="H6" s="162">
        <v>0</v>
      </c>
      <c r="I6" s="176"/>
      <c r="J6" s="144"/>
      <c r="K6" s="164"/>
      <c r="L6" s="164">
        <v>44382</v>
      </c>
      <c r="M6" s="165" t="s">
        <v>62</v>
      </c>
      <c r="N6" s="165"/>
      <c r="O6" s="177">
        <v>52.5</v>
      </c>
      <c r="P6" s="177"/>
      <c r="Q6" s="146"/>
      <c r="R6" s="146"/>
      <c r="S6" s="168"/>
      <c r="T6" s="168"/>
      <c r="U6" s="146"/>
      <c r="V6" s="146"/>
      <c r="W6" s="146"/>
      <c r="X6" s="146">
        <v>52.5</v>
      </c>
      <c r="Y6" s="146">
        <v>52.5</v>
      </c>
      <c r="Z6" s="170">
        <v>264101.25</v>
      </c>
      <c r="AA6" s="171">
        <v>44389</v>
      </c>
    </row>
    <row r="7" spans="1:29" x14ac:dyDescent="0.25">
      <c r="A7" s="175"/>
      <c r="B7" s="160" t="s">
        <v>33</v>
      </c>
      <c r="C7" s="144" t="s">
        <v>34</v>
      </c>
      <c r="D7" s="165" t="s">
        <v>35</v>
      </c>
      <c r="E7" s="144">
        <v>202</v>
      </c>
      <c r="F7" s="161">
        <v>22960</v>
      </c>
      <c r="G7" s="162">
        <v>18230</v>
      </c>
      <c r="H7" s="162">
        <v>-4730</v>
      </c>
      <c r="I7" s="144" t="s">
        <v>70</v>
      </c>
      <c r="J7" s="144"/>
      <c r="K7" s="164"/>
      <c r="L7" s="164">
        <v>44383</v>
      </c>
      <c r="M7" s="165" t="s">
        <v>71</v>
      </c>
      <c r="N7" s="165"/>
      <c r="O7" s="146">
        <v>41.5</v>
      </c>
      <c r="P7" s="166"/>
      <c r="Q7" s="172">
        <v>26000</v>
      </c>
      <c r="R7" s="146">
        <v>20321.199999999997</v>
      </c>
      <c r="S7" s="168">
        <v>-8080</v>
      </c>
      <c r="T7" s="168">
        <v>5622.7571466812942</v>
      </c>
      <c r="U7" s="146">
        <v>1010</v>
      </c>
      <c r="V7" s="146">
        <v>3600</v>
      </c>
      <c r="W7" s="146">
        <v>0.3</v>
      </c>
      <c r="X7" s="146">
        <v>54.420800877674161</v>
      </c>
      <c r="Y7" s="146">
        <v>55.226711856647348</v>
      </c>
      <c r="Z7" s="147">
        <v>1006782.9571466811</v>
      </c>
      <c r="AA7" s="171">
        <v>44397</v>
      </c>
      <c r="AB7" s="163">
        <v>39.97</v>
      </c>
      <c r="AC7" s="144" t="s">
        <v>42</v>
      </c>
    </row>
    <row r="8" spans="1:29" x14ac:dyDescent="0.25">
      <c r="A8" s="175"/>
      <c r="B8" s="160" t="s">
        <v>33</v>
      </c>
      <c r="C8" s="144" t="s">
        <v>34</v>
      </c>
      <c r="D8" s="165" t="s">
        <v>35</v>
      </c>
      <c r="E8" s="144">
        <v>193</v>
      </c>
      <c r="F8" s="161">
        <v>21095</v>
      </c>
      <c r="G8" s="162">
        <v>16770</v>
      </c>
      <c r="H8" s="162">
        <v>-4325</v>
      </c>
      <c r="I8" s="144" t="s">
        <v>77</v>
      </c>
      <c r="J8" s="144"/>
      <c r="K8" s="164"/>
      <c r="L8" s="164">
        <v>44385</v>
      </c>
      <c r="M8" s="165" t="s">
        <v>31</v>
      </c>
      <c r="N8" s="165"/>
      <c r="O8" s="146">
        <v>41</v>
      </c>
      <c r="P8" s="166"/>
      <c r="Q8" s="172">
        <v>26000</v>
      </c>
      <c r="R8" s="146">
        <v>19415.8</v>
      </c>
      <c r="S8" s="168">
        <v>-7720</v>
      </c>
      <c r="T8" s="168">
        <v>5114.6269054561717</v>
      </c>
      <c r="U8" s="146">
        <v>965</v>
      </c>
      <c r="V8" s="146">
        <v>3600</v>
      </c>
      <c r="W8" s="146">
        <v>0.3</v>
      </c>
      <c r="X8" s="146">
        <v>53.879296362552182</v>
      </c>
      <c r="Y8" s="146">
        <v>54.698952111237695</v>
      </c>
      <c r="Z8" s="147">
        <v>917301.42690545612</v>
      </c>
      <c r="AA8" s="171">
        <v>44399</v>
      </c>
      <c r="AB8" s="163">
        <v>42.98</v>
      </c>
      <c r="AC8" s="144" t="s">
        <v>27</v>
      </c>
    </row>
    <row r="9" spans="1:29" x14ac:dyDescent="0.25">
      <c r="A9" s="175"/>
      <c r="B9" s="160" t="s">
        <v>58</v>
      </c>
      <c r="C9" s="144" t="s">
        <v>59</v>
      </c>
      <c r="D9" s="165" t="s">
        <v>87</v>
      </c>
      <c r="E9" s="144" t="s">
        <v>88</v>
      </c>
      <c r="F9" s="161">
        <v>18532.621800000001</v>
      </c>
      <c r="G9" s="162">
        <v>18469.82</v>
      </c>
      <c r="H9" s="162">
        <v>-62.801800000001094</v>
      </c>
      <c r="I9" s="144">
        <v>15541</v>
      </c>
      <c r="J9" s="163" t="s">
        <v>45</v>
      </c>
      <c r="K9" s="164">
        <v>44385</v>
      </c>
      <c r="L9" s="164">
        <v>44386</v>
      </c>
      <c r="M9" s="165" t="s">
        <v>46</v>
      </c>
      <c r="N9" s="165"/>
      <c r="O9" s="146"/>
      <c r="P9" s="166">
        <v>1.1399999999999999</v>
      </c>
      <c r="Q9" s="167">
        <v>26000</v>
      </c>
      <c r="R9" s="168">
        <v>12355</v>
      </c>
      <c r="S9" s="169">
        <v>20</v>
      </c>
      <c r="T9" s="168">
        <v>4861.2467082023986</v>
      </c>
      <c r="U9" s="144"/>
      <c r="V9" s="146">
        <v>0.12</v>
      </c>
      <c r="W9" s="146">
        <v>0.3</v>
      </c>
      <c r="X9" s="146">
        <v>52.461510957962766</v>
      </c>
      <c r="Y9" s="146">
        <v>53.024710421097893</v>
      </c>
      <c r="Z9" s="170">
        <v>982686.90428872604</v>
      </c>
      <c r="AA9" s="171">
        <v>44385</v>
      </c>
      <c r="AB9" s="144"/>
      <c r="AC9" s="144"/>
    </row>
    <row r="10" spans="1:29" x14ac:dyDescent="0.25">
      <c r="A10" s="175"/>
      <c r="B10" s="144" t="s">
        <v>33</v>
      </c>
      <c r="C10" s="144" t="s">
        <v>34</v>
      </c>
      <c r="D10" s="165" t="s">
        <v>49</v>
      </c>
      <c r="E10" s="144">
        <v>250</v>
      </c>
      <c r="F10" s="161">
        <v>26605</v>
      </c>
      <c r="G10" s="162">
        <v>20660</v>
      </c>
      <c r="H10" s="162">
        <v>-5945</v>
      </c>
      <c r="I10" s="144" t="s">
        <v>91</v>
      </c>
      <c r="J10" s="144"/>
      <c r="K10" s="164"/>
      <c r="L10" s="164">
        <v>44386</v>
      </c>
      <c r="M10" s="165" t="s">
        <v>46</v>
      </c>
      <c r="N10" s="165"/>
      <c r="O10" s="146">
        <v>41</v>
      </c>
      <c r="P10" s="166"/>
      <c r="Q10" s="172">
        <v>26000</v>
      </c>
      <c r="R10" s="146">
        <v>25150</v>
      </c>
      <c r="S10" s="168">
        <v>-10000</v>
      </c>
      <c r="T10" s="168">
        <v>6566.8023045740547</v>
      </c>
      <c r="U10" s="146">
        <v>1250</v>
      </c>
      <c r="V10" s="146">
        <v>3600</v>
      </c>
      <c r="W10" s="146">
        <v>0.3</v>
      </c>
      <c r="X10" s="146">
        <v>54.850193610842204</v>
      </c>
      <c r="Y10" s="146">
        <v>55.642294400027779</v>
      </c>
      <c r="Z10" s="147">
        <v>1149569.8023045738</v>
      </c>
      <c r="AA10" s="171">
        <v>44400</v>
      </c>
      <c r="AB10" s="144"/>
      <c r="AC10" s="144"/>
    </row>
    <row r="11" spans="1:29" x14ac:dyDescent="0.25">
      <c r="A11" s="180"/>
      <c r="B11" s="160" t="s">
        <v>33</v>
      </c>
      <c r="C11" s="144" t="s">
        <v>34</v>
      </c>
      <c r="D11" s="165" t="s">
        <v>113</v>
      </c>
      <c r="E11" s="144">
        <v>250</v>
      </c>
      <c r="F11" s="161">
        <v>27270</v>
      </c>
      <c r="G11" s="162">
        <v>21600</v>
      </c>
      <c r="H11" s="162">
        <v>-5670</v>
      </c>
      <c r="I11" s="144" t="s">
        <v>130</v>
      </c>
      <c r="J11" s="144"/>
      <c r="K11" s="164"/>
      <c r="L11" s="164">
        <v>44388</v>
      </c>
      <c r="M11" s="165" t="s">
        <v>57</v>
      </c>
      <c r="N11" s="165"/>
      <c r="O11" s="146">
        <v>41</v>
      </c>
      <c r="P11" s="166"/>
      <c r="Q11" s="172">
        <v>26000</v>
      </c>
      <c r="R11" s="146">
        <v>25150</v>
      </c>
      <c r="S11" s="168">
        <v>-10000</v>
      </c>
      <c r="T11" s="168">
        <v>6592.9201874999999</v>
      </c>
      <c r="U11" s="146">
        <v>1250</v>
      </c>
      <c r="V11" s="146">
        <v>3600</v>
      </c>
      <c r="W11" s="146">
        <v>0.3</v>
      </c>
      <c r="X11" s="146">
        <v>53.725462962962965</v>
      </c>
      <c r="Y11" s="146">
        <v>54.497357416087965</v>
      </c>
      <c r="Z11" s="147">
        <v>1177142.9201875001</v>
      </c>
      <c r="AA11" s="171">
        <v>44403</v>
      </c>
      <c r="AB11" s="144"/>
      <c r="AC11" s="144"/>
    </row>
    <row r="12" spans="1:29" x14ac:dyDescent="0.25">
      <c r="A12" s="180"/>
      <c r="B12" s="160" t="s">
        <v>33</v>
      </c>
      <c r="C12" s="144" t="s">
        <v>34</v>
      </c>
      <c r="D12" s="165" t="s">
        <v>113</v>
      </c>
      <c r="E12" s="144">
        <v>201</v>
      </c>
      <c r="F12" s="161">
        <v>21140</v>
      </c>
      <c r="G12" s="162">
        <v>16720</v>
      </c>
      <c r="H12" s="162">
        <v>-4420</v>
      </c>
      <c r="I12" s="144" t="s">
        <v>131</v>
      </c>
      <c r="J12" s="144"/>
      <c r="K12" s="164"/>
      <c r="L12" s="164">
        <v>44391</v>
      </c>
      <c r="M12" s="165" t="s">
        <v>73</v>
      </c>
      <c r="N12" s="165"/>
      <c r="O12" s="146">
        <v>41</v>
      </c>
      <c r="P12" s="166"/>
      <c r="Q12" s="172">
        <v>26000</v>
      </c>
      <c r="R12" s="146">
        <v>20220.599999999999</v>
      </c>
      <c r="S12" s="168">
        <v>-8040</v>
      </c>
      <c r="T12" s="168">
        <v>5154.34822535885</v>
      </c>
      <c r="U12" s="146">
        <v>1005</v>
      </c>
      <c r="V12" s="146">
        <v>3600</v>
      </c>
      <c r="W12" s="146">
        <v>0.3</v>
      </c>
      <c r="X12" s="146">
        <v>54.182153110047842</v>
      </c>
      <c r="Y12" s="146">
        <v>55.005738530224811</v>
      </c>
      <c r="Z12" s="147">
        <v>919695.94822535885</v>
      </c>
      <c r="AA12" s="171">
        <v>44405</v>
      </c>
      <c r="AB12" s="163">
        <v>45.97</v>
      </c>
      <c r="AC12" s="144" t="s">
        <v>27</v>
      </c>
    </row>
    <row r="13" spans="1:29" s="144" customFormat="1" x14ac:dyDescent="0.25">
      <c r="A13" s="180"/>
      <c r="B13" s="160"/>
      <c r="D13" s="165"/>
      <c r="F13" s="161"/>
      <c r="G13" s="162"/>
      <c r="H13" s="162"/>
      <c r="K13" s="164"/>
      <c r="L13" s="164"/>
      <c r="M13" s="165"/>
      <c r="N13" s="165"/>
      <c r="O13" s="146"/>
      <c r="P13" s="166"/>
      <c r="Q13" s="172"/>
      <c r="R13" s="146"/>
      <c r="S13" s="168"/>
      <c r="T13" s="168"/>
      <c r="U13" s="146"/>
      <c r="V13" s="146"/>
      <c r="W13" s="146"/>
      <c r="X13" s="146"/>
      <c r="Y13" s="146"/>
      <c r="Z13" s="147">
        <v>0</v>
      </c>
      <c r="AA13" s="171"/>
      <c r="AB13" s="163"/>
    </row>
    <row r="14" spans="1:29" s="144" customFormat="1" ht="15.75" x14ac:dyDescent="0.25">
      <c r="A14" s="180"/>
      <c r="B14" s="160"/>
      <c r="D14" s="165"/>
      <c r="F14" s="161"/>
      <c r="G14" s="162"/>
      <c r="H14" s="162"/>
      <c r="K14" s="164"/>
      <c r="L14" s="164"/>
      <c r="M14" s="165"/>
      <c r="N14" s="165"/>
      <c r="O14" s="146"/>
      <c r="P14" s="166"/>
      <c r="Q14" s="172"/>
      <c r="R14" s="146"/>
      <c r="S14" s="168"/>
      <c r="T14" s="168"/>
      <c r="U14" s="146"/>
      <c r="V14" s="146"/>
      <c r="W14" s="146"/>
      <c r="X14" s="146"/>
      <c r="Y14" s="146"/>
      <c r="Z14" s="188">
        <f>SUM(Z3:Z13)</f>
        <v>9602407.9775710087</v>
      </c>
      <c r="AA14" s="171"/>
      <c r="AB14" s="163"/>
    </row>
    <row r="15" spans="1:29" s="144" customFormat="1" x14ac:dyDescent="0.25">
      <c r="A15" s="180"/>
      <c r="B15" s="160"/>
      <c r="D15" s="165"/>
      <c r="F15" s="161"/>
      <c r="G15" s="162"/>
      <c r="H15" s="162"/>
      <c r="K15" s="164"/>
      <c r="L15" s="164"/>
      <c r="M15" s="165"/>
      <c r="N15" s="165"/>
      <c r="O15" s="146"/>
      <c r="P15" s="166"/>
      <c r="Q15" s="172"/>
      <c r="R15" s="146"/>
      <c r="S15" s="168"/>
      <c r="T15" s="168"/>
      <c r="U15" s="146"/>
      <c r="V15" s="146"/>
      <c r="W15" s="146"/>
      <c r="X15" s="146"/>
      <c r="Y15" s="146"/>
      <c r="Z15" s="147"/>
      <c r="AA15" s="171"/>
      <c r="AB15" s="163"/>
    </row>
    <row r="16" spans="1:29" s="144" customFormat="1" x14ac:dyDescent="0.25">
      <c r="A16" s="180"/>
      <c r="B16" s="160"/>
      <c r="D16" s="165"/>
      <c r="F16" s="161"/>
      <c r="G16" s="162"/>
      <c r="H16" s="162"/>
      <c r="K16" s="164"/>
      <c r="L16" s="164"/>
      <c r="M16" s="165"/>
      <c r="N16" s="165"/>
      <c r="O16" s="146"/>
      <c r="P16" s="166"/>
      <c r="Q16" s="172"/>
      <c r="R16" s="146"/>
      <c r="S16" s="168"/>
      <c r="T16" s="168"/>
      <c r="U16" s="146"/>
      <c r="V16" s="146"/>
      <c r="W16" s="146"/>
      <c r="X16" s="146"/>
      <c r="Y16" s="146"/>
      <c r="Z16" s="147"/>
      <c r="AA16" s="171"/>
      <c r="AB16" s="163"/>
    </row>
    <row r="17" spans="1:29" x14ac:dyDescent="0.25">
      <c r="A17" s="180"/>
      <c r="B17" s="160" t="s">
        <v>132</v>
      </c>
      <c r="C17" s="144" t="s">
        <v>133</v>
      </c>
      <c r="D17" s="165" t="s">
        <v>134</v>
      </c>
      <c r="E17" s="144" t="s">
        <v>135</v>
      </c>
      <c r="F17" s="161">
        <v>541.79999999999995</v>
      </c>
      <c r="G17" s="162">
        <v>541.79999999999995</v>
      </c>
      <c r="H17" s="162">
        <v>0</v>
      </c>
      <c r="I17" s="144" t="s">
        <v>136</v>
      </c>
      <c r="J17" s="144"/>
      <c r="K17" s="164"/>
      <c r="L17" s="164">
        <v>44390</v>
      </c>
      <c r="M17" s="165" t="s">
        <v>71</v>
      </c>
      <c r="N17" s="165"/>
      <c r="O17" s="146">
        <v>117</v>
      </c>
      <c r="P17" s="166"/>
      <c r="Q17" s="146"/>
      <c r="R17" s="146"/>
      <c r="S17" s="168"/>
      <c r="T17" s="168"/>
      <c r="U17" s="146"/>
      <c r="V17" s="146"/>
      <c r="W17" s="146"/>
      <c r="X17" s="146"/>
      <c r="Y17" s="146">
        <v>117</v>
      </c>
      <c r="Z17" s="147">
        <v>63390.599999999991</v>
      </c>
      <c r="AA17" s="171">
        <v>44400</v>
      </c>
      <c r="AB17" s="144">
        <v>46.16</v>
      </c>
      <c r="AC17" s="144" t="s">
        <v>27</v>
      </c>
    </row>
    <row r="18" spans="1:29" x14ac:dyDescent="0.25">
      <c r="A18" s="180"/>
      <c r="B18" s="160" t="s">
        <v>26</v>
      </c>
      <c r="C18" s="144" t="s">
        <v>27</v>
      </c>
      <c r="D18" s="144" t="s">
        <v>27</v>
      </c>
      <c r="E18" s="144" t="s">
        <v>28</v>
      </c>
      <c r="F18" s="161">
        <v>18474.6744</v>
      </c>
      <c r="G18" s="162">
        <v>18470.04</v>
      </c>
      <c r="H18" s="162">
        <v>-4.6343999999990046</v>
      </c>
      <c r="I18" s="144" t="s">
        <v>95</v>
      </c>
      <c r="J18" s="182" t="s">
        <v>45</v>
      </c>
      <c r="K18" s="164">
        <v>44390</v>
      </c>
      <c r="L18" s="164">
        <v>44391</v>
      </c>
      <c r="M18" s="165" t="s">
        <v>73</v>
      </c>
      <c r="N18" s="165" t="s">
        <v>96</v>
      </c>
      <c r="O18" s="146"/>
      <c r="P18" s="166">
        <v>0.98699999999999999</v>
      </c>
      <c r="Q18" s="146">
        <v>26000</v>
      </c>
      <c r="R18" s="168">
        <v>10963</v>
      </c>
      <c r="S18" s="169">
        <v>19.91</v>
      </c>
      <c r="T18" s="168">
        <v>4197.8349442628914</v>
      </c>
      <c r="U18" s="144"/>
      <c r="V18" s="146">
        <v>0.12</v>
      </c>
      <c r="W18" s="146">
        <v>0.3</v>
      </c>
      <c r="X18" s="146">
        <v>45.444210310552393</v>
      </c>
      <c r="Y18" s="146">
        <v>45.971488375151218</v>
      </c>
      <c r="Z18" s="147">
        <v>849308.27941430383</v>
      </c>
      <c r="AA18" s="171">
        <v>44390</v>
      </c>
      <c r="AB18" s="163">
        <v>46.45</v>
      </c>
      <c r="AC18" s="144" t="s">
        <v>42</v>
      </c>
    </row>
    <row r="19" spans="1:29" x14ac:dyDescent="0.25">
      <c r="A19" s="180"/>
      <c r="B19" s="160"/>
      <c r="C19" s="144"/>
      <c r="D19" s="165"/>
      <c r="E19" s="144"/>
      <c r="F19" s="161"/>
      <c r="G19" s="162"/>
      <c r="H19" s="162">
        <v>0</v>
      </c>
      <c r="I19" s="144"/>
      <c r="J19" s="144"/>
      <c r="K19" s="164"/>
      <c r="L19" s="164">
        <v>44391</v>
      </c>
      <c r="M19" s="165" t="s">
        <v>73</v>
      </c>
      <c r="N19" s="165"/>
      <c r="O19" s="146"/>
      <c r="P19" s="166"/>
      <c r="Q19" s="146"/>
      <c r="R19" s="146"/>
      <c r="S19" s="169"/>
      <c r="T19" s="168"/>
      <c r="U19" s="146"/>
      <c r="V19" s="146"/>
      <c r="W19" s="146">
        <v>0.3</v>
      </c>
      <c r="X19" s="146" t="e">
        <v>#DIV/0!</v>
      </c>
      <c r="Y19" s="146" t="e">
        <v>#DIV/0!</v>
      </c>
      <c r="Z19" s="147" t="e">
        <v>#DIV/0!</v>
      </c>
      <c r="AA19" s="171"/>
      <c r="AB19" s="163">
        <v>46.4</v>
      </c>
      <c r="AC19" s="144" t="s">
        <v>42</v>
      </c>
    </row>
    <row r="20" spans="1:29" x14ac:dyDescent="0.25">
      <c r="A20" s="180"/>
      <c r="B20" s="160" t="s">
        <v>26</v>
      </c>
      <c r="C20" s="144" t="s">
        <v>27</v>
      </c>
      <c r="D20" s="144" t="s">
        <v>27</v>
      </c>
      <c r="E20" s="144" t="s">
        <v>28</v>
      </c>
      <c r="F20" s="161">
        <v>18428.860799999999</v>
      </c>
      <c r="G20" s="181">
        <v>18400</v>
      </c>
      <c r="H20" s="162">
        <v>-28.860799999998562</v>
      </c>
      <c r="I20" s="144" t="s">
        <v>97</v>
      </c>
      <c r="J20" s="182" t="s">
        <v>30</v>
      </c>
      <c r="K20" s="164">
        <v>44391</v>
      </c>
      <c r="L20" s="164">
        <v>44392</v>
      </c>
      <c r="M20" s="165" t="s">
        <v>31</v>
      </c>
      <c r="N20" s="165" t="s">
        <v>98</v>
      </c>
      <c r="O20" s="146"/>
      <c r="P20" s="166">
        <v>0.96640000000000004</v>
      </c>
      <c r="Q20" s="146">
        <v>26000</v>
      </c>
      <c r="R20" s="168">
        <v>9663</v>
      </c>
      <c r="S20" s="183">
        <v>20.399999999999999</v>
      </c>
      <c r="T20" s="168">
        <v>4194.4939974250256</v>
      </c>
      <c r="U20" s="144"/>
      <c r="V20" s="146">
        <v>0.12</v>
      </c>
      <c r="W20" s="146">
        <v>0.3</v>
      </c>
      <c r="X20" s="146">
        <v>45.520925497739128</v>
      </c>
      <c r="Y20" s="146">
        <v>46.048887128033961</v>
      </c>
      <c r="Z20" s="170">
        <v>848628.53087744955</v>
      </c>
      <c r="AA20" s="171">
        <v>44391</v>
      </c>
      <c r="AB20" s="179">
        <v>46.101666666666659</v>
      </c>
      <c r="AC20" s="144" t="s">
        <v>86</v>
      </c>
    </row>
    <row r="21" spans="1:29" x14ac:dyDescent="0.25">
      <c r="A21" s="180"/>
      <c r="B21" s="160" t="s">
        <v>33</v>
      </c>
      <c r="C21" s="144" t="s">
        <v>34</v>
      </c>
      <c r="D21" s="165"/>
      <c r="E21" s="144">
        <v>250</v>
      </c>
      <c r="F21" s="161"/>
      <c r="G21" s="162"/>
      <c r="H21" s="162">
        <v>0</v>
      </c>
      <c r="I21" s="144"/>
      <c r="J21" s="144"/>
      <c r="K21" s="164"/>
      <c r="L21" s="164">
        <v>44392</v>
      </c>
      <c r="M21" s="165" t="s">
        <v>31</v>
      </c>
      <c r="N21" s="165"/>
      <c r="O21" s="146"/>
      <c r="P21" s="166"/>
      <c r="Q21" s="172">
        <v>26000</v>
      </c>
      <c r="R21" s="146">
        <v>25150</v>
      </c>
      <c r="S21" s="168">
        <v>-10000</v>
      </c>
      <c r="T21" s="168" t="e">
        <v>#DIV/0!</v>
      </c>
      <c r="U21" s="146">
        <v>1250</v>
      </c>
      <c r="V21" s="146">
        <v>3600</v>
      </c>
      <c r="W21" s="146">
        <v>0.3</v>
      </c>
      <c r="X21" s="146" t="e">
        <v>#DIV/0!</v>
      </c>
      <c r="Y21" s="146" t="e">
        <v>#DIV/0!</v>
      </c>
      <c r="Z21" s="147" t="e">
        <v>#DIV/0!</v>
      </c>
      <c r="AA21" s="171"/>
      <c r="AB21" s="144"/>
      <c r="AC21" s="144"/>
    </row>
    <row r="22" spans="1:29" x14ac:dyDescent="0.25">
      <c r="A22" s="180"/>
      <c r="B22" s="160" t="s">
        <v>26</v>
      </c>
      <c r="C22" s="144" t="s">
        <v>42</v>
      </c>
      <c r="D22" s="165" t="s">
        <v>42</v>
      </c>
      <c r="E22" s="144" t="s">
        <v>43</v>
      </c>
      <c r="F22" s="161">
        <v>17731.223999999998</v>
      </c>
      <c r="G22" s="181">
        <v>17731</v>
      </c>
      <c r="H22" s="162">
        <v>-0.22399999999834108</v>
      </c>
      <c r="I22" s="144" t="s">
        <v>99</v>
      </c>
      <c r="J22" s="182" t="s">
        <v>45</v>
      </c>
      <c r="K22" s="164">
        <v>44392</v>
      </c>
      <c r="L22" s="164">
        <v>44393</v>
      </c>
      <c r="M22" s="165" t="s">
        <v>46</v>
      </c>
      <c r="N22" s="165" t="s">
        <v>100</v>
      </c>
      <c r="O22" s="146"/>
      <c r="P22" s="166">
        <v>0.99609999999999999</v>
      </c>
      <c r="Q22" s="146">
        <v>26000</v>
      </c>
      <c r="R22" s="168">
        <v>11963</v>
      </c>
      <c r="S22" s="169">
        <v>19.920000000000002</v>
      </c>
      <c r="T22" s="168">
        <v>4078.6614536386974</v>
      </c>
      <c r="U22" s="144"/>
      <c r="V22" s="146">
        <v>0.12</v>
      </c>
      <c r="W22" s="146">
        <v>0.3</v>
      </c>
      <c r="X22" s="146">
        <v>46.005413429312014</v>
      </c>
      <c r="Y22" s="146">
        <v>46.535443402445992</v>
      </c>
      <c r="Z22" s="170">
        <v>825130.37090809201</v>
      </c>
      <c r="AA22" s="171">
        <v>44386</v>
      </c>
      <c r="AB22" s="144"/>
      <c r="AC22" s="144"/>
    </row>
    <row r="23" spans="1:29" x14ac:dyDescent="0.25">
      <c r="A23" s="180"/>
      <c r="B23" s="160" t="s">
        <v>26</v>
      </c>
      <c r="C23" s="144" t="s">
        <v>42</v>
      </c>
      <c r="D23" s="165" t="s">
        <v>42</v>
      </c>
      <c r="E23" s="144" t="s">
        <v>43</v>
      </c>
      <c r="F23" s="161">
        <v>17596.051200000002</v>
      </c>
      <c r="G23" s="181">
        <v>17590</v>
      </c>
      <c r="H23" s="162">
        <v>-6.0512000000016997</v>
      </c>
      <c r="I23" s="144" t="s">
        <v>101</v>
      </c>
      <c r="J23" s="182" t="s">
        <v>30</v>
      </c>
      <c r="K23" s="164">
        <v>44392</v>
      </c>
      <c r="L23" s="164">
        <v>44393</v>
      </c>
      <c r="M23" s="165" t="s">
        <v>46</v>
      </c>
      <c r="N23" s="165" t="s">
        <v>100</v>
      </c>
      <c r="O23" s="146"/>
      <c r="P23" s="166">
        <v>0.99609999999999999</v>
      </c>
      <c r="Q23" s="146">
        <v>26000</v>
      </c>
      <c r="R23" s="168">
        <v>9663</v>
      </c>
      <c r="S23" s="169">
        <v>19.899999999999999</v>
      </c>
      <c r="T23" s="168">
        <v>4033.7099594779652</v>
      </c>
      <c r="U23" s="144"/>
      <c r="V23" s="146">
        <v>0.12</v>
      </c>
      <c r="W23" s="146">
        <v>0.3</v>
      </c>
      <c r="X23" s="146">
        <v>45.847899777399654</v>
      </c>
      <c r="Y23" s="146">
        <v>46.377218137802039</v>
      </c>
      <c r="Z23" s="170">
        <v>816055.90486633347</v>
      </c>
      <c r="AA23" s="171">
        <v>44386</v>
      </c>
      <c r="AB23" s="144"/>
      <c r="AC23" s="144"/>
    </row>
    <row r="24" spans="1:29" x14ac:dyDescent="0.25">
      <c r="A24" s="180"/>
      <c r="B24" s="144" t="s">
        <v>33</v>
      </c>
      <c r="C24" s="144" t="s">
        <v>34</v>
      </c>
      <c r="D24" s="165"/>
      <c r="E24" s="144">
        <v>250</v>
      </c>
      <c r="F24" s="161"/>
      <c r="G24" s="162"/>
      <c r="H24" s="162">
        <v>0</v>
      </c>
      <c r="I24" s="144"/>
      <c r="J24" s="144"/>
      <c r="K24" s="164"/>
      <c r="L24" s="164">
        <v>44393</v>
      </c>
      <c r="M24" s="165" t="s">
        <v>46</v>
      </c>
      <c r="N24" s="165"/>
      <c r="O24" s="146"/>
      <c r="P24" s="166"/>
      <c r="Q24" s="146"/>
      <c r="R24" s="146"/>
      <c r="S24" s="168"/>
      <c r="T24" s="168"/>
      <c r="U24" s="146">
        <v>1250</v>
      </c>
      <c r="V24" s="146"/>
      <c r="W24" s="146">
        <v>0.3</v>
      </c>
      <c r="X24" s="146" t="e">
        <v>#DIV/0!</v>
      </c>
      <c r="Y24" s="146" t="e">
        <v>#DIV/0!</v>
      </c>
      <c r="Z24" s="147" t="e">
        <v>#DIV/0!</v>
      </c>
      <c r="AA24" s="171"/>
      <c r="AB24" s="144"/>
      <c r="AC24" s="144"/>
    </row>
    <row r="25" spans="1:29" x14ac:dyDescent="0.25">
      <c r="A25" s="180"/>
      <c r="B25" s="160"/>
      <c r="C25" s="144"/>
      <c r="D25" s="165"/>
      <c r="E25" s="144"/>
      <c r="F25" s="161"/>
      <c r="G25" s="162"/>
      <c r="H25" s="162">
        <v>0</v>
      </c>
      <c r="I25" s="165"/>
      <c r="J25" s="144"/>
      <c r="K25" s="164"/>
      <c r="L25" s="164">
        <v>44394</v>
      </c>
      <c r="M25" s="165" t="s">
        <v>52</v>
      </c>
      <c r="N25" s="144"/>
      <c r="O25" s="146"/>
      <c r="P25" s="166"/>
      <c r="Q25" s="146"/>
      <c r="R25" s="146"/>
      <c r="S25" s="168"/>
      <c r="T25" s="168"/>
      <c r="U25" s="146"/>
      <c r="V25" s="146"/>
      <c r="W25" s="146"/>
      <c r="X25" s="146"/>
      <c r="Y25" s="146" t="e">
        <v>#DIV/0!</v>
      </c>
      <c r="Z25" s="147" t="e">
        <v>#DIV/0!</v>
      </c>
      <c r="AA25" s="171"/>
      <c r="AB25" s="144"/>
      <c r="AC25" s="144"/>
    </row>
    <row r="26" spans="1:29" ht="15.75" thickBot="1" x14ac:dyDescent="0.3">
      <c r="A26" s="185"/>
      <c r="B26" s="173"/>
      <c r="C26" s="148"/>
      <c r="D26" s="148"/>
      <c r="E26" s="148"/>
      <c r="F26" s="174"/>
      <c r="G26" s="174"/>
      <c r="H26" s="174"/>
      <c r="I26" s="151"/>
      <c r="J26" s="148"/>
      <c r="K26" s="152"/>
      <c r="L26" s="152"/>
      <c r="M26" s="148"/>
      <c r="N26" s="148"/>
      <c r="O26" s="153"/>
      <c r="P26" s="154"/>
      <c r="Q26" s="153"/>
      <c r="R26" s="153"/>
      <c r="S26" s="153"/>
      <c r="T26" s="153"/>
      <c r="U26" s="153"/>
      <c r="V26" s="153"/>
      <c r="W26" s="153"/>
      <c r="X26" s="153"/>
      <c r="Y26" s="153"/>
      <c r="Z26" s="157"/>
      <c r="AA26" s="158"/>
      <c r="AB26" s="144"/>
      <c r="AC26" s="144"/>
    </row>
    <row r="27" spans="1:29" x14ac:dyDescent="0.25">
      <c r="A27" s="186"/>
      <c r="B27" s="160" t="s">
        <v>33</v>
      </c>
      <c r="C27" s="144" t="s">
        <v>34</v>
      </c>
      <c r="D27" s="165"/>
      <c r="E27" s="144">
        <v>250</v>
      </c>
      <c r="F27" s="161"/>
      <c r="G27" s="162"/>
      <c r="H27" s="162">
        <v>0</v>
      </c>
      <c r="I27" s="144"/>
      <c r="J27" s="144"/>
      <c r="K27" s="164"/>
      <c r="L27" s="164">
        <v>44395</v>
      </c>
      <c r="M27" s="165" t="s">
        <v>57</v>
      </c>
      <c r="N27" s="165"/>
      <c r="O27" s="146"/>
      <c r="P27" s="166"/>
      <c r="Q27" s="172">
        <v>26000</v>
      </c>
      <c r="R27" s="146">
        <v>25150</v>
      </c>
      <c r="S27" s="168">
        <v>-10000</v>
      </c>
      <c r="T27" s="168" t="e">
        <v>#DIV/0!</v>
      </c>
      <c r="U27" s="146">
        <v>1250</v>
      </c>
      <c r="V27" s="146">
        <v>3600</v>
      </c>
      <c r="W27" s="146">
        <v>0.3</v>
      </c>
      <c r="X27" s="146" t="e">
        <v>#DIV/0!</v>
      </c>
      <c r="Y27" s="146" t="e">
        <v>#DIV/0!</v>
      </c>
      <c r="Z27" s="147" t="e">
        <v>#DIV/0!</v>
      </c>
      <c r="AA27" s="171"/>
      <c r="AB27" s="144"/>
      <c r="AC27" s="144"/>
    </row>
    <row r="28" spans="1:29" x14ac:dyDescent="0.25">
      <c r="A28" s="186"/>
      <c r="B28" s="144"/>
      <c r="C28" s="144"/>
      <c r="D28" s="165"/>
      <c r="E28" s="144"/>
      <c r="F28" s="161"/>
      <c r="G28" s="162"/>
      <c r="H28" s="162">
        <v>0</v>
      </c>
      <c r="I28" s="178"/>
      <c r="J28" s="144"/>
      <c r="K28" s="164"/>
      <c r="L28" s="164">
        <v>44396</v>
      </c>
      <c r="M28" s="165" t="s">
        <v>62</v>
      </c>
      <c r="N28" s="165"/>
      <c r="O28" s="146"/>
      <c r="P28" s="177"/>
      <c r="Q28" s="146"/>
      <c r="R28" s="146"/>
      <c r="S28" s="168"/>
      <c r="T28" s="168"/>
      <c r="U28" s="146"/>
      <c r="V28" s="146"/>
      <c r="W28" s="146"/>
      <c r="X28" s="146" t="e">
        <v>#DIV/0!</v>
      </c>
      <c r="Y28" s="146" t="e">
        <v>#DIV/0!</v>
      </c>
      <c r="Z28" s="170" t="e">
        <v>#DIV/0!</v>
      </c>
      <c r="AA28" s="171"/>
      <c r="AB28" s="144"/>
      <c r="AC28" s="144"/>
    </row>
    <row r="29" spans="1:29" x14ac:dyDescent="0.25">
      <c r="A29" s="186"/>
      <c r="B29" s="160" t="s">
        <v>26</v>
      </c>
      <c r="C29" s="144" t="s">
        <v>42</v>
      </c>
      <c r="D29" s="165" t="s">
        <v>42</v>
      </c>
      <c r="E29" s="144" t="s">
        <v>43</v>
      </c>
      <c r="F29" s="161">
        <v>18500</v>
      </c>
      <c r="G29" s="181">
        <v>18500</v>
      </c>
      <c r="H29" s="162">
        <v>0</v>
      </c>
      <c r="I29" s="144" t="s">
        <v>102</v>
      </c>
      <c r="J29" s="182"/>
      <c r="K29" s="164">
        <v>44396</v>
      </c>
      <c r="L29" s="164">
        <v>44397</v>
      </c>
      <c r="M29" s="165" t="s">
        <v>71</v>
      </c>
      <c r="N29" s="165" t="s">
        <v>103</v>
      </c>
      <c r="O29" s="146"/>
      <c r="P29" s="166">
        <v>1.0687</v>
      </c>
      <c r="Q29" s="146">
        <v>26000</v>
      </c>
      <c r="R29" s="184">
        <v>12000</v>
      </c>
      <c r="S29" s="169">
        <v>20.07</v>
      </c>
      <c r="T29" s="168">
        <v>4575.0590997295003</v>
      </c>
      <c r="U29" s="144"/>
      <c r="V29" s="146">
        <v>0.12</v>
      </c>
      <c r="W29" s="146">
        <v>0.3</v>
      </c>
      <c r="X29" s="146">
        <v>49.460098375454052</v>
      </c>
      <c r="Y29" s="146">
        <v>50.007398867331318</v>
      </c>
      <c r="Z29" s="170">
        <v>925136.87904562941</v>
      </c>
      <c r="AA29" s="171">
        <v>44390</v>
      </c>
      <c r="AB29" s="163"/>
      <c r="AC29" s="144" t="s">
        <v>42</v>
      </c>
    </row>
    <row r="30" spans="1:29" x14ac:dyDescent="0.25">
      <c r="A30" s="186"/>
      <c r="B30" s="160" t="s">
        <v>26</v>
      </c>
      <c r="C30" s="144" t="s">
        <v>42</v>
      </c>
      <c r="D30" s="165" t="s">
        <v>42</v>
      </c>
      <c r="E30" s="144" t="s">
        <v>43</v>
      </c>
      <c r="F30" s="161">
        <v>18500</v>
      </c>
      <c r="G30" s="181">
        <v>18500</v>
      </c>
      <c r="H30" s="162">
        <v>0</v>
      </c>
      <c r="I30" s="144" t="s">
        <v>104</v>
      </c>
      <c r="J30" s="182"/>
      <c r="K30" s="164">
        <v>44396</v>
      </c>
      <c r="L30" s="164">
        <v>44397</v>
      </c>
      <c r="M30" s="165" t="s">
        <v>71</v>
      </c>
      <c r="N30" s="165" t="s">
        <v>103</v>
      </c>
      <c r="O30" s="146"/>
      <c r="P30" s="166"/>
      <c r="Q30" s="146">
        <v>26000</v>
      </c>
      <c r="R30" s="184">
        <v>12000</v>
      </c>
      <c r="S30" s="169">
        <v>20.07</v>
      </c>
      <c r="T30" s="168">
        <v>201.1</v>
      </c>
      <c r="U30" s="144"/>
      <c r="V30" s="146">
        <v>0.12</v>
      </c>
      <c r="W30" s="146">
        <v>0.3</v>
      </c>
      <c r="X30" s="146">
        <v>2.1740540540540541</v>
      </c>
      <c r="Y30" s="146">
        <v>2.4849243243243242</v>
      </c>
      <c r="Z30" s="170">
        <v>45971.1</v>
      </c>
      <c r="AA30" s="171">
        <v>44390</v>
      </c>
      <c r="AB30" s="163"/>
      <c r="AC30" s="144" t="s">
        <v>42</v>
      </c>
    </row>
    <row r="31" spans="1:29" x14ac:dyDescent="0.25">
      <c r="A31" s="186"/>
      <c r="B31" s="160" t="s">
        <v>33</v>
      </c>
      <c r="C31" s="144" t="s">
        <v>34</v>
      </c>
      <c r="D31" s="165"/>
      <c r="E31" s="144">
        <v>200</v>
      </c>
      <c r="F31" s="161"/>
      <c r="G31" s="162"/>
      <c r="H31" s="162">
        <v>0</v>
      </c>
      <c r="I31" s="144"/>
      <c r="J31" s="144"/>
      <c r="K31" s="164"/>
      <c r="L31" s="164">
        <v>44397</v>
      </c>
      <c r="M31" s="165" t="s">
        <v>71</v>
      </c>
      <c r="N31" s="165"/>
      <c r="O31" s="146"/>
      <c r="P31" s="166"/>
      <c r="Q31" s="172">
        <v>26000</v>
      </c>
      <c r="R31" s="146">
        <v>20120</v>
      </c>
      <c r="S31" s="168">
        <v>-8000</v>
      </c>
      <c r="T31" s="168" t="e">
        <v>#DIV/0!</v>
      </c>
      <c r="U31" s="146">
        <v>1000</v>
      </c>
      <c r="V31" s="146">
        <v>3600</v>
      </c>
      <c r="W31" s="146">
        <v>0.3</v>
      </c>
      <c r="X31" s="146" t="e">
        <v>#DIV/0!</v>
      </c>
      <c r="Y31" s="146" t="e">
        <v>#DIV/0!</v>
      </c>
      <c r="Z31" s="147" t="e">
        <v>#DIV/0!</v>
      </c>
      <c r="AA31" s="171"/>
      <c r="AB31" s="144"/>
      <c r="AC31" s="144" t="s">
        <v>27</v>
      </c>
    </row>
    <row r="32" spans="1:29" x14ac:dyDescent="0.25">
      <c r="A32" s="186"/>
      <c r="B32" s="160" t="s">
        <v>26</v>
      </c>
      <c r="C32" s="144" t="s">
        <v>27</v>
      </c>
      <c r="D32" s="144" t="s">
        <v>27</v>
      </c>
      <c r="E32" s="144" t="s">
        <v>28</v>
      </c>
      <c r="F32" s="161">
        <v>18500</v>
      </c>
      <c r="G32" s="181">
        <v>18500</v>
      </c>
      <c r="H32" s="162">
        <v>0</v>
      </c>
      <c r="I32" s="144" t="s">
        <v>105</v>
      </c>
      <c r="J32" s="182"/>
      <c r="K32" s="164">
        <v>44397</v>
      </c>
      <c r="L32" s="164">
        <v>44398</v>
      </c>
      <c r="M32" s="165" t="s">
        <v>73</v>
      </c>
      <c r="N32" s="165" t="s">
        <v>106</v>
      </c>
      <c r="O32" s="146"/>
      <c r="P32" s="166"/>
      <c r="Q32" s="146">
        <v>26000</v>
      </c>
      <c r="R32" s="184">
        <v>12000</v>
      </c>
      <c r="S32" s="183">
        <v>20.5</v>
      </c>
      <c r="T32" s="168">
        <v>201.1</v>
      </c>
      <c r="U32" s="144"/>
      <c r="V32" s="146">
        <v>0.12</v>
      </c>
      <c r="W32" s="146">
        <v>0.3</v>
      </c>
      <c r="X32" s="146">
        <v>2.1740540540540541</v>
      </c>
      <c r="Y32" s="146">
        <v>2.4849243243243242</v>
      </c>
      <c r="Z32" s="147">
        <v>45971.1</v>
      </c>
      <c r="AA32" s="171"/>
      <c r="AB32" s="144"/>
      <c r="AC32" s="144" t="s">
        <v>27</v>
      </c>
    </row>
    <row r="33" spans="1:29" x14ac:dyDescent="0.25">
      <c r="A33" s="186"/>
      <c r="B33" s="160"/>
      <c r="C33" s="144"/>
      <c r="D33" s="165"/>
      <c r="E33" s="144"/>
      <c r="F33" s="161"/>
      <c r="G33" s="162"/>
      <c r="H33" s="162">
        <v>0</v>
      </c>
      <c r="I33" s="144"/>
      <c r="J33" s="144"/>
      <c r="K33" s="164"/>
      <c r="L33" s="164">
        <v>44398</v>
      </c>
      <c r="M33" s="165" t="s">
        <v>73</v>
      </c>
      <c r="N33" s="165"/>
      <c r="O33" s="146"/>
      <c r="P33" s="166"/>
      <c r="Q33" s="146"/>
      <c r="R33" s="146"/>
      <c r="S33" s="169"/>
      <c r="T33" s="168"/>
      <c r="U33" s="146"/>
      <c r="V33" s="146"/>
      <c r="W33" s="146">
        <v>0.3</v>
      </c>
      <c r="X33" s="146" t="e">
        <v>#DIV/0!</v>
      </c>
      <c r="Y33" s="146" t="e">
        <v>#DIV/0!</v>
      </c>
      <c r="Z33" s="147" t="e">
        <v>#DIV/0!</v>
      </c>
      <c r="AA33" s="171"/>
      <c r="AB33" s="163"/>
      <c r="AC33" s="144" t="s">
        <v>42</v>
      </c>
    </row>
    <row r="34" spans="1:29" x14ac:dyDescent="0.25">
      <c r="A34" s="186"/>
      <c r="B34" s="160" t="s">
        <v>26</v>
      </c>
      <c r="C34" s="144" t="s">
        <v>27</v>
      </c>
      <c r="D34" s="144" t="s">
        <v>27</v>
      </c>
      <c r="E34" s="144" t="s">
        <v>28</v>
      </c>
      <c r="F34" s="161">
        <v>18500</v>
      </c>
      <c r="G34" s="181">
        <v>18500</v>
      </c>
      <c r="H34" s="162">
        <v>0</v>
      </c>
      <c r="I34" s="144" t="s">
        <v>107</v>
      </c>
      <c r="J34" s="182"/>
      <c r="K34" s="164">
        <v>44398</v>
      </c>
      <c r="L34" s="164">
        <v>44399</v>
      </c>
      <c r="M34" s="165" t="s">
        <v>31</v>
      </c>
      <c r="N34" s="165" t="s">
        <v>108</v>
      </c>
      <c r="O34" s="146"/>
      <c r="P34" s="166"/>
      <c r="Q34" s="146">
        <v>26000</v>
      </c>
      <c r="R34" s="184">
        <v>12000</v>
      </c>
      <c r="S34" s="183">
        <v>20.5</v>
      </c>
      <c r="T34" s="168">
        <v>201.1</v>
      </c>
      <c r="U34" s="144"/>
      <c r="V34" s="146">
        <v>0.12</v>
      </c>
      <c r="W34" s="146">
        <v>0.3</v>
      </c>
      <c r="X34" s="146">
        <v>2.1740540540540541</v>
      </c>
      <c r="Y34" s="146">
        <v>2.4849243243243242</v>
      </c>
      <c r="Z34" s="170">
        <v>45971.1</v>
      </c>
      <c r="AA34" s="171"/>
      <c r="AB34" s="163"/>
      <c r="AC34" s="144" t="s">
        <v>42</v>
      </c>
    </row>
    <row r="35" spans="1:29" x14ac:dyDescent="0.25">
      <c r="A35" s="186"/>
      <c r="B35" s="160" t="s">
        <v>33</v>
      </c>
      <c r="C35" s="144" t="s">
        <v>34</v>
      </c>
      <c r="D35" s="165"/>
      <c r="E35" s="144">
        <v>250</v>
      </c>
      <c r="F35" s="161"/>
      <c r="G35" s="162"/>
      <c r="H35" s="162">
        <v>0</v>
      </c>
      <c r="I35" s="144"/>
      <c r="J35" s="144"/>
      <c r="K35" s="164"/>
      <c r="L35" s="164">
        <v>44399</v>
      </c>
      <c r="M35" s="165" t="s">
        <v>31</v>
      </c>
      <c r="N35" s="165"/>
      <c r="O35" s="146"/>
      <c r="P35" s="166"/>
      <c r="Q35" s="172">
        <v>26000</v>
      </c>
      <c r="R35" s="146">
        <v>25150</v>
      </c>
      <c r="S35" s="168">
        <v>-10000</v>
      </c>
      <c r="T35" s="168" t="e">
        <v>#DIV/0!</v>
      </c>
      <c r="U35" s="146">
        <v>1250</v>
      </c>
      <c r="V35" s="146">
        <v>3600</v>
      </c>
      <c r="W35" s="146">
        <v>0.3</v>
      </c>
      <c r="X35" s="146" t="e">
        <v>#DIV/0!</v>
      </c>
      <c r="Y35" s="146" t="e">
        <v>#DIV/0!</v>
      </c>
      <c r="Z35" s="147" t="e">
        <v>#DIV/0!</v>
      </c>
      <c r="AA35" s="171"/>
      <c r="AB35" s="179"/>
      <c r="AC35" s="144" t="s">
        <v>86</v>
      </c>
    </row>
    <row r="36" spans="1:29" x14ac:dyDescent="0.25">
      <c r="A36" s="186"/>
      <c r="B36" s="160" t="s">
        <v>26</v>
      </c>
      <c r="C36" s="144" t="s">
        <v>42</v>
      </c>
      <c r="D36" s="165" t="s">
        <v>42</v>
      </c>
      <c r="E36" s="144" t="s">
        <v>43</v>
      </c>
      <c r="F36" s="161">
        <v>18500</v>
      </c>
      <c r="G36" s="181">
        <v>18500</v>
      </c>
      <c r="H36" s="162">
        <v>0</v>
      </c>
      <c r="I36" s="144" t="s">
        <v>109</v>
      </c>
      <c r="J36" s="182"/>
      <c r="K36" s="164">
        <v>44399</v>
      </c>
      <c r="L36" s="164">
        <v>44400</v>
      </c>
      <c r="M36" s="165" t="s">
        <v>46</v>
      </c>
      <c r="N36" s="165" t="s">
        <v>110</v>
      </c>
      <c r="O36" s="146"/>
      <c r="P36" s="166"/>
      <c r="Q36" s="146">
        <v>26000</v>
      </c>
      <c r="R36" s="184">
        <v>12000</v>
      </c>
      <c r="S36" s="183">
        <v>20.5</v>
      </c>
      <c r="T36" s="168">
        <v>201.1</v>
      </c>
      <c r="U36" s="144"/>
      <c r="V36" s="146">
        <v>0.12</v>
      </c>
      <c r="W36" s="146">
        <v>0.3</v>
      </c>
      <c r="X36" s="146">
        <v>2.1740540540540541</v>
      </c>
      <c r="Y36" s="146">
        <v>2.4849243243243242</v>
      </c>
      <c r="Z36" s="170">
        <v>45971.1</v>
      </c>
      <c r="AA36" s="171"/>
      <c r="AB36" s="144"/>
      <c r="AC36" s="144"/>
    </row>
    <row r="37" spans="1:29" x14ac:dyDescent="0.25">
      <c r="A37" s="186"/>
      <c r="B37" s="160" t="s">
        <v>26</v>
      </c>
      <c r="C37" s="144" t="s">
        <v>42</v>
      </c>
      <c r="D37" s="165" t="s">
        <v>42</v>
      </c>
      <c r="E37" s="144" t="s">
        <v>43</v>
      </c>
      <c r="F37" s="161">
        <v>18500</v>
      </c>
      <c r="G37" s="181">
        <v>18500</v>
      </c>
      <c r="H37" s="162">
        <v>0</v>
      </c>
      <c r="I37" s="144" t="s">
        <v>111</v>
      </c>
      <c r="J37" s="182"/>
      <c r="K37" s="164">
        <v>44399</v>
      </c>
      <c r="L37" s="164">
        <v>44400</v>
      </c>
      <c r="M37" s="165" t="s">
        <v>46</v>
      </c>
      <c r="N37" s="165" t="s">
        <v>110</v>
      </c>
      <c r="O37" s="146"/>
      <c r="P37" s="166"/>
      <c r="Q37" s="146">
        <v>26000</v>
      </c>
      <c r="R37" s="184">
        <v>12000</v>
      </c>
      <c r="S37" s="183">
        <v>20.5</v>
      </c>
      <c r="T37" s="168">
        <v>201.1</v>
      </c>
      <c r="U37" s="144"/>
      <c r="V37" s="146">
        <v>0.12</v>
      </c>
      <c r="W37" s="146">
        <v>0.3</v>
      </c>
      <c r="X37" s="146">
        <v>2.1740540540540541</v>
      </c>
      <c r="Y37" s="146">
        <v>2.4849243243243242</v>
      </c>
      <c r="Z37" s="170">
        <v>45971.1</v>
      </c>
      <c r="AA37" s="171"/>
      <c r="AB37" s="144"/>
      <c r="AC37" s="144"/>
    </row>
    <row r="38" spans="1:29" x14ac:dyDescent="0.25">
      <c r="A38" s="186"/>
      <c r="B38" s="144" t="s">
        <v>33</v>
      </c>
      <c r="C38" s="144" t="s">
        <v>34</v>
      </c>
      <c r="D38" s="165"/>
      <c r="E38" s="144">
        <v>250</v>
      </c>
      <c r="F38" s="161"/>
      <c r="G38" s="162"/>
      <c r="H38" s="162">
        <v>0</v>
      </c>
      <c r="I38" s="144"/>
      <c r="J38" s="144"/>
      <c r="K38" s="164"/>
      <c r="L38" s="164">
        <v>44400</v>
      </c>
      <c r="M38" s="165" t="s">
        <v>46</v>
      </c>
      <c r="N38" s="165"/>
      <c r="O38" s="146"/>
      <c r="P38" s="166"/>
      <c r="Q38" s="146"/>
      <c r="R38" s="146"/>
      <c r="S38" s="168"/>
      <c r="T38" s="168"/>
      <c r="U38" s="146">
        <v>1250</v>
      </c>
      <c r="V38" s="146"/>
      <c r="W38" s="146">
        <v>0.3</v>
      </c>
      <c r="X38" s="146" t="e">
        <v>#DIV/0!</v>
      </c>
      <c r="Y38" s="146" t="e">
        <v>#DIV/0!</v>
      </c>
      <c r="Z38" s="147" t="e">
        <v>#DIV/0!</v>
      </c>
      <c r="AA38" s="171"/>
      <c r="AB38" s="144"/>
      <c r="AC38" s="144"/>
    </row>
    <row r="39" spans="1:29" x14ac:dyDescent="0.25">
      <c r="A39" s="186"/>
      <c r="B39" s="160"/>
      <c r="C39" s="144"/>
      <c r="D39" s="165"/>
      <c r="E39" s="144"/>
      <c r="F39" s="161"/>
      <c r="G39" s="162"/>
      <c r="H39" s="162"/>
      <c r="I39" s="165"/>
      <c r="J39" s="144"/>
      <c r="K39" s="164"/>
      <c r="L39" s="164">
        <v>44401</v>
      </c>
      <c r="M39" s="165" t="s">
        <v>52</v>
      </c>
      <c r="N39" s="144"/>
      <c r="O39" s="146"/>
      <c r="P39" s="166"/>
      <c r="Q39" s="146"/>
      <c r="R39" s="146"/>
      <c r="S39" s="168"/>
      <c r="T39" s="168"/>
      <c r="U39" s="146"/>
      <c r="V39" s="146"/>
      <c r="W39" s="146"/>
      <c r="X39" s="146"/>
      <c r="Y39" s="146"/>
      <c r="Z39" s="170"/>
      <c r="AA39" s="171"/>
      <c r="AB39" s="144"/>
      <c r="AC39" s="144"/>
    </row>
    <row r="40" spans="1:29" ht="15.75" thickBot="1" x14ac:dyDescent="0.3">
      <c r="A40" s="187"/>
      <c r="B40" s="173"/>
      <c r="C40" s="148"/>
      <c r="D40" s="148"/>
      <c r="E40" s="148"/>
      <c r="F40" s="174"/>
      <c r="G40" s="174"/>
      <c r="H40" s="174"/>
      <c r="I40" s="151"/>
      <c r="J40" s="148"/>
      <c r="K40" s="152"/>
      <c r="L40" s="152"/>
      <c r="M40" s="148"/>
      <c r="N40" s="148"/>
      <c r="O40" s="153"/>
      <c r="P40" s="154"/>
      <c r="Q40" s="153"/>
      <c r="R40" s="153"/>
      <c r="S40" s="153"/>
      <c r="T40" s="153"/>
      <c r="U40" s="153"/>
      <c r="V40" s="153"/>
      <c r="W40" s="153"/>
      <c r="X40" s="153"/>
      <c r="Y40" s="153"/>
      <c r="Z40" s="157"/>
      <c r="AA40" s="158"/>
      <c r="AB40" s="144"/>
      <c r="AC40" s="144"/>
    </row>
    <row r="41" spans="1:29" x14ac:dyDescent="0.25">
      <c r="A41" s="186"/>
      <c r="B41" s="160" t="s">
        <v>33</v>
      </c>
      <c r="C41" s="144" t="s">
        <v>34</v>
      </c>
      <c r="D41" s="165"/>
      <c r="E41" s="144">
        <v>250</v>
      </c>
      <c r="F41" s="161"/>
      <c r="G41" s="162"/>
      <c r="H41" s="162">
        <v>0</v>
      </c>
      <c r="I41" s="144"/>
      <c r="J41" s="144"/>
      <c r="K41" s="164"/>
      <c r="L41" s="164">
        <v>44381</v>
      </c>
      <c r="M41" s="165" t="s">
        <v>57</v>
      </c>
      <c r="N41" s="165"/>
      <c r="O41" s="146"/>
      <c r="P41" s="166"/>
      <c r="Q41" s="172">
        <v>26000</v>
      </c>
      <c r="R41" s="146">
        <v>25150</v>
      </c>
      <c r="S41" s="168">
        <v>-10000</v>
      </c>
      <c r="T41" s="168" t="e">
        <v>#DIV/0!</v>
      </c>
      <c r="U41" s="146">
        <v>1250</v>
      </c>
      <c r="V41" s="146">
        <v>3600</v>
      </c>
      <c r="W41" s="146">
        <v>0.3</v>
      </c>
      <c r="X41" s="146" t="e">
        <v>#DIV/0!</v>
      </c>
      <c r="Y41" s="146" t="e">
        <v>#DIV/0!</v>
      </c>
      <c r="Z41" s="147" t="e">
        <v>#DIV/0!</v>
      </c>
      <c r="AA41" s="171"/>
      <c r="AB41" s="144"/>
      <c r="AC41" s="144"/>
    </row>
    <row r="42" spans="1:29" x14ac:dyDescent="0.25">
      <c r="A42" s="186"/>
      <c r="B42" s="144"/>
      <c r="C42" s="144"/>
      <c r="D42" s="165"/>
      <c r="E42" s="144"/>
      <c r="F42" s="161"/>
      <c r="G42" s="162"/>
      <c r="H42" s="162">
        <v>0</v>
      </c>
      <c r="I42" s="178"/>
      <c r="J42" s="144"/>
      <c r="K42" s="164"/>
      <c r="L42" s="164">
        <v>44382</v>
      </c>
      <c r="M42" s="165" t="s">
        <v>62</v>
      </c>
      <c r="N42" s="165"/>
      <c r="O42" s="146"/>
      <c r="P42" s="177"/>
      <c r="Q42" s="146"/>
      <c r="R42" s="146"/>
      <c r="S42" s="168"/>
      <c r="T42" s="168"/>
      <c r="U42" s="146"/>
      <c r="V42" s="146"/>
      <c r="W42" s="146"/>
      <c r="X42" s="146" t="e">
        <v>#DIV/0!</v>
      </c>
      <c r="Y42" s="146" t="e">
        <v>#DIV/0!</v>
      </c>
      <c r="Z42" s="170" t="e">
        <v>#DIV/0!</v>
      </c>
      <c r="AA42" s="171"/>
      <c r="AB42" s="144"/>
      <c r="AC42" s="144"/>
    </row>
    <row r="43" spans="1:29" x14ac:dyDescent="0.25">
      <c r="A43" s="186"/>
      <c r="B43" s="160" t="s">
        <v>26</v>
      </c>
      <c r="C43" s="144" t="s">
        <v>42</v>
      </c>
      <c r="D43" s="165" t="s">
        <v>42</v>
      </c>
      <c r="E43" s="144" t="s">
        <v>43</v>
      </c>
      <c r="F43" s="161">
        <v>18500</v>
      </c>
      <c r="G43" s="181">
        <v>18500</v>
      </c>
      <c r="H43" s="162">
        <v>0</v>
      </c>
      <c r="I43" s="144"/>
      <c r="J43" s="182"/>
      <c r="K43" s="164">
        <v>44375</v>
      </c>
      <c r="L43" s="164">
        <v>44376</v>
      </c>
      <c r="M43" s="165" t="s">
        <v>71</v>
      </c>
      <c r="N43" s="165" t="s">
        <v>112</v>
      </c>
      <c r="O43" s="146"/>
      <c r="P43" s="166"/>
      <c r="Q43" s="146">
        <v>26000</v>
      </c>
      <c r="R43" s="184">
        <v>12000</v>
      </c>
      <c r="S43" s="183">
        <v>20.5</v>
      </c>
      <c r="T43" s="168">
        <v>201.1</v>
      </c>
      <c r="U43" s="144"/>
      <c r="V43" s="146">
        <v>0.12</v>
      </c>
      <c r="W43" s="146">
        <v>0.3</v>
      </c>
      <c r="X43" s="146">
        <v>2.1740540540540541</v>
      </c>
      <c r="Y43" s="146">
        <v>2.4849243243243242</v>
      </c>
      <c r="Z43" s="170">
        <v>45971.1</v>
      </c>
      <c r="AA43" s="171"/>
      <c r="AB43" s="163"/>
      <c r="AC43" s="144" t="s">
        <v>42</v>
      </c>
    </row>
    <row r="44" spans="1:29" x14ac:dyDescent="0.25">
      <c r="A44" s="186"/>
      <c r="B44" s="160" t="s">
        <v>26</v>
      </c>
      <c r="C44" s="144" t="s">
        <v>42</v>
      </c>
      <c r="D44" s="165" t="s">
        <v>42</v>
      </c>
      <c r="E44" s="144" t="s">
        <v>43</v>
      </c>
      <c r="F44" s="161">
        <v>18500</v>
      </c>
      <c r="G44" s="181">
        <v>18500</v>
      </c>
      <c r="H44" s="162">
        <v>0</v>
      </c>
      <c r="I44" s="144"/>
      <c r="J44" s="182"/>
      <c r="K44" s="164">
        <v>44375</v>
      </c>
      <c r="L44" s="164">
        <v>44376</v>
      </c>
      <c r="M44" s="165" t="s">
        <v>71</v>
      </c>
      <c r="N44" s="165" t="s">
        <v>112</v>
      </c>
      <c r="O44" s="146"/>
      <c r="P44" s="166"/>
      <c r="Q44" s="146">
        <v>26000</v>
      </c>
      <c r="R44" s="184">
        <v>12000</v>
      </c>
      <c r="S44" s="183">
        <v>20.5</v>
      </c>
      <c r="T44" s="168">
        <v>201.1</v>
      </c>
      <c r="U44" s="144"/>
      <c r="V44" s="146">
        <v>0.12</v>
      </c>
      <c r="W44" s="146">
        <v>0.3</v>
      </c>
      <c r="X44" s="146">
        <v>2.1740540540540541</v>
      </c>
      <c r="Y44" s="146">
        <v>2.4849243243243242</v>
      </c>
      <c r="Z44" s="170">
        <v>45971.1</v>
      </c>
      <c r="AA44" s="171"/>
      <c r="AB44" s="163"/>
      <c r="AC44" s="144" t="s">
        <v>42</v>
      </c>
    </row>
    <row r="45" spans="1:29" x14ac:dyDescent="0.25">
      <c r="A45" s="186"/>
      <c r="B45" s="160" t="s">
        <v>33</v>
      </c>
      <c r="C45" s="144" t="s">
        <v>34</v>
      </c>
      <c r="D45" s="165"/>
      <c r="E45" s="144">
        <v>200</v>
      </c>
      <c r="F45" s="161"/>
      <c r="G45" s="162"/>
      <c r="H45" s="162">
        <v>0</v>
      </c>
      <c r="I45" s="144"/>
      <c r="J45" s="144"/>
      <c r="K45" s="164"/>
      <c r="L45" s="164">
        <v>44376</v>
      </c>
      <c r="M45" s="165" t="s">
        <v>71</v>
      </c>
      <c r="N45" s="165"/>
      <c r="O45" s="146"/>
      <c r="P45" s="166"/>
      <c r="Q45" s="172">
        <v>26000</v>
      </c>
      <c r="R45" s="146">
        <v>20120</v>
      </c>
      <c r="S45" s="168">
        <v>-8000</v>
      </c>
      <c r="T45" s="168" t="e">
        <v>#DIV/0!</v>
      </c>
      <c r="U45" s="146">
        <v>1000</v>
      </c>
      <c r="V45" s="146">
        <v>3600</v>
      </c>
      <c r="W45" s="146">
        <v>0.3</v>
      </c>
      <c r="X45" s="146" t="e">
        <v>#DIV/0!</v>
      </c>
      <c r="Y45" s="146" t="e">
        <v>#DIV/0!</v>
      </c>
      <c r="Z45" s="147" t="e">
        <v>#DIV/0!</v>
      </c>
      <c r="AA45" s="171"/>
      <c r="AB45" s="144"/>
      <c r="AC45" s="144" t="s">
        <v>27</v>
      </c>
    </row>
    <row r="46" spans="1:29" x14ac:dyDescent="0.25">
      <c r="A46" s="186"/>
      <c r="B46" s="160" t="s">
        <v>26</v>
      </c>
      <c r="C46" s="144" t="s">
        <v>27</v>
      </c>
      <c r="D46" s="144" t="s">
        <v>27</v>
      </c>
      <c r="E46" s="144" t="s">
        <v>28</v>
      </c>
      <c r="F46" s="161">
        <v>18500</v>
      </c>
      <c r="G46" s="181">
        <v>18500</v>
      </c>
      <c r="H46" s="162">
        <v>0</v>
      </c>
      <c r="I46" s="144"/>
      <c r="J46" s="182"/>
      <c r="K46" s="164">
        <v>44376</v>
      </c>
      <c r="L46" s="164">
        <v>44377</v>
      </c>
      <c r="M46" s="165" t="s">
        <v>73</v>
      </c>
      <c r="N46" s="165" t="s">
        <v>96</v>
      </c>
      <c r="O46" s="146"/>
      <c r="P46" s="166"/>
      <c r="Q46" s="146">
        <v>26000</v>
      </c>
      <c r="R46" s="184">
        <v>12000</v>
      </c>
      <c r="S46" s="183">
        <v>20.5</v>
      </c>
      <c r="T46" s="168">
        <v>201.1</v>
      </c>
      <c r="U46" s="144"/>
      <c r="V46" s="146">
        <v>0.12</v>
      </c>
      <c r="W46" s="146">
        <v>0.3</v>
      </c>
      <c r="X46" s="146">
        <v>2.1740540540540541</v>
      </c>
      <c r="Y46" s="146">
        <v>2.4849243243243242</v>
      </c>
      <c r="Z46" s="147">
        <v>45971.1</v>
      </c>
      <c r="AA46" s="171"/>
      <c r="AB46" s="144"/>
      <c r="AC46" s="144" t="s">
        <v>27</v>
      </c>
    </row>
    <row r="47" spans="1:29" x14ac:dyDescent="0.25">
      <c r="A47" s="186"/>
      <c r="B47" s="160"/>
      <c r="C47" s="144"/>
      <c r="D47" s="165"/>
      <c r="E47" s="144"/>
      <c r="F47" s="161"/>
      <c r="G47" s="162"/>
      <c r="H47" s="162">
        <v>0</v>
      </c>
      <c r="I47" s="144"/>
      <c r="J47" s="144"/>
      <c r="K47" s="164"/>
      <c r="L47" s="164">
        <v>44377</v>
      </c>
      <c r="M47" s="165" t="s">
        <v>73</v>
      </c>
      <c r="N47" s="165"/>
      <c r="O47" s="146"/>
      <c r="P47" s="166"/>
      <c r="Q47" s="146"/>
      <c r="R47" s="146"/>
      <c r="S47" s="169"/>
      <c r="T47" s="168"/>
      <c r="U47" s="146"/>
      <c r="V47" s="146"/>
      <c r="W47" s="146">
        <v>0.3</v>
      </c>
      <c r="X47" s="146" t="e">
        <v>#DIV/0!</v>
      </c>
      <c r="Y47" s="146" t="e">
        <v>#DIV/0!</v>
      </c>
      <c r="Z47" s="147" t="e">
        <v>#DIV/0!</v>
      </c>
      <c r="AA47" s="171"/>
      <c r="AB47" s="163"/>
      <c r="AC47" s="144" t="s">
        <v>42</v>
      </c>
    </row>
    <row r="48" spans="1:29" x14ac:dyDescent="0.25">
      <c r="A48" s="186"/>
      <c r="B48" s="160" t="s">
        <v>26</v>
      </c>
      <c r="C48" s="144" t="s">
        <v>27</v>
      </c>
      <c r="D48" s="144" t="s">
        <v>27</v>
      </c>
      <c r="E48" s="144" t="s">
        <v>28</v>
      </c>
      <c r="F48" s="161">
        <v>18500</v>
      </c>
      <c r="G48" s="181">
        <v>18500</v>
      </c>
      <c r="H48" s="162">
        <v>0</v>
      </c>
      <c r="I48" s="144"/>
      <c r="J48" s="182"/>
      <c r="K48" s="164">
        <v>44377</v>
      </c>
      <c r="L48" s="164">
        <v>44378</v>
      </c>
      <c r="M48" s="165" t="s">
        <v>31</v>
      </c>
      <c r="N48" s="165" t="s">
        <v>98</v>
      </c>
      <c r="O48" s="146"/>
      <c r="P48" s="166"/>
      <c r="Q48" s="146">
        <v>26000</v>
      </c>
      <c r="R48" s="184">
        <v>12000</v>
      </c>
      <c r="S48" s="183">
        <v>20.5</v>
      </c>
      <c r="T48" s="168">
        <v>201.1</v>
      </c>
      <c r="U48" s="144"/>
      <c r="V48" s="146">
        <v>0.12</v>
      </c>
      <c r="W48" s="146">
        <v>0.3</v>
      </c>
      <c r="X48" s="146">
        <v>2.1740540540540541</v>
      </c>
      <c r="Y48" s="146">
        <v>2.4849243243243242</v>
      </c>
      <c r="Z48" s="170">
        <v>45971.1</v>
      </c>
      <c r="AA48" s="171"/>
      <c r="AB48" s="163"/>
      <c r="AC48" s="144" t="s">
        <v>42</v>
      </c>
    </row>
    <row r="49" spans="1:29" x14ac:dyDescent="0.25">
      <c r="A49" s="186"/>
      <c r="B49" s="160" t="s">
        <v>33</v>
      </c>
      <c r="C49" s="144" t="s">
        <v>34</v>
      </c>
      <c r="D49" s="165"/>
      <c r="E49" s="144">
        <v>250</v>
      </c>
      <c r="F49" s="161"/>
      <c r="G49" s="162"/>
      <c r="H49" s="162">
        <v>0</v>
      </c>
      <c r="I49" s="144"/>
      <c r="J49" s="144"/>
      <c r="K49" s="164"/>
      <c r="L49" s="164">
        <v>44378</v>
      </c>
      <c r="M49" s="165" t="s">
        <v>31</v>
      </c>
      <c r="N49" s="165"/>
      <c r="O49" s="146"/>
      <c r="P49" s="166"/>
      <c r="Q49" s="172">
        <v>26000</v>
      </c>
      <c r="R49" s="146">
        <v>25150</v>
      </c>
      <c r="S49" s="168">
        <v>-10000</v>
      </c>
      <c r="T49" s="168" t="e">
        <v>#DIV/0!</v>
      </c>
      <c r="U49" s="146">
        <v>1250</v>
      </c>
      <c r="V49" s="146">
        <v>3600</v>
      </c>
      <c r="W49" s="146">
        <v>0.3</v>
      </c>
      <c r="X49" s="146" t="e">
        <v>#DIV/0!</v>
      </c>
      <c r="Y49" s="146" t="e">
        <v>#DIV/0!</v>
      </c>
      <c r="Z49" s="147" t="e">
        <v>#DIV/0!</v>
      </c>
      <c r="AA49" s="171"/>
      <c r="AB49" s="179"/>
      <c r="AC49" s="144" t="s">
        <v>86</v>
      </c>
    </row>
    <row r="50" spans="1:29" x14ac:dyDescent="0.25">
      <c r="A50" s="186"/>
      <c r="B50" s="160" t="s">
        <v>26</v>
      </c>
      <c r="C50" s="144" t="s">
        <v>42</v>
      </c>
      <c r="D50" s="165" t="s">
        <v>42</v>
      </c>
      <c r="E50" s="144" t="s">
        <v>43</v>
      </c>
      <c r="F50" s="161">
        <v>18500</v>
      </c>
      <c r="G50" s="181">
        <v>18500</v>
      </c>
      <c r="H50" s="162">
        <v>0</v>
      </c>
      <c r="I50" s="144"/>
      <c r="J50" s="182"/>
      <c r="K50" s="164">
        <v>44378</v>
      </c>
      <c r="L50" s="164">
        <v>44379</v>
      </c>
      <c r="M50" s="165" t="s">
        <v>46</v>
      </c>
      <c r="N50" s="165" t="s">
        <v>47</v>
      </c>
      <c r="O50" s="146"/>
      <c r="P50" s="166"/>
      <c r="Q50" s="146">
        <v>26000</v>
      </c>
      <c r="R50" s="184">
        <v>12000</v>
      </c>
      <c r="S50" s="183">
        <v>20.5</v>
      </c>
      <c r="T50" s="168">
        <v>201.1</v>
      </c>
      <c r="U50" s="144"/>
      <c r="V50" s="146">
        <v>0.12</v>
      </c>
      <c r="W50" s="146">
        <v>0.3</v>
      </c>
      <c r="X50" s="146">
        <v>2.1740540540540541</v>
      </c>
      <c r="Y50" s="146">
        <v>2.4849243243243242</v>
      </c>
      <c r="Z50" s="170">
        <v>45971.1</v>
      </c>
      <c r="AA50" s="171"/>
      <c r="AB50" s="144"/>
      <c r="AC50" s="144"/>
    </row>
    <row r="51" spans="1:29" x14ac:dyDescent="0.25">
      <c r="A51" s="186"/>
      <c r="B51" s="160" t="s">
        <v>26</v>
      </c>
      <c r="C51" s="144" t="s">
        <v>42</v>
      </c>
      <c r="D51" s="165" t="s">
        <v>42</v>
      </c>
      <c r="E51" s="144" t="s">
        <v>43</v>
      </c>
      <c r="F51" s="161">
        <v>18500</v>
      </c>
      <c r="G51" s="181">
        <v>18500</v>
      </c>
      <c r="H51" s="162">
        <v>0</v>
      </c>
      <c r="I51" s="144"/>
      <c r="J51" s="182"/>
      <c r="K51" s="164">
        <v>44378</v>
      </c>
      <c r="L51" s="164">
        <v>44379</v>
      </c>
      <c r="M51" s="165" t="s">
        <v>46</v>
      </c>
      <c r="N51" s="165" t="s">
        <v>47</v>
      </c>
      <c r="O51" s="146"/>
      <c r="P51" s="166"/>
      <c r="Q51" s="146">
        <v>26000</v>
      </c>
      <c r="R51" s="184">
        <v>12000</v>
      </c>
      <c r="S51" s="183">
        <v>20.5</v>
      </c>
      <c r="T51" s="168">
        <v>201.1</v>
      </c>
      <c r="U51" s="144"/>
      <c r="V51" s="146">
        <v>0.12</v>
      </c>
      <c r="W51" s="146">
        <v>0.3</v>
      </c>
      <c r="X51" s="146">
        <v>2.1740540540540541</v>
      </c>
      <c r="Y51" s="146">
        <v>2.4849243243243242</v>
      </c>
      <c r="Z51" s="170">
        <v>45971.1</v>
      </c>
      <c r="AA51" s="171"/>
      <c r="AB51" s="144"/>
      <c r="AC51" s="144"/>
    </row>
    <row r="52" spans="1:29" x14ac:dyDescent="0.25">
      <c r="A52" s="186"/>
      <c r="B52" s="144" t="s">
        <v>33</v>
      </c>
      <c r="C52" s="144" t="s">
        <v>34</v>
      </c>
      <c r="D52" s="165"/>
      <c r="E52" s="144">
        <v>250</v>
      </c>
      <c r="F52" s="161"/>
      <c r="G52" s="162"/>
      <c r="H52" s="162">
        <v>0</v>
      </c>
      <c r="I52" s="144"/>
      <c r="J52" s="144"/>
      <c r="K52" s="164"/>
      <c r="L52" s="164">
        <v>44379</v>
      </c>
      <c r="M52" s="165" t="s">
        <v>46</v>
      </c>
      <c r="N52" s="165"/>
      <c r="O52" s="146"/>
      <c r="P52" s="166"/>
      <c r="Q52" s="146"/>
      <c r="R52" s="146"/>
      <c r="S52" s="168"/>
      <c r="T52" s="168"/>
      <c r="U52" s="146">
        <v>1250</v>
      </c>
      <c r="V52" s="146"/>
      <c r="W52" s="146">
        <v>0.3</v>
      </c>
      <c r="X52" s="146" t="e">
        <v>#DIV/0!</v>
      </c>
      <c r="Y52" s="146" t="e">
        <v>#DIV/0!</v>
      </c>
      <c r="Z52" s="147" t="e">
        <v>#DIV/0!</v>
      </c>
      <c r="AA52" s="171"/>
      <c r="AB52" s="144"/>
      <c r="AC52" s="144"/>
    </row>
    <row r="53" spans="1:29" x14ac:dyDescent="0.25">
      <c r="A53" s="186"/>
      <c r="B53" s="160"/>
      <c r="C53" s="144"/>
      <c r="D53" s="165"/>
      <c r="E53" s="144"/>
      <c r="F53" s="161"/>
      <c r="G53" s="162"/>
      <c r="H53" s="162"/>
      <c r="I53" s="165"/>
      <c r="J53" s="144"/>
      <c r="K53" s="164"/>
      <c r="L53" s="164">
        <v>44380</v>
      </c>
      <c r="M53" s="165" t="s">
        <v>52</v>
      </c>
      <c r="N53" s="144"/>
      <c r="O53" s="146"/>
      <c r="P53" s="166"/>
      <c r="Q53" s="146"/>
      <c r="R53" s="146"/>
      <c r="S53" s="168"/>
      <c r="T53" s="168"/>
      <c r="U53" s="146"/>
      <c r="V53" s="146"/>
      <c r="W53" s="146"/>
      <c r="X53" s="146"/>
      <c r="Y53" s="146"/>
      <c r="Z53" s="170"/>
      <c r="AA53" s="171"/>
      <c r="AB53" s="144"/>
      <c r="AC53" s="144"/>
    </row>
    <row r="54" spans="1:29" ht="15.75" thickBot="1" x14ac:dyDescent="0.3">
      <c r="A54" s="187"/>
      <c r="B54" s="173"/>
      <c r="C54" s="148"/>
      <c r="D54" s="148"/>
      <c r="E54" s="148"/>
      <c r="F54" s="174"/>
      <c r="G54" s="174"/>
      <c r="H54" s="174"/>
      <c r="I54" s="151"/>
      <c r="J54" s="148"/>
      <c r="K54" s="152"/>
      <c r="L54" s="152"/>
      <c r="M54" s="148"/>
      <c r="N54" s="148"/>
      <c r="O54" s="153"/>
      <c r="P54" s="154"/>
      <c r="Q54" s="153"/>
      <c r="R54" s="153"/>
      <c r="S54" s="153"/>
      <c r="T54" s="153"/>
      <c r="U54" s="153"/>
      <c r="V54" s="153"/>
      <c r="W54" s="153"/>
      <c r="X54" s="153"/>
      <c r="Y54" s="153"/>
      <c r="Z54" s="157"/>
      <c r="AA54" s="158"/>
      <c r="AB54" s="144"/>
      <c r="AC54" s="144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642C-DACD-49E2-9E25-1C45A7C5A345}">
  <sheetPr>
    <tabColor rgb="FFC00000"/>
  </sheetPr>
  <dimension ref="A2:F17"/>
  <sheetViews>
    <sheetView tabSelected="1" workbookViewId="0">
      <selection activeCell="E23" sqref="E23"/>
    </sheetView>
  </sheetViews>
  <sheetFormatPr baseColWidth="10" defaultRowHeight="15" x14ac:dyDescent="0.25"/>
  <cols>
    <col min="1" max="1" width="7" style="144" customWidth="1"/>
    <col min="2" max="2" width="14.28515625" customWidth="1"/>
    <col min="3" max="3" width="27.7109375" customWidth="1"/>
    <col min="5" max="5" width="34.140625" customWidth="1"/>
  </cols>
  <sheetData>
    <row r="2" spans="2:6" ht="15.75" thickBot="1" x14ac:dyDescent="0.3"/>
    <row r="3" spans="2:6" ht="56.25" x14ac:dyDescent="0.3">
      <c r="C3" s="189" t="s">
        <v>138</v>
      </c>
      <c r="E3" s="190" t="s">
        <v>139</v>
      </c>
    </row>
    <row r="4" spans="2:6" ht="19.5" thickBot="1" x14ac:dyDescent="0.35">
      <c r="C4" s="59" t="s">
        <v>137</v>
      </c>
      <c r="D4" s="58"/>
      <c r="E4" s="60" t="s">
        <v>137</v>
      </c>
    </row>
    <row r="6" spans="2:6" ht="18.75" x14ac:dyDescent="0.3">
      <c r="C6" s="49">
        <v>9602407.9800000004</v>
      </c>
      <c r="E6" s="49">
        <v>10692163.779999999</v>
      </c>
    </row>
    <row r="7" spans="2:6" ht="18.75" x14ac:dyDescent="0.3">
      <c r="C7" s="49"/>
    </row>
    <row r="8" spans="2:6" ht="18.75" x14ac:dyDescent="0.3">
      <c r="C8" s="49"/>
    </row>
    <row r="9" spans="2:6" ht="19.5" thickBot="1" x14ac:dyDescent="0.35">
      <c r="C9" s="49"/>
    </row>
    <row r="10" spans="2:6" ht="18.75" x14ac:dyDescent="0.3">
      <c r="C10" s="61" t="s">
        <v>122</v>
      </c>
      <c r="E10" s="63" t="s">
        <v>123</v>
      </c>
    </row>
    <row r="11" spans="2:6" ht="19.5" thickBot="1" x14ac:dyDescent="0.35">
      <c r="C11" s="62" t="s">
        <v>121</v>
      </c>
      <c r="E11" s="64" t="s">
        <v>121</v>
      </c>
    </row>
    <row r="12" spans="2:6" ht="18.75" x14ac:dyDescent="0.3">
      <c r="C12" s="49"/>
    </row>
    <row r="13" spans="2:6" ht="18.75" x14ac:dyDescent="0.3">
      <c r="B13" s="75" t="s">
        <v>124</v>
      </c>
      <c r="C13" s="66">
        <f>1815176.9+2337044.78</f>
        <v>4152221.6799999997</v>
      </c>
      <c r="E13" s="67">
        <v>762525.06</v>
      </c>
      <c r="F13" s="65" t="s">
        <v>124</v>
      </c>
    </row>
    <row r="14" spans="2:6" ht="18.75" x14ac:dyDescent="0.3">
      <c r="B14" s="75" t="s">
        <v>125</v>
      </c>
      <c r="C14" s="66">
        <v>724154.79</v>
      </c>
      <c r="E14" s="67">
        <v>960756.42</v>
      </c>
      <c r="F14" s="65" t="s">
        <v>125</v>
      </c>
    </row>
    <row r="15" spans="2:6" ht="18.75" x14ac:dyDescent="0.3">
      <c r="B15" s="75" t="s">
        <v>126</v>
      </c>
      <c r="C15" s="66">
        <v>6534275.6200000001</v>
      </c>
      <c r="E15" s="67">
        <f>4198410.8+3449140.8</f>
        <v>7647551.5999999996</v>
      </c>
      <c r="F15" s="65" t="s">
        <v>126</v>
      </c>
    </row>
    <row r="16" spans="2:6" ht="19.5" thickBot="1" x14ac:dyDescent="0.35">
      <c r="B16" s="75"/>
      <c r="C16" s="3">
        <v>0</v>
      </c>
      <c r="E16" s="68">
        <v>0</v>
      </c>
    </row>
    <row r="17" spans="2:6" ht="19.5" thickBot="1" x14ac:dyDescent="0.35">
      <c r="B17" s="75" t="s">
        <v>127</v>
      </c>
      <c r="C17" s="69">
        <f>SUM(C13:C16)</f>
        <v>11410652.09</v>
      </c>
      <c r="E17" s="69">
        <f>SUM(E13:E16)</f>
        <v>9370833.0800000001</v>
      </c>
      <c r="F17" s="70" t="s">
        <v>127</v>
      </c>
    </row>
  </sheetData>
  <pageMargins left="0.31" right="0.13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6E15-2554-4FBD-B62C-AEE9A5637B8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COMPRAS     JULIO   2021    </vt:lpstr>
      <vt:lpstr>Hoja2</vt:lpstr>
      <vt:lpstr>BANCOS N L P </vt:lpstr>
      <vt:lpstr>ALMACEN     2021   </vt:lpstr>
      <vt:lpstr>BANCOS ODELPA </vt:lpstr>
      <vt:lpstr>OBRADOR  JULIO  2021  </vt:lpstr>
      <vt:lpstr>CONCENTRADO   COMPRAS &amp; BANCOS 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cortes</dc:creator>
  <cp:lastModifiedBy>ROUSS</cp:lastModifiedBy>
  <cp:lastPrinted>2021-07-15T20:27:14Z</cp:lastPrinted>
  <dcterms:created xsi:type="dcterms:W3CDTF">2021-07-14T20:36:27Z</dcterms:created>
  <dcterms:modified xsi:type="dcterms:W3CDTF">2021-07-15T20:40:43Z</dcterms:modified>
</cp:coreProperties>
</file>