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6305" windowHeight="10515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7" i="1" l="1"/>
  <c r="H87" i="1"/>
  <c r="F87" i="1"/>
  <c r="E87" i="1"/>
  <c r="S87" i="1" s="1"/>
  <c r="Y86" i="1"/>
  <c r="Z86" i="1" s="1"/>
  <c r="X86" i="1"/>
  <c r="H86" i="1"/>
  <c r="Y85" i="1"/>
  <c r="Z85" i="1" s="1"/>
  <c r="X85" i="1"/>
  <c r="H85" i="1"/>
  <c r="Y84" i="1"/>
  <c r="Z84" i="1" s="1"/>
  <c r="X84" i="1"/>
  <c r="H84" i="1"/>
  <c r="Y83" i="1"/>
  <c r="X83" i="1"/>
  <c r="H83" i="1"/>
  <c r="U82" i="1"/>
  <c r="S82" i="1"/>
  <c r="R82" i="1"/>
  <c r="X82" i="1" s="1"/>
  <c r="T82" i="1" s="1"/>
  <c r="H82" i="1"/>
  <c r="X81" i="1"/>
  <c r="T81" i="1" s="1"/>
  <c r="Y81" i="1" s="1"/>
  <c r="Z81" i="1" s="1"/>
  <c r="P81" i="1"/>
  <c r="F81" i="1"/>
  <c r="H81" i="1" s="1"/>
  <c r="AB80" i="1"/>
  <c r="U80" i="1"/>
  <c r="S80" i="1"/>
  <c r="R80" i="1"/>
  <c r="H80" i="1"/>
  <c r="X79" i="1"/>
  <c r="T79" i="1" s="1"/>
  <c r="R79" i="1"/>
  <c r="P79" i="1"/>
  <c r="Y79" i="1" s="1"/>
  <c r="Z79" i="1" s="1"/>
  <c r="H79" i="1"/>
  <c r="F79" i="1"/>
  <c r="Y78" i="1"/>
  <c r="Z78" i="1" s="1"/>
  <c r="X78" i="1"/>
  <c r="H78" i="1"/>
  <c r="X77" i="1"/>
  <c r="T77" i="1" s="1"/>
  <c r="Y77" i="1" s="1"/>
  <c r="Z77" i="1" s="1"/>
  <c r="P77" i="1"/>
  <c r="F77" i="1"/>
  <c r="H77" i="1" s="1"/>
  <c r="U76" i="1"/>
  <c r="S76" i="1"/>
  <c r="R76" i="1"/>
  <c r="H76" i="1"/>
  <c r="X75" i="1"/>
  <c r="T75" i="1"/>
  <c r="P75" i="1"/>
  <c r="Y75" i="1" s="1"/>
  <c r="Z75" i="1" s="1"/>
  <c r="F75" i="1"/>
  <c r="H75" i="1" s="1"/>
  <c r="Z74" i="1"/>
  <c r="Y74" i="1"/>
  <c r="H74" i="1"/>
  <c r="Y73" i="1"/>
  <c r="Z73" i="1" s="1"/>
  <c r="H73" i="1"/>
  <c r="Y72" i="1"/>
  <c r="Z72" i="1" s="1"/>
  <c r="H72" i="1"/>
  <c r="Z71" i="1"/>
  <c r="Y71" i="1"/>
  <c r="H71" i="1"/>
  <c r="Z70" i="1"/>
  <c r="Y70" i="1"/>
  <c r="H70" i="1"/>
  <c r="P69" i="1"/>
  <c r="X69" i="1" s="1"/>
  <c r="T69" i="1" s="1"/>
  <c r="Y69" i="1" s="1"/>
  <c r="Z69" i="1" s="1"/>
  <c r="H69" i="1"/>
  <c r="F69" i="1"/>
  <c r="Y68" i="1"/>
  <c r="Z68" i="1" s="1"/>
  <c r="X68" i="1"/>
  <c r="H68" i="1"/>
  <c r="Y67" i="1"/>
  <c r="Z67" i="1" s="1"/>
  <c r="X67" i="1"/>
  <c r="H67" i="1"/>
  <c r="Y66" i="1"/>
  <c r="Z66" i="1" s="1"/>
  <c r="X66" i="1"/>
  <c r="H66" i="1"/>
  <c r="Y65" i="1"/>
  <c r="Z65" i="1" s="1"/>
  <c r="X65" i="1"/>
  <c r="H65" i="1"/>
  <c r="Y64" i="1"/>
  <c r="Z64" i="1" s="1"/>
  <c r="X64" i="1"/>
  <c r="H64" i="1"/>
  <c r="Y63" i="1"/>
  <c r="Z63" i="1" s="1"/>
  <c r="X63" i="1"/>
  <c r="H63" i="1"/>
  <c r="Y62" i="1"/>
  <c r="Z62" i="1" s="1"/>
  <c r="X62" i="1"/>
  <c r="H62" i="1"/>
  <c r="Y61" i="1"/>
  <c r="Z61" i="1" s="1"/>
  <c r="X61" i="1"/>
  <c r="H61" i="1"/>
  <c r="Y60" i="1"/>
  <c r="Z60" i="1" s="1"/>
  <c r="X60" i="1"/>
  <c r="H60" i="1"/>
  <c r="Y59" i="1"/>
  <c r="Z59" i="1" s="1"/>
  <c r="X59" i="1"/>
  <c r="H59" i="1"/>
  <c r="Y58" i="1"/>
  <c r="Z58" i="1" s="1"/>
  <c r="X58" i="1"/>
  <c r="H58" i="1"/>
  <c r="Y56" i="1"/>
  <c r="Z56" i="1" s="1"/>
  <c r="X56" i="1"/>
  <c r="H56" i="1"/>
  <c r="Y55" i="1"/>
  <c r="Z55" i="1" s="1"/>
  <c r="X55" i="1"/>
  <c r="H55" i="1"/>
  <c r="R54" i="1"/>
  <c r="H54" i="1"/>
  <c r="F54" i="1"/>
  <c r="E54" i="1"/>
  <c r="U54" i="1" s="1"/>
  <c r="P53" i="1"/>
  <c r="H53" i="1"/>
  <c r="F53" i="1"/>
  <c r="P52" i="1"/>
  <c r="X52" i="1" s="1"/>
  <c r="T52" i="1" s="1"/>
  <c r="Y52" i="1" s="1"/>
  <c r="Z52" i="1" s="1"/>
  <c r="H52" i="1"/>
  <c r="F52" i="1"/>
  <c r="X51" i="1"/>
  <c r="T51" i="1" s="1"/>
  <c r="Y51" i="1" s="1"/>
  <c r="Z51" i="1" s="1"/>
  <c r="P51" i="1"/>
  <c r="F51" i="1"/>
  <c r="H51" i="1" s="1"/>
  <c r="Z50" i="1"/>
  <c r="Y50" i="1"/>
  <c r="X50" i="1"/>
  <c r="H50" i="1"/>
  <c r="Z49" i="1"/>
  <c r="Y49" i="1"/>
  <c r="X49" i="1"/>
  <c r="H49" i="1"/>
  <c r="AB48" i="1"/>
  <c r="X48" i="1"/>
  <c r="T48" i="1" s="1"/>
  <c r="Y48" i="1" s="1"/>
  <c r="Z48" i="1" s="1"/>
  <c r="P48" i="1"/>
  <c r="F48" i="1"/>
  <c r="H48" i="1" s="1"/>
  <c r="U47" i="1"/>
  <c r="R47" i="1"/>
  <c r="H47" i="1"/>
  <c r="F47" i="1"/>
  <c r="E47" i="1"/>
  <c r="S47" i="1" s="1"/>
  <c r="Y46" i="1"/>
  <c r="Z46" i="1" s="1"/>
  <c r="X46" i="1"/>
  <c r="H46" i="1"/>
  <c r="Y45" i="1"/>
  <c r="Z45" i="1" s="1"/>
  <c r="X45" i="1"/>
  <c r="H45" i="1"/>
  <c r="Y44" i="1"/>
  <c r="Z44" i="1" s="1"/>
  <c r="X44" i="1"/>
  <c r="H44" i="1"/>
  <c r="P43" i="1"/>
  <c r="X43" i="1" s="1"/>
  <c r="T43" i="1" s="1"/>
  <c r="Y43" i="1" s="1"/>
  <c r="Z43" i="1" s="1"/>
  <c r="H43" i="1"/>
  <c r="F43" i="1"/>
  <c r="X42" i="1"/>
  <c r="T42" i="1" s="1"/>
  <c r="Y42" i="1" s="1"/>
  <c r="Z42" i="1" s="1"/>
  <c r="P42" i="1"/>
  <c r="F42" i="1"/>
  <c r="H42" i="1" s="1"/>
  <c r="U41" i="1"/>
  <c r="R41" i="1"/>
  <c r="H41" i="1"/>
  <c r="F41" i="1"/>
  <c r="E41" i="1"/>
  <c r="S41" i="1" s="1"/>
  <c r="Y40" i="1"/>
  <c r="Z40" i="1" s="1"/>
  <c r="X40" i="1"/>
  <c r="H40" i="1"/>
  <c r="Y38" i="1"/>
  <c r="Z38" i="1" s="1"/>
  <c r="X38" i="1"/>
  <c r="H38" i="1"/>
  <c r="Y37" i="1"/>
  <c r="Z37" i="1" s="1"/>
  <c r="X37" i="1"/>
  <c r="H37" i="1"/>
  <c r="P36" i="1"/>
  <c r="X36" i="1" s="1"/>
  <c r="T36" i="1" s="1"/>
  <c r="Y36" i="1" s="1"/>
  <c r="Z36" i="1" s="1"/>
  <c r="H36" i="1"/>
  <c r="F36" i="1"/>
  <c r="R35" i="1"/>
  <c r="H35" i="1"/>
  <c r="F35" i="1"/>
  <c r="E35" i="1"/>
  <c r="U35" i="1" s="1"/>
  <c r="P34" i="1"/>
  <c r="H34" i="1"/>
  <c r="F34" i="1"/>
  <c r="Y33" i="1"/>
  <c r="Z33" i="1" s="1"/>
  <c r="X33" i="1"/>
  <c r="H33" i="1"/>
  <c r="X32" i="1"/>
  <c r="T32" i="1" s="1"/>
  <c r="Y32" i="1" s="1"/>
  <c r="Z32" i="1" s="1"/>
  <c r="P32" i="1"/>
  <c r="H32" i="1"/>
  <c r="F32" i="1"/>
  <c r="U31" i="1"/>
  <c r="R31" i="1"/>
  <c r="H31" i="1"/>
  <c r="F31" i="1"/>
  <c r="E31" i="1"/>
  <c r="S31" i="1" s="1"/>
  <c r="AB30" i="1"/>
  <c r="P30" i="1"/>
  <c r="F30" i="1"/>
  <c r="H30" i="1" s="1"/>
  <c r="P29" i="1"/>
  <c r="H29" i="1"/>
  <c r="F29" i="1"/>
  <c r="Y28" i="1"/>
  <c r="Z28" i="1" s="1"/>
  <c r="X28" i="1"/>
  <c r="H28" i="1"/>
  <c r="Y27" i="1"/>
  <c r="Z27" i="1" s="1"/>
  <c r="H27" i="1"/>
  <c r="Y26" i="1"/>
  <c r="Z26" i="1" s="1"/>
  <c r="X26" i="1"/>
  <c r="H26" i="1"/>
  <c r="U25" i="1"/>
  <c r="R25" i="1"/>
  <c r="H25" i="1"/>
  <c r="F25" i="1"/>
  <c r="E25" i="1"/>
  <c r="S25" i="1" s="1"/>
  <c r="Z23" i="1"/>
  <c r="Y23" i="1"/>
  <c r="H23" i="1"/>
  <c r="Y22" i="1"/>
  <c r="Z22" i="1" s="1"/>
  <c r="H22" i="1"/>
  <c r="X21" i="1"/>
  <c r="T21" i="1" s="1"/>
  <c r="U21" i="1"/>
  <c r="S21" i="1"/>
  <c r="R21" i="1"/>
  <c r="H21" i="1"/>
  <c r="G21" i="1"/>
  <c r="X20" i="1"/>
  <c r="T20" i="1" s="1"/>
  <c r="Y20" i="1" s="1"/>
  <c r="Z20" i="1" s="1"/>
  <c r="P20" i="1"/>
  <c r="H20" i="1"/>
  <c r="F20" i="1"/>
  <c r="X19" i="1"/>
  <c r="T19" i="1" s="1"/>
  <c r="Y19" i="1" s="1"/>
  <c r="Z19" i="1" s="1"/>
  <c r="P19" i="1"/>
  <c r="F19" i="1"/>
  <c r="H19" i="1" s="1"/>
  <c r="Z18" i="1"/>
  <c r="Y18" i="1"/>
  <c r="H18" i="1"/>
  <c r="AB17" i="1"/>
  <c r="U17" i="1"/>
  <c r="S17" i="1"/>
  <c r="R17" i="1"/>
  <c r="H17" i="1"/>
  <c r="P16" i="1"/>
  <c r="F16" i="1"/>
  <c r="H16" i="1" s="1"/>
  <c r="P15" i="1"/>
  <c r="H15" i="1"/>
  <c r="F15" i="1"/>
  <c r="Y14" i="1"/>
  <c r="Z14" i="1" s="1"/>
  <c r="H14" i="1"/>
  <c r="Y13" i="1"/>
  <c r="Z13" i="1" s="1"/>
  <c r="H13" i="1"/>
  <c r="U12" i="1"/>
  <c r="S12" i="1"/>
  <c r="R12" i="1"/>
  <c r="H12" i="1"/>
  <c r="P11" i="1"/>
  <c r="F11" i="1"/>
  <c r="H11" i="1" s="1"/>
  <c r="P10" i="1"/>
  <c r="H10" i="1"/>
  <c r="F10" i="1"/>
  <c r="Y9" i="1"/>
  <c r="Z9" i="1" s="1"/>
  <c r="X9" i="1"/>
  <c r="H9" i="1"/>
  <c r="U8" i="1"/>
  <c r="S8" i="1"/>
  <c r="R8" i="1"/>
  <c r="X8" i="1" s="1"/>
  <c r="T8" i="1" s="1"/>
  <c r="H8" i="1"/>
  <c r="Y6" i="1"/>
  <c r="Z6" i="1" s="1"/>
  <c r="X6" i="1"/>
  <c r="H6" i="1"/>
  <c r="Y5" i="1"/>
  <c r="Z5" i="1" s="1"/>
  <c r="X5" i="1"/>
  <c r="H5" i="1"/>
  <c r="U4" i="1"/>
  <c r="S4" i="1"/>
  <c r="R4" i="1"/>
  <c r="X4" i="1" s="1"/>
  <c r="T4" i="1" s="1"/>
  <c r="Y4" i="1" s="1"/>
  <c r="Z4" i="1" s="1"/>
  <c r="H4" i="1"/>
  <c r="X3" i="1"/>
  <c r="T3" i="1" s="1"/>
  <c r="Y3" i="1" s="1"/>
  <c r="Z3" i="1" s="1"/>
  <c r="P3" i="1"/>
  <c r="H3" i="1"/>
  <c r="F3" i="1"/>
  <c r="Y21" i="1" l="1"/>
  <c r="Z21" i="1" s="1"/>
  <c r="Y53" i="1"/>
  <c r="Z53" i="1" s="1"/>
  <c r="Y10" i="1"/>
  <c r="Z10" i="1" s="1"/>
  <c r="Y8" i="1"/>
  <c r="Z8" i="1" s="1"/>
  <c r="Y34" i="1"/>
  <c r="Z34" i="1" s="1"/>
  <c r="X41" i="1"/>
  <c r="T41" i="1" s="1"/>
  <c r="Y41" i="1" s="1"/>
  <c r="Z41" i="1" s="1"/>
  <c r="X47" i="1"/>
  <c r="T47" i="1" s="1"/>
  <c r="Y47" i="1" s="1"/>
  <c r="Z47" i="1" s="1"/>
  <c r="X25" i="1"/>
  <c r="T25" i="1" s="1"/>
  <c r="Y25" i="1" s="1"/>
  <c r="Z25" i="1" s="1"/>
  <c r="X31" i="1"/>
  <c r="T31" i="1" s="1"/>
  <c r="Y31" i="1" s="1"/>
  <c r="Z31" i="1" s="1"/>
  <c r="X80" i="1"/>
  <c r="T80" i="1" s="1"/>
  <c r="Y80" i="1" s="1"/>
  <c r="Z80" i="1" s="1"/>
  <c r="X11" i="1"/>
  <c r="T11" i="1" s="1"/>
  <c r="Y11" i="1" s="1"/>
  <c r="Z11" i="1" s="1"/>
  <c r="X12" i="1"/>
  <c r="T12" i="1" s="1"/>
  <c r="Y12" i="1" s="1"/>
  <c r="Z12" i="1" s="1"/>
  <c r="X16" i="1"/>
  <c r="T16" i="1" s="1"/>
  <c r="Y16" i="1" s="1"/>
  <c r="Z16" i="1" s="1"/>
  <c r="X17" i="1"/>
  <c r="T17" i="1" s="1"/>
  <c r="Y17" i="1" s="1"/>
  <c r="Z17" i="1" s="1"/>
  <c r="X30" i="1"/>
  <c r="T30" i="1" s="1"/>
  <c r="Y30" i="1" s="1"/>
  <c r="Z30" i="1" s="1"/>
  <c r="S35" i="1"/>
  <c r="X35" i="1" s="1"/>
  <c r="T35" i="1" s="1"/>
  <c r="S54" i="1"/>
  <c r="X54" i="1" s="1"/>
  <c r="T54" i="1" s="1"/>
  <c r="Y54" i="1" s="1"/>
  <c r="Z54" i="1" s="1"/>
  <c r="X76" i="1"/>
  <c r="T76" i="1" s="1"/>
  <c r="Y76" i="1" s="1"/>
  <c r="Z76" i="1" s="1"/>
  <c r="Y82" i="1"/>
  <c r="Z82" i="1" s="1"/>
  <c r="R87" i="1"/>
  <c r="Y87" i="1" s="1"/>
  <c r="Z87" i="1" s="1"/>
  <c r="X87" i="1"/>
  <c r="T87" i="1" s="1"/>
  <c r="X10" i="1"/>
  <c r="T10" i="1" s="1"/>
  <c r="X15" i="1"/>
  <c r="T15" i="1" s="1"/>
  <c r="Y15" i="1" s="1"/>
  <c r="Z15" i="1" s="1"/>
  <c r="X29" i="1"/>
  <c r="T29" i="1" s="1"/>
  <c r="Y29" i="1" s="1"/>
  <c r="Z29" i="1" s="1"/>
  <c r="X34" i="1"/>
  <c r="T34" i="1" s="1"/>
  <c r="X53" i="1"/>
  <c r="T53" i="1" s="1"/>
  <c r="Y35" i="1" l="1"/>
  <c r="Z35" i="1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4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<sst xmlns="http://schemas.openxmlformats.org/spreadsheetml/2006/main" count="583" uniqueCount="228">
  <si>
    <t>Octubre 2021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</si>
  <si>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</si>
  <si>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</si>
  <si>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</si>
  <si>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</si>
  <si>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</si>
  <si>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</si>
  <si>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</si>
  <si>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</si>
  <si>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</si>
  <si>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</si>
  <si>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</si>
  <si>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</si>
  <si>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</si>
  <si>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</si>
  <si>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</si>
  <si>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</si>
  <si>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</si>
  <si>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</si>
  <si>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</si>
  <si>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</si>
  <si>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com/custodia canales</t>
  </si>
  <si>
    <t>costo logistica</t>
  </si>
  <si>
    <t>costo integrado</t>
  </si>
  <si>
    <t>costo real</t>
  </si>
  <si>
    <t>$ carga total</t>
  </si>
  <si>
    <t>Pernil con piel</t>
  </si>
  <si>
    <t>Seaboard</t>
  </si>
  <si>
    <t>21 combos</t>
  </si>
  <si>
    <t>nlse21-152</t>
  </si>
  <si>
    <t>Sanchez</t>
  </si>
  <si>
    <t>vi</t>
  </si>
  <si>
    <t>hoja + 11 lu 27 sep</t>
  </si>
  <si>
    <t>Canal de cerdo</t>
  </si>
  <si>
    <t>Nu3</t>
  </si>
  <si>
    <t xml:space="preserve">Agrop El Topete </t>
  </si>
  <si>
    <t>fact 10097</t>
  </si>
  <si>
    <t>Menudo</t>
  </si>
  <si>
    <t>excel 86M</t>
  </si>
  <si>
    <t>Mansiva</t>
  </si>
  <si>
    <t>680 cajas</t>
  </si>
  <si>
    <t>fact 30637</t>
  </si>
  <si>
    <t>Dist Asgar</t>
  </si>
  <si>
    <t>fact 132</t>
  </si>
  <si>
    <t>sa</t>
  </si>
  <si>
    <t>Agrop la Gaby</t>
  </si>
  <si>
    <t>fact 8460</t>
  </si>
  <si>
    <t>do</t>
  </si>
  <si>
    <t>lu</t>
  </si>
  <si>
    <t>nlse21-153</t>
  </si>
  <si>
    <t>ma</t>
  </si>
  <si>
    <t>hoja + 11 ju 30 sep</t>
  </si>
  <si>
    <t>nlse21-154</t>
  </si>
  <si>
    <t>fact 8463</t>
  </si>
  <si>
    <t>Arrachera Texana</t>
  </si>
  <si>
    <t>GF</t>
  </si>
  <si>
    <t>Granjero Feliz</t>
  </si>
  <si>
    <t>27 cajas</t>
  </si>
  <si>
    <t>fact A1422989</t>
  </si>
  <si>
    <t>Tyson</t>
  </si>
  <si>
    <t>Arrachera Taquera</t>
  </si>
  <si>
    <t>30 cajas</t>
  </si>
  <si>
    <t>"""</t>
  </si>
  <si>
    <t>20 combos</t>
  </si>
  <si>
    <t>01521</t>
  </si>
  <si>
    <t>Tamez</t>
  </si>
  <si>
    <t>mi</t>
  </si>
  <si>
    <t>hoja + 11.5 ju 30 sep</t>
  </si>
  <si>
    <t>01528</t>
  </si>
  <si>
    <t>ju</t>
  </si>
  <si>
    <t>hoja + 11.5 vi 01 oct</t>
  </si>
  <si>
    <t>Agrop La Gaby</t>
  </si>
  <si>
    <t>fact 8466</t>
  </si>
  <si>
    <t>Prom</t>
  </si>
  <si>
    <t>Pulpa Blanca</t>
  </si>
  <si>
    <t>Excel 86K</t>
  </si>
  <si>
    <t>Lourdes Hernandez</t>
  </si>
  <si>
    <t>34 cajas</t>
  </si>
  <si>
    <t>fact 508-509</t>
  </si>
  <si>
    <t>nlse21-155</t>
  </si>
  <si>
    <t>hoja + 11 lu 04 oct</t>
  </si>
  <si>
    <t>nlse21-156</t>
  </si>
  <si>
    <t>Agrop La Chemita</t>
  </si>
  <si>
    <t>fact 6535</t>
  </si>
  <si>
    <t>cuero decomisado 73.7 kg</t>
  </si>
  <si>
    <t>Espaldilla carnero</t>
  </si>
  <si>
    <t>Baby Lamb</t>
  </si>
  <si>
    <t>10 cajas</t>
  </si>
  <si>
    <t>fact R-517</t>
  </si>
  <si>
    <t>163 cajas</t>
  </si>
  <si>
    <t>fact R-519</t>
  </si>
  <si>
    <t>Agrop Topete</t>
  </si>
  <si>
    <t>fact 10118, 10117</t>
  </si>
  <si>
    <t>Roel</t>
  </si>
  <si>
    <t>20 cajas</t>
  </si>
  <si>
    <t>fact R-522</t>
  </si>
  <si>
    <t>Esp Carnero</t>
  </si>
  <si>
    <t>13 cajas</t>
  </si>
  <si>
    <t>fact R-528</t>
  </si>
  <si>
    <t>Filete Tilapia</t>
  </si>
  <si>
    <t>3/5 Pielago</t>
  </si>
  <si>
    <t>Marimex</t>
  </si>
  <si>
    <t>67 cajas</t>
  </si>
  <si>
    <t>fact PLA396</t>
  </si>
  <si>
    <t>Asgar</t>
  </si>
  <si>
    <t>nlse21-157</t>
  </si>
  <si>
    <t>hoja + 11 ju 07 oct</t>
  </si>
  <si>
    <t>nlse21-158</t>
  </si>
  <si>
    <t>fact 10126,10128</t>
  </si>
  <si>
    <t>01529</t>
  </si>
  <si>
    <t>hoja + 11.5 ju  07 oct</t>
  </si>
  <si>
    <t>Distribuidora Asgar</t>
  </si>
  <si>
    <t>fact 144</t>
  </si>
  <si>
    <t>01530</t>
  </si>
  <si>
    <t>hoja + 11.5 vi 08 oct</t>
  </si>
  <si>
    <t>fact 10134,10135</t>
  </si>
  <si>
    <t>nlse21-159</t>
  </si>
  <si>
    <t>hoja + 11 lu 11 oct</t>
  </si>
  <si>
    <t>en factura de seaboard, se hizo claim</t>
  </si>
  <si>
    <t>Pepe Filete de Puebla</t>
  </si>
  <si>
    <t>fact 35177</t>
  </si>
  <si>
    <t>Puntas chuleta</t>
  </si>
  <si>
    <t>fact 30758</t>
  </si>
  <si>
    <t>merma comp 314.59kg</t>
  </si>
  <si>
    <t>Agrop El Topete</t>
  </si>
  <si>
    <t>fact 10155,10154</t>
  </si>
  <si>
    <t>nlse21-160</t>
  </si>
  <si>
    <t>hoja + 11 ju 14 oct</t>
  </si>
  <si>
    <t>nlse21-161</t>
  </si>
  <si>
    <t>Contra</t>
  </si>
  <si>
    <t>Excel K</t>
  </si>
  <si>
    <t>245 cajas</t>
  </si>
  <si>
    <t>fact HC08531</t>
  </si>
  <si>
    <t>12 cajas</t>
  </si>
  <si>
    <t>fact A14 23172</t>
  </si>
  <si>
    <t xml:space="preserve">  "  "  "</t>
  </si>
  <si>
    <t>fact 10166,10165</t>
  </si>
  <si>
    <t>01531</t>
  </si>
  <si>
    <t>hoja + 11.5 ju 14 oct</t>
  </si>
  <si>
    <t>Pielago 2/3</t>
  </si>
  <si>
    <t>fact PLA521</t>
  </si>
  <si>
    <t>Pielago 2/4</t>
  </si>
  <si>
    <t>221 cajas</t>
  </si>
  <si>
    <t>fact PLA530</t>
  </si>
  <si>
    <t>01532</t>
  </si>
  <si>
    <t>hoja + 11.5 vi 15 oct</t>
  </si>
  <si>
    <t>nlse21-162</t>
  </si>
  <si>
    <t>hoja + 11 lu 18 oct</t>
  </si>
  <si>
    <t>nlse21-163</t>
  </si>
  <si>
    <t>fact 10171,10173</t>
  </si>
  <si>
    <t>Carbenzes</t>
  </si>
  <si>
    <t>86 cajas</t>
  </si>
  <si>
    <t>fact 3454</t>
  </si>
  <si>
    <t>14 cajas</t>
  </si>
  <si>
    <t>fact A14 23220</t>
  </si>
  <si>
    <t>fact 35311</t>
  </si>
  <si>
    <t>111 cajas</t>
  </si>
  <si>
    <t>fact PLA586</t>
  </si>
  <si>
    <t>Salmon Porcion</t>
  </si>
  <si>
    <t>Multiexport chile</t>
  </si>
  <si>
    <t>4 cajas</t>
  </si>
  <si>
    <t>fact PLA587</t>
  </si>
  <si>
    <t>Camaron cocido 41/50</t>
  </si>
  <si>
    <t>fact PLA593</t>
  </si>
  <si>
    <t>Camaron cocido 100/200</t>
  </si>
  <si>
    <t xml:space="preserve">Surimi 1/2 </t>
  </si>
  <si>
    <t>Neptuno</t>
  </si>
  <si>
    <t>5 cajas</t>
  </si>
  <si>
    <t>Atun porcion</t>
  </si>
  <si>
    <t>6oz nal</t>
  </si>
  <si>
    <t>2 cajas</t>
  </si>
  <si>
    <t>Basa porcion</t>
  </si>
  <si>
    <t>Mariscada 20*250</t>
  </si>
  <si>
    <t xml:space="preserve">Manitas </t>
  </si>
  <si>
    <t>Innova</t>
  </si>
  <si>
    <t>Alimentos Certificados</t>
  </si>
  <si>
    <t>70 cajas</t>
  </si>
  <si>
    <t>fact 17027</t>
  </si>
  <si>
    <t>Tocino Nacional</t>
  </si>
  <si>
    <t>50 cajas</t>
  </si>
  <si>
    <t>fact 17038</t>
  </si>
  <si>
    <t>nlse21-164</t>
  </si>
  <si>
    <t>hoja + 11 ju 21 oct</t>
  </si>
  <si>
    <t>37 cajas</t>
  </si>
  <si>
    <t>fact 23261</t>
  </si>
  <si>
    <t>0.80 cajas</t>
  </si>
  <si>
    <t>" " "</t>
  </si>
  <si>
    <t>Pierna de Carnero</t>
  </si>
  <si>
    <t>Ma Lourdes Hernandez</t>
  </si>
  <si>
    <t>36 cajas</t>
  </si>
  <si>
    <t>fact 558</t>
  </si>
  <si>
    <t>Espaldilla de Carnero</t>
  </si>
  <si>
    <t>7 cajas</t>
  </si>
  <si>
    <t>120 cajas</t>
  </si>
  <si>
    <t>fact 17044</t>
  </si>
  <si>
    <t>nlse21-165</t>
  </si>
  <si>
    <t xml:space="preserve">fact 10188 </t>
  </si>
  <si>
    <t>01533</t>
  </si>
  <si>
    <t>hoja + 11.5 ju 21 oct</t>
  </si>
  <si>
    <t>Z9804(01535)</t>
  </si>
  <si>
    <t>hoja + 11.5 vi 22 oct</t>
  </si>
  <si>
    <t>Pedro</t>
  </si>
  <si>
    <t>fact 10203</t>
  </si>
  <si>
    <t>nlse21-166</t>
  </si>
  <si>
    <t>hoja + 11 lu 25 oct</t>
  </si>
  <si>
    <t>fact 10209</t>
  </si>
  <si>
    <t>Jamon Serrano y varios</t>
  </si>
  <si>
    <t>Delta</t>
  </si>
  <si>
    <t>Varios</t>
  </si>
  <si>
    <t>fact A158233,34,42</t>
  </si>
  <si>
    <t>fact 30919</t>
  </si>
  <si>
    <t>Camaron coc pelado 100/200</t>
  </si>
  <si>
    <t>fact PLA678</t>
  </si>
  <si>
    <t>Camaron coc pelado 41/50</t>
  </si>
  <si>
    <t xml:space="preserve">   "   "   "</t>
  </si>
  <si>
    <t>fact 10222,10223</t>
  </si>
  <si>
    <t>CUSTODIAS COMERCIO INTERNACIONAL DE CARNES ODELPA</t>
  </si>
  <si>
    <t>OCTUBRE</t>
  </si>
  <si>
    <t>Ju</t>
  </si>
  <si>
    <t>DO</t>
  </si>
  <si>
    <t>VI</t>
  </si>
  <si>
    <t>MA</t>
  </si>
  <si>
    <t>MI</t>
  </si>
  <si>
    <t>LU</t>
  </si>
  <si>
    <t>JU</t>
  </si>
  <si>
    <t>Mi</t>
  </si>
  <si>
    <t>TOTAL</t>
  </si>
  <si>
    <t>CUSTODIAS EN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</si>
</sst>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44" fontId="0" fillId="0" borderId="0" xfId="1" applyFont="1"/>
    <xf numFmtId="0" fontId="0" fillId="0" borderId="1" xfId="0" applyBorder="1"/>
    <xf numFmtId="4" fontId="0" fillId="0" borderId="1" xfId="0" applyNumberFormat="1" applyBorder="1" applyAlignment="1">
      <alignment wrapText="1"/>
    </xf>
    <xf numFmtId="4" fontId="2" fillId="0" borderId="1" xfId="0" applyNumberFormat="1" applyFont="1" applyBorder="1" applyAlignment="1">
      <alignment wrapText="1"/>
    </xf>
    <xf numFmtId="3" fontId="0" fillId="0" borderId="1" xfId="0" applyNumberFormat="1" applyBorder="1"/>
    <xf numFmtId="1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2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44" fontId="0" fillId="0" borderId="1" xfId="1" applyFont="1" applyBorder="1"/>
    <xf numFmtId="14" fontId="0" fillId="0" borderId="2" xfId="0" applyNumberFormat="1" applyBorder="1"/>
    <xf numFmtId="0" fontId="3" fillId="2" borderId="3" xfId="0" applyFont="1" applyFill="1" applyBorder="1" applyAlignment="1">
      <alignment textRotation="255"/>
    </xf>
    <xf numFmtId="0" fontId="0" fillId="0" borderId="4" xfId="0" applyBorder="1"/>
    <xf numFmtId="0" fontId="4" fillId="0" borderId="0" xfId="0" applyFont="1"/>
    <xf numFmtId="4" fontId="4" fillId="0" borderId="0" xfId="0" applyNumberFormat="1" applyFont="1"/>
    <xf numFmtId="4" fontId="0" fillId="0" borderId="0" xfId="0" applyNumberFormat="1"/>
    <xf numFmtId="0" fontId="0" fillId="3" borderId="0" xfId="0" applyFill="1"/>
    <xf numFmtId="15" fontId="0" fillId="0" borderId="0" xfId="0" applyNumberFormat="1"/>
    <xf numFmtId="166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64" fontId="4" fillId="4" borderId="0" xfId="0" applyNumberFormat="1" applyFont="1" applyFill="1"/>
    <xf numFmtId="44" fontId="0" fillId="0" borderId="0" xfId="1" applyFont="1" applyFill="1"/>
    <xf numFmtId="14" fontId="0" fillId="0" borderId="5" xfId="0" applyNumberFormat="1" applyBorder="1"/>
    <xf numFmtId="10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0" fontId="0" fillId="0" borderId="0" xfId="0" applyNumberFormat="1"/>
    <xf numFmtId="0" fontId="0" fillId="2" borderId="6" xfId="0" applyFill="1" applyBorder="1"/>
    <xf numFmtId="0" fontId="0" fillId="0" borderId="6" xfId="0" applyBorder="1"/>
    <xf numFmtId="4" fontId="0" fillId="0" borderId="1" xfId="0" applyNumberFormat="1" applyBorder="1"/>
    <xf numFmtId="0" fontId="3" fillId="7" borderId="3" xfId="0" applyFont="1" applyFill="1" applyBorder="1" applyAlignment="1">
      <alignment textRotation="255"/>
    </xf>
    <xf numFmtId="9" fontId="4" fillId="0" borderId="0" xfId="0" applyNumberFormat="1" applyFont="1"/>
    <xf numFmtId="165" fontId="0" fillId="0" borderId="0" xfId="0" applyNumberFormat="1"/>
    <xf numFmtId="164" fontId="0" fillId="4" borderId="0" xfId="0" applyNumberFormat="1" applyFill="1"/>
    <xf numFmtId="0" fontId="0" fillId="0" borderId="0" xfId="0" quotePrefix="1"/>
    <xf numFmtId="2" fontId="0" fillId="5" borderId="0" xfId="0" applyNumberFormat="1" applyFill="1"/>
    <xf numFmtId="2" fontId="0" fillId="0" borderId="0" xfId="0" applyNumberFormat="1"/>
    <xf numFmtId="10" fontId="0" fillId="8" borderId="0" xfId="0" applyNumberFormat="1" applyFill="1"/>
    <xf numFmtId="0" fontId="0" fillId="7" borderId="6" xfId="0" applyFill="1" applyBorder="1"/>
    <xf numFmtId="0" fontId="3" fillId="5" borderId="3" xfId="0" applyFont="1" applyFill="1" applyBorder="1" applyAlignment="1">
      <alignment textRotation="255"/>
    </xf>
    <xf numFmtId="4" fontId="0" fillId="9" borderId="0" xfId="0" applyNumberFormat="1" applyFill="1"/>
    <xf numFmtId="0" fontId="0" fillId="5" borderId="6" xfId="0" applyFill="1" applyBorder="1"/>
    <xf numFmtId="0" fontId="3" fillId="10" borderId="3" xfId="0" applyFont="1" applyFill="1" applyBorder="1" applyAlignment="1">
      <alignment textRotation="255"/>
    </xf>
    <xf numFmtId="10" fontId="0" fillId="11" borderId="0" xfId="0" applyNumberFormat="1" applyFill="1"/>
    <xf numFmtId="10" fontId="0" fillId="9" borderId="0" xfId="0" applyNumberFormat="1" applyFill="1"/>
    <xf numFmtId="9" fontId="0" fillId="9" borderId="0" xfId="0" applyNumberFormat="1" applyFill="1"/>
    <xf numFmtId="9" fontId="0" fillId="0" borderId="0" xfId="0" applyNumberFormat="1"/>
    <xf numFmtId="0" fontId="0" fillId="10" borderId="6" xfId="0" applyFill="1" applyBorder="1"/>
    <xf numFmtId="0" fontId="3" fillId="12" borderId="3" xfId="0" applyFont="1" applyFill="1" applyBorder="1" applyAlignment="1">
      <alignment textRotation="255"/>
    </xf>
    <xf numFmtId="0" fontId="3" fillId="12" borderId="4" xfId="0" applyFont="1" applyFill="1" applyBorder="1" applyAlignment="1">
      <alignment textRotation="255"/>
    </xf>
    <xf numFmtId="0" fontId="0" fillId="12" borderId="6" xfId="0" applyFill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9" borderId="0" xfId="0" applyFill="1"/>
    <xf numFmtId="0" fontId="0" fillId="9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3"/>
  <sheetViews>
    <sheetView tabSelected="1" workbookViewId="0">
      <selection activeCell="I12" sqref="I12"/>
    </sheetView>
  </sheetViews>
  <sheetFormatPr baseColWidth="10" defaultRowHeight="15" x14ac:dyDescent="0.25"/>
  <cols>
    <col min="1" max="1" width="3" customWidth="1"/>
    <col min="2" max="2" width="24.85546875" bestFit="1" customWidth="1"/>
    <col min="3" max="3" width="12.7109375" customWidth="1"/>
    <col min="4" max="4" width="23.42578125" bestFit="1" customWidth="1"/>
    <col min="9" max="9" width="13.42578125" customWidth="1"/>
    <col min="10" max="10" width="0" hidden="1" customWidth="1"/>
    <col min="13" max="13" width="5.140625" customWidth="1"/>
    <col min="24" max="24" width="0" hidden="1" customWidth="1"/>
    <col min="26" max="26" width="15.28515625" customWidth="1"/>
  </cols>
  <sheetData>
    <row r="1" spans="1:29" x14ac:dyDescent="0.25">
      <c r="A1" s="1" t="s">
        <v>0</v>
      </c>
      <c r="S1" s="2"/>
      <c r="W1" s="2"/>
      <c r="Z1" s="3"/>
    </row>
    <row r="2" spans="1:29" ht="30.75" thickBot="1" x14ac:dyDescent="0.3">
      <c r="A2" s="4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6" t="s">
        <v>7</v>
      </c>
      <c r="I2" s="7" t="s">
        <v>8</v>
      </c>
      <c r="J2" s="4" t="s">
        <v>9</v>
      </c>
      <c r="K2" s="8" t="s">
        <v>10</v>
      </c>
      <c r="L2" s="8" t="s">
        <v>11</v>
      </c>
      <c r="M2" s="4" t="s">
        <v>12</v>
      </c>
      <c r="N2" s="4" t="s">
        <v>13</v>
      </c>
      <c r="O2" s="9" t="s">
        <v>14</v>
      </c>
      <c r="P2" s="10" t="s">
        <v>15</v>
      </c>
      <c r="Q2" s="9" t="s">
        <v>16</v>
      </c>
      <c r="R2" s="11" t="s">
        <v>17</v>
      </c>
      <c r="S2" s="11" t="s">
        <v>18</v>
      </c>
      <c r="T2" s="12" t="s">
        <v>19</v>
      </c>
      <c r="U2" s="9" t="s">
        <v>20</v>
      </c>
      <c r="V2" s="11" t="s">
        <v>21</v>
      </c>
      <c r="W2" s="12" t="s">
        <v>22</v>
      </c>
      <c r="X2" s="9" t="s">
        <v>23</v>
      </c>
      <c r="Y2" s="9" t="s">
        <v>24</v>
      </c>
      <c r="Z2" s="13" t="s">
        <v>25</v>
      </c>
      <c r="AA2" s="14"/>
    </row>
    <row r="3" spans="1:29" x14ac:dyDescent="0.25">
      <c r="A3" s="15"/>
      <c r="B3" s="16" t="s">
        <v>26</v>
      </c>
      <c r="C3" t="s">
        <v>27</v>
      </c>
      <c r="D3" s="17" t="s">
        <v>27</v>
      </c>
      <c r="E3" t="s">
        <v>28</v>
      </c>
      <c r="F3" s="18">
        <f>42025*0.4536</f>
        <v>19062.54</v>
      </c>
      <c r="G3" s="19">
        <v>19012.66</v>
      </c>
      <c r="H3" s="19">
        <f t="shared" ref="H3:H6" si="0">G3-F3</f>
        <v>-49.880000000001019</v>
      </c>
      <c r="I3" t="s">
        <v>29</v>
      </c>
      <c r="J3" s="20" t="s">
        <v>30</v>
      </c>
      <c r="K3" s="21">
        <v>44469</v>
      </c>
      <c r="L3" s="21">
        <v>44470</v>
      </c>
      <c r="M3" s="17" t="s">
        <v>31</v>
      </c>
      <c r="N3" s="17" t="s">
        <v>32</v>
      </c>
      <c r="O3" s="2"/>
      <c r="P3" s="22">
        <f>0.6572+0.11</f>
        <v>0.76719999999999999</v>
      </c>
      <c r="Q3" s="2">
        <v>26000</v>
      </c>
      <c r="R3" s="23">
        <v>9913</v>
      </c>
      <c r="S3" s="24">
        <v>20.137</v>
      </c>
      <c r="T3" s="25">
        <f>X3*F3*0.005</f>
        <v>3437.7383931404988</v>
      </c>
      <c r="V3" s="2">
        <v>0.12</v>
      </c>
      <c r="W3" s="2">
        <v>0.3</v>
      </c>
      <c r="X3" s="2">
        <f>IF(O3&gt;0,O3,((P3*2.2046*S3)+(Q3+R3)/G3)+V3)</f>
        <v>36.06799926075432</v>
      </c>
      <c r="Y3" s="2">
        <f>IF(O3&gt;0,O3+W3,((P3*2.2046*S3)+(Q3+R3+T3)/G3)+V3+W3)</f>
        <v>36.548812381755823</v>
      </c>
      <c r="Z3" s="26">
        <f>Y3*F3</f>
        <v>696713.19797971565</v>
      </c>
      <c r="AA3" s="27">
        <v>44463</v>
      </c>
    </row>
    <row r="4" spans="1:29" x14ac:dyDescent="0.25">
      <c r="A4" s="15"/>
      <c r="B4" t="s">
        <v>33</v>
      </c>
      <c r="C4" t="s">
        <v>34</v>
      </c>
      <c r="D4" s="17" t="s">
        <v>35</v>
      </c>
      <c r="E4">
        <v>200</v>
      </c>
      <c r="F4" s="18">
        <v>23720</v>
      </c>
      <c r="G4" s="19">
        <v>18390</v>
      </c>
      <c r="H4" s="19">
        <f t="shared" si="0"/>
        <v>-5330</v>
      </c>
      <c r="I4" t="s">
        <v>36</v>
      </c>
      <c r="J4" s="28">
        <v>0.77500000000000002</v>
      </c>
      <c r="K4" s="29">
        <v>199</v>
      </c>
      <c r="L4" s="21">
        <v>44470</v>
      </c>
      <c r="M4" s="17" t="s">
        <v>31</v>
      </c>
      <c r="N4" s="17"/>
      <c r="O4" s="2">
        <v>33.5</v>
      </c>
      <c r="P4" s="22"/>
      <c r="Q4" s="30">
        <v>26000</v>
      </c>
      <c r="R4" s="2">
        <f>100.6*E4</f>
        <v>20120</v>
      </c>
      <c r="S4" s="23">
        <f>-40*E4</f>
        <v>-8000</v>
      </c>
      <c r="T4" s="23">
        <f>X4*F4*0.0045</f>
        <v>4839.2282544861337</v>
      </c>
      <c r="U4" s="2">
        <f>E4*5</f>
        <v>1000</v>
      </c>
      <c r="V4" s="2">
        <v>3600</v>
      </c>
      <c r="W4" s="2">
        <v>0.3</v>
      </c>
      <c r="X4" s="2">
        <f>((O4*F4)+Q4+R4+S4+U4)/G4</f>
        <v>45.336595976073951</v>
      </c>
      <c r="Y4" s="2">
        <f>((O4*F4)+Q4+R4+S4+T4+U4+V4)/G4+W4</f>
        <v>46.095499089422844</v>
      </c>
      <c r="Z4" s="3">
        <f>Y4*G4</f>
        <v>847696.22825448611</v>
      </c>
      <c r="AA4" s="27">
        <v>44484</v>
      </c>
    </row>
    <row r="5" spans="1:29" x14ac:dyDescent="0.25">
      <c r="A5" s="15"/>
      <c r="B5" t="s">
        <v>37</v>
      </c>
      <c r="C5" t="s">
        <v>38</v>
      </c>
      <c r="D5" s="17" t="s">
        <v>39</v>
      </c>
      <c r="E5" t="s">
        <v>40</v>
      </c>
      <c r="F5" s="18">
        <v>18506.758600000001</v>
      </c>
      <c r="G5" s="19">
        <v>18506.759999999998</v>
      </c>
      <c r="H5" s="19">
        <f t="shared" si="0"/>
        <v>1.3999999973748345E-3</v>
      </c>
      <c r="I5" t="s">
        <v>41</v>
      </c>
      <c r="J5" s="31"/>
      <c r="L5" s="21">
        <v>44470</v>
      </c>
      <c r="M5" s="17" t="s">
        <v>31</v>
      </c>
      <c r="N5" s="17"/>
      <c r="O5" s="2">
        <v>66.5</v>
      </c>
      <c r="P5" s="22"/>
      <c r="Q5" s="2"/>
      <c r="R5" s="2"/>
      <c r="S5" s="23"/>
      <c r="T5" s="23"/>
      <c r="U5" s="2"/>
      <c r="V5" s="2"/>
      <c r="W5" s="2"/>
      <c r="X5" s="2">
        <f>IF(O5&gt;0,O5,((P5*2.2046*S5)+(Q5+R5)/G5)+V5)</f>
        <v>66.5</v>
      </c>
      <c r="Y5" s="2">
        <f>IF(O5&gt;0,O5+W5,((P5*2.2046*S5)+(Q5+R5+T5)/G5)+V5+W5)</f>
        <v>66.5</v>
      </c>
      <c r="Z5" s="26">
        <f>Y5*F5</f>
        <v>1230699.4469000001</v>
      </c>
      <c r="AA5" s="27">
        <v>44487</v>
      </c>
    </row>
    <row r="6" spans="1:29" x14ac:dyDescent="0.25">
      <c r="A6" s="15"/>
      <c r="B6" t="s">
        <v>26</v>
      </c>
      <c r="C6" t="s">
        <v>27</v>
      </c>
      <c r="D6" s="17" t="s">
        <v>42</v>
      </c>
      <c r="E6" t="s">
        <v>28</v>
      </c>
      <c r="F6" s="18">
        <v>18686.21</v>
      </c>
      <c r="G6" s="19">
        <v>18686.099999999999</v>
      </c>
      <c r="H6" s="19">
        <f t="shared" si="0"/>
        <v>-0.11000000000058208</v>
      </c>
      <c r="I6" t="s">
        <v>43</v>
      </c>
      <c r="K6" s="21"/>
      <c r="L6" s="21">
        <v>44471</v>
      </c>
      <c r="M6" s="17" t="s">
        <v>44</v>
      </c>
      <c r="N6" s="17"/>
      <c r="O6" s="2">
        <v>37.799999999999997</v>
      </c>
      <c r="P6" s="22"/>
      <c r="Q6" s="2"/>
      <c r="R6" s="2"/>
      <c r="S6" s="23"/>
      <c r="T6" s="23"/>
      <c r="U6" s="2"/>
      <c r="V6" s="2"/>
      <c r="W6" s="2">
        <v>0.3</v>
      </c>
      <c r="X6" s="2">
        <f>IF(O6&gt;0,O6,((P6*2.2046*S6)+(Q6+R6)/G6)+V6)</f>
        <v>37.799999999999997</v>
      </c>
      <c r="Y6" s="2">
        <f>IF(O6&gt;0,O6+W6,((P6*2.2046*S6)+(Q6+R6+T6)/G6)+V6+W6)</f>
        <v>38.099999999999994</v>
      </c>
      <c r="Z6" s="26">
        <f>Y6*F6</f>
        <v>711944.60099999991</v>
      </c>
      <c r="AA6" s="27">
        <v>44487</v>
      </c>
    </row>
    <row r="7" spans="1:29" ht="15.75" thickBot="1" x14ac:dyDescent="0.3">
      <c r="A7" s="32"/>
      <c r="B7" s="33"/>
      <c r="C7" s="4"/>
      <c r="D7" s="4"/>
      <c r="E7" s="4"/>
      <c r="F7" s="34"/>
      <c r="G7" s="34"/>
      <c r="H7" s="34"/>
      <c r="I7" s="7"/>
      <c r="J7" s="4"/>
      <c r="K7" s="8"/>
      <c r="L7" s="8"/>
      <c r="M7" s="4"/>
      <c r="N7" s="4"/>
      <c r="O7" s="9"/>
      <c r="P7" s="10"/>
      <c r="Q7" s="9"/>
      <c r="R7" s="9"/>
      <c r="S7" s="9"/>
      <c r="T7" s="9"/>
      <c r="U7" s="9"/>
      <c r="V7" s="9"/>
      <c r="W7" s="9"/>
      <c r="X7" s="9"/>
      <c r="Y7" s="9"/>
      <c r="Z7" s="13"/>
      <c r="AA7" s="14"/>
    </row>
    <row r="8" spans="1:29" x14ac:dyDescent="0.25">
      <c r="A8" s="35"/>
      <c r="B8" s="16" t="s">
        <v>33</v>
      </c>
      <c r="C8" t="s">
        <v>34</v>
      </c>
      <c r="D8" s="17" t="s">
        <v>45</v>
      </c>
      <c r="E8">
        <v>200</v>
      </c>
      <c r="F8" s="18">
        <v>23130</v>
      </c>
      <c r="G8" s="19">
        <v>18160</v>
      </c>
      <c r="H8" s="19">
        <f t="shared" ref="H8:H21" si="1">G8-F8</f>
        <v>-4970</v>
      </c>
      <c r="I8" t="s">
        <v>46</v>
      </c>
      <c r="J8" s="28">
        <v>0.78510000000000002</v>
      </c>
      <c r="K8" s="21"/>
      <c r="L8" s="21">
        <v>44472</v>
      </c>
      <c r="M8" s="17" t="s">
        <v>47</v>
      </c>
      <c r="N8" s="17"/>
      <c r="O8" s="2">
        <v>33.5</v>
      </c>
      <c r="P8" s="22"/>
      <c r="Q8" s="30">
        <v>26000</v>
      </c>
      <c r="R8" s="2">
        <f>100.6*E8</f>
        <v>20120</v>
      </c>
      <c r="S8" s="23">
        <f>-40*E8</f>
        <v>-8000</v>
      </c>
      <c r="T8" s="23">
        <f>X8*F8*0.0045</f>
        <v>4665.340742015419</v>
      </c>
      <c r="U8" s="2">
        <f>E8*5</f>
        <v>1000</v>
      </c>
      <c r="V8" s="2">
        <v>3600</v>
      </c>
      <c r="W8" s="2">
        <v>0.3</v>
      </c>
      <c r="X8" s="2">
        <f>((O8*F8)+Q8+R8+S8+U8)/G8</f>
        <v>44.822411894273131</v>
      </c>
      <c r="Y8" s="2">
        <f>((O8*F8)+Q8+R8+S8+T8+U8+V8)/G8+W8</f>
        <v>45.577551802974412</v>
      </c>
      <c r="Z8" s="3">
        <f>Y8*G8</f>
        <v>827688.34074201528</v>
      </c>
      <c r="AA8" s="27">
        <v>44487</v>
      </c>
    </row>
    <row r="9" spans="1:29" x14ac:dyDescent="0.25">
      <c r="A9" s="35"/>
      <c r="B9" s="16"/>
      <c r="D9" s="17"/>
      <c r="F9" s="18"/>
      <c r="G9" s="19"/>
      <c r="H9" s="19">
        <f t="shared" si="1"/>
        <v>0</v>
      </c>
      <c r="I9" s="36"/>
      <c r="K9" s="21"/>
      <c r="L9" s="21">
        <v>44473</v>
      </c>
      <c r="M9" s="17" t="s">
        <v>48</v>
      </c>
      <c r="N9" s="17"/>
      <c r="O9" s="2"/>
      <c r="P9" s="37"/>
      <c r="Q9" s="2"/>
      <c r="R9" s="2"/>
      <c r="S9" s="23"/>
      <c r="T9" s="23"/>
      <c r="U9" s="2"/>
      <c r="V9" s="2"/>
      <c r="W9" s="2"/>
      <c r="X9" s="2" t="e">
        <f>IF(O9&gt;0,O9,((P9*2.2046*S9)+(Q9+R9)/G9)+V9)</f>
        <v>#DIV/0!</v>
      </c>
      <c r="Y9" s="2" t="e">
        <f>IF(O9&gt;0,O9+W9,((P9*2.2046*S9)+(Q9+R9+T9)/G9)+V9+W9)</f>
        <v>#DIV/0!</v>
      </c>
      <c r="Z9" s="26" t="e">
        <f>Y9*F9</f>
        <v>#DIV/0!</v>
      </c>
      <c r="AA9" s="27"/>
    </row>
    <row r="10" spans="1:29" x14ac:dyDescent="0.25">
      <c r="A10" s="35"/>
      <c r="B10" s="16" t="s">
        <v>26</v>
      </c>
      <c r="C10" t="s">
        <v>27</v>
      </c>
      <c r="D10" s="17" t="s">
        <v>27</v>
      </c>
      <c r="E10" t="s">
        <v>28</v>
      </c>
      <c r="F10" s="18">
        <f>41787*0.4536</f>
        <v>18954.583200000001</v>
      </c>
      <c r="G10" s="19">
        <v>18874.59</v>
      </c>
      <c r="H10" s="19">
        <f t="shared" si="1"/>
        <v>-79.993200000000797</v>
      </c>
      <c r="I10" t="s">
        <v>49</v>
      </c>
      <c r="J10" s="20" t="s">
        <v>30</v>
      </c>
      <c r="K10" s="21">
        <v>44473</v>
      </c>
      <c r="L10" s="21">
        <v>44474</v>
      </c>
      <c r="M10" s="17" t="s">
        <v>50</v>
      </c>
      <c r="N10" s="17" t="s">
        <v>51</v>
      </c>
      <c r="O10" s="2"/>
      <c r="P10" s="22">
        <f>0.7301+0.11</f>
        <v>0.84009999999999996</v>
      </c>
      <c r="Q10" s="38">
        <v>26000</v>
      </c>
      <c r="R10" s="23">
        <v>11813</v>
      </c>
      <c r="S10" s="24">
        <v>20.39</v>
      </c>
      <c r="T10" s="23">
        <f>X10*F10*0.005</f>
        <v>3780.2436368924136</v>
      </c>
      <c r="V10" s="2">
        <v>0.12</v>
      </c>
      <c r="W10" s="2">
        <v>0.3</v>
      </c>
      <c r="X10" s="2">
        <f>IF(O10&gt;0,O10,((P10*2.2046*S10)+(Q10+R10)/G10)+V10)</f>
        <v>39.887383404900334</v>
      </c>
      <c r="Y10" s="2">
        <f>IF(O10&gt;0,O10+W10,((P10*2.2046*S10)+(Q10+R10+T10)/G10)+V10+W10)</f>
        <v>40.387665563977293</v>
      </c>
      <c r="Z10" s="26">
        <f>Y10*F10</f>
        <v>765531.36718618253</v>
      </c>
      <c r="AA10" s="27">
        <v>44466</v>
      </c>
    </row>
    <row r="11" spans="1:29" x14ac:dyDescent="0.25">
      <c r="A11" s="35"/>
      <c r="B11" s="16" t="s">
        <v>26</v>
      </c>
      <c r="C11" t="s">
        <v>27</v>
      </c>
      <c r="D11" s="17" t="s">
        <v>27</v>
      </c>
      <c r="E11" t="s">
        <v>28</v>
      </c>
      <c r="F11" s="18">
        <f>41956*0.4536</f>
        <v>19031.241600000001</v>
      </c>
      <c r="G11" s="19">
        <v>18959.41</v>
      </c>
      <c r="H11" s="19">
        <f t="shared" si="1"/>
        <v>-71.831600000001345</v>
      </c>
      <c r="I11" t="s">
        <v>52</v>
      </c>
      <c r="J11" s="20" t="s">
        <v>30</v>
      </c>
      <c r="K11" s="21">
        <v>44473</v>
      </c>
      <c r="L11" s="21">
        <v>44474</v>
      </c>
      <c r="M11" s="17" t="s">
        <v>50</v>
      </c>
      <c r="N11" s="17" t="s">
        <v>51</v>
      </c>
      <c r="O11" s="2"/>
      <c r="P11" s="22">
        <f>0.7301+0.11</f>
        <v>0.84009999999999996</v>
      </c>
      <c r="Q11" s="38">
        <v>26000</v>
      </c>
      <c r="R11" s="23">
        <v>11813</v>
      </c>
      <c r="S11" s="24">
        <v>20.39</v>
      </c>
      <c r="T11" s="23">
        <f>X11*F11*0.005</f>
        <v>3794.6792988456955</v>
      </c>
      <c r="V11" s="2">
        <v>0.12</v>
      </c>
      <c r="W11" s="2">
        <v>0.3</v>
      </c>
      <c r="X11" s="2">
        <f>IF(O11&gt;0,O11,((P11*2.2046*S11)+(Q11+R11)/G11)+V11)</f>
        <v>39.878420742088579</v>
      </c>
      <c r="Y11" s="2">
        <f>IF(O11&gt;0,O11+W11,((P11*2.2046*S11)+(Q11+R11+T11)/G11)+V11+W11)</f>
        <v>40.378568283538748</v>
      </c>
      <c r="Z11" s="26">
        <f>Y11*F11</f>
        <v>768454.28846612328</v>
      </c>
      <c r="AA11" s="27">
        <v>44466</v>
      </c>
      <c r="AB11" s="20">
        <v>40.39</v>
      </c>
      <c r="AC11" t="s">
        <v>27</v>
      </c>
    </row>
    <row r="12" spans="1:29" x14ac:dyDescent="0.25">
      <c r="A12" s="35"/>
      <c r="B12" s="16" t="s">
        <v>33</v>
      </c>
      <c r="C12" t="s">
        <v>34</v>
      </c>
      <c r="D12" s="17" t="s">
        <v>45</v>
      </c>
      <c r="E12">
        <v>200</v>
      </c>
      <c r="F12" s="18">
        <v>24020</v>
      </c>
      <c r="G12" s="19">
        <v>18720</v>
      </c>
      <c r="H12" s="19">
        <f t="shared" si="1"/>
        <v>-5300</v>
      </c>
      <c r="I12" t="s">
        <v>53</v>
      </c>
      <c r="J12" s="28">
        <v>0.7792</v>
      </c>
      <c r="K12" s="21"/>
      <c r="L12" s="21">
        <v>44474</v>
      </c>
      <c r="M12" s="17" t="s">
        <v>50</v>
      </c>
      <c r="N12" s="17"/>
      <c r="O12" s="2">
        <v>33</v>
      </c>
      <c r="P12" s="22"/>
      <c r="Q12" s="30">
        <v>26000</v>
      </c>
      <c r="R12" s="2">
        <f>100.6*E12</f>
        <v>20120</v>
      </c>
      <c r="S12" s="23">
        <f>-40*E12</f>
        <v>-8000</v>
      </c>
      <c r="T12" s="23">
        <f>X12*F12*0.0045</f>
        <v>4802.7297115384608</v>
      </c>
      <c r="U12" s="2">
        <f>E12*5</f>
        <v>1000</v>
      </c>
      <c r="V12" s="2">
        <v>3600</v>
      </c>
      <c r="W12" s="2">
        <v>0.3</v>
      </c>
      <c r="X12" s="2">
        <f>((O12*F12)+Q12+R12+S12+U12)/G12</f>
        <v>44.432692307692307</v>
      </c>
      <c r="Y12" s="2">
        <f>((O12*F12)+Q12+R12+S12+T12+U12+V12)/G12+W12</f>
        <v>45.181556074334317</v>
      </c>
      <c r="Z12" s="3">
        <f>Y12*G12</f>
        <v>845798.72971153841</v>
      </c>
      <c r="AA12" s="27">
        <v>44488</v>
      </c>
      <c r="AB12" s="20">
        <v>40.380000000000003</v>
      </c>
      <c r="AC12" t="s">
        <v>27</v>
      </c>
    </row>
    <row r="13" spans="1:29" x14ac:dyDescent="0.25">
      <c r="A13" s="35"/>
      <c r="B13" s="16" t="s">
        <v>54</v>
      </c>
      <c r="C13" t="s">
        <v>55</v>
      </c>
      <c r="D13" s="17" t="s">
        <v>56</v>
      </c>
      <c r="E13" t="s">
        <v>57</v>
      </c>
      <c r="F13" s="18">
        <v>334.64</v>
      </c>
      <c r="G13" s="19">
        <v>334.64</v>
      </c>
      <c r="H13" s="19">
        <f t="shared" si="1"/>
        <v>0</v>
      </c>
      <c r="I13" t="s">
        <v>58</v>
      </c>
      <c r="J13" s="31"/>
      <c r="K13" s="21"/>
      <c r="L13" s="21">
        <v>44474</v>
      </c>
      <c r="M13" s="17" t="s">
        <v>50</v>
      </c>
      <c r="N13" s="17"/>
      <c r="O13" s="2">
        <v>90</v>
      </c>
      <c r="P13" s="22"/>
      <c r="Q13" s="2"/>
      <c r="R13" s="2"/>
      <c r="S13" s="23"/>
      <c r="T13" s="23"/>
      <c r="U13" s="2"/>
      <c r="V13" s="2"/>
      <c r="W13" s="2"/>
      <c r="X13" s="2"/>
      <c r="Y13" s="2">
        <f t="shared" ref="Y13:Y14" si="2">((O13*F13)+Q13+R13+S13+T13+U13+V13)/G13+W13</f>
        <v>90</v>
      </c>
      <c r="Z13" s="3">
        <f t="shared" ref="Z13:Z14" si="3">Y13*G13</f>
        <v>30117.599999999999</v>
      </c>
      <c r="AA13" s="27">
        <v>44481</v>
      </c>
      <c r="AB13" s="20">
        <v>41.17</v>
      </c>
      <c r="AC13" t="s">
        <v>59</v>
      </c>
    </row>
    <row r="14" spans="1:29" x14ac:dyDescent="0.25">
      <c r="A14" s="35"/>
      <c r="B14" s="16" t="s">
        <v>60</v>
      </c>
      <c r="C14" t="s">
        <v>55</v>
      </c>
      <c r="D14" s="17" t="s">
        <v>56</v>
      </c>
      <c r="E14" t="s">
        <v>61</v>
      </c>
      <c r="F14" s="18">
        <v>385.34</v>
      </c>
      <c r="G14" s="19">
        <v>385.34</v>
      </c>
      <c r="H14" s="19">
        <f t="shared" si="1"/>
        <v>0</v>
      </c>
      <c r="I14" t="s">
        <v>62</v>
      </c>
      <c r="J14" s="31"/>
      <c r="K14" s="21"/>
      <c r="L14" s="21">
        <v>44474</v>
      </c>
      <c r="M14" s="17" t="s">
        <v>50</v>
      </c>
      <c r="N14" s="17"/>
      <c r="O14" s="2">
        <v>87</v>
      </c>
      <c r="P14" s="22"/>
      <c r="Q14" s="2"/>
      <c r="R14" s="2"/>
      <c r="S14" s="23"/>
      <c r="T14" s="23"/>
      <c r="U14" s="2"/>
      <c r="V14" s="2"/>
      <c r="W14" s="2"/>
      <c r="X14" s="2"/>
      <c r="Y14" s="2">
        <f t="shared" si="2"/>
        <v>86.999999999999986</v>
      </c>
      <c r="Z14" s="3">
        <f t="shared" si="3"/>
        <v>33524.579999999994</v>
      </c>
      <c r="AA14" s="27">
        <v>44481</v>
      </c>
      <c r="AB14" s="20">
        <v>40.51</v>
      </c>
      <c r="AC14" t="s">
        <v>59</v>
      </c>
    </row>
    <row r="15" spans="1:29" x14ac:dyDescent="0.25">
      <c r="A15" s="35"/>
      <c r="B15" s="16" t="s">
        <v>26</v>
      </c>
      <c r="C15" t="s">
        <v>59</v>
      </c>
      <c r="D15" t="s">
        <v>59</v>
      </c>
      <c r="E15" t="s">
        <v>63</v>
      </c>
      <c r="F15" s="18">
        <f>40626*0.4536</f>
        <v>18427.953600000001</v>
      </c>
      <c r="G15" s="19">
        <v>18405.04</v>
      </c>
      <c r="H15" s="19">
        <f t="shared" si="1"/>
        <v>-22.91359999999986</v>
      </c>
      <c r="I15" s="39" t="s">
        <v>64</v>
      </c>
      <c r="J15" s="20" t="s">
        <v>65</v>
      </c>
      <c r="K15" s="21">
        <v>44474</v>
      </c>
      <c r="L15" s="21">
        <v>44475</v>
      </c>
      <c r="M15" s="17" t="s">
        <v>66</v>
      </c>
      <c r="N15" s="17" t="s">
        <v>67</v>
      </c>
      <c r="O15" s="2"/>
      <c r="P15" s="22">
        <f>0.7301+0.115</f>
        <v>0.84509999999999996</v>
      </c>
      <c r="Q15" s="38">
        <v>26000</v>
      </c>
      <c r="R15" s="23">
        <v>10963</v>
      </c>
      <c r="S15" s="24">
        <v>20.684999999999999</v>
      </c>
      <c r="T15" s="23">
        <f>X15*F15*0.005</f>
        <v>3747.0190505779283</v>
      </c>
      <c r="V15" s="2">
        <v>0.12</v>
      </c>
      <c r="W15" s="2">
        <v>0.3</v>
      </c>
      <c r="X15" s="2">
        <f>IF(O15&gt;0,O15,((P15*2.2046*S15)+(Q15+R15)/G15)+V15)</f>
        <v>40.666686403833012</v>
      </c>
      <c r="Y15" s="2">
        <f>IF(O15&gt;0,O15+W15,((P15*2.2046*S15)+(Q15+R15+T15)/G15)+V15+W15)</f>
        <v>41.170272978520046</v>
      </c>
      <c r="Z15" s="3">
        <f>Y15*F15</f>
        <v>758683.88014750124</v>
      </c>
      <c r="AA15" s="27">
        <v>44475</v>
      </c>
      <c r="AB15" s="20">
        <v>39.81</v>
      </c>
      <c r="AC15" t="s">
        <v>27</v>
      </c>
    </row>
    <row r="16" spans="1:29" x14ac:dyDescent="0.25">
      <c r="A16" s="35"/>
      <c r="B16" s="16" t="s">
        <v>26</v>
      </c>
      <c r="C16" t="s">
        <v>59</v>
      </c>
      <c r="D16" t="s">
        <v>59</v>
      </c>
      <c r="E16" t="s">
        <v>63</v>
      </c>
      <c r="F16" s="18">
        <f>41116*0.4536</f>
        <v>18650.2176</v>
      </c>
      <c r="G16" s="19">
        <v>18617.310000000001</v>
      </c>
      <c r="H16" s="19">
        <f t="shared" si="1"/>
        <v>-32.907599999998638</v>
      </c>
      <c r="I16" s="39" t="s">
        <v>68</v>
      </c>
      <c r="J16" s="20" t="s">
        <v>30</v>
      </c>
      <c r="K16" s="21">
        <v>44475</v>
      </c>
      <c r="L16" s="21">
        <v>44476</v>
      </c>
      <c r="M16" s="17" t="s">
        <v>69</v>
      </c>
      <c r="N16" s="17" t="s">
        <v>70</v>
      </c>
      <c r="O16" s="2"/>
      <c r="P16" s="22">
        <f>0.724+0.115</f>
        <v>0.83899999999999997</v>
      </c>
      <c r="Q16" s="38">
        <v>26000</v>
      </c>
      <c r="R16" s="23">
        <v>9663</v>
      </c>
      <c r="S16" s="24">
        <v>20.53</v>
      </c>
      <c r="T16" s="23">
        <f>X16*F16*0.005</f>
        <v>3730.8912046058308</v>
      </c>
      <c r="V16" s="2">
        <v>0.12</v>
      </c>
      <c r="W16" s="2">
        <v>0.3</v>
      </c>
      <c r="X16" s="2">
        <f>IF(O16&gt;0,O16,((P16*2.2046*S16)+(Q16+R16)/G16)+V16)</f>
        <v>40.009090345474903</v>
      </c>
      <c r="Y16" s="2">
        <f>IF(O16&gt;0,O16+W16,((P16*2.2046*S16)+(Q16+R16+T16)/G16)+V16+W16)</f>
        <v>40.50948939370506</v>
      </c>
      <c r="Z16" s="26">
        <f>Y16*F16</f>
        <v>755510.79205749149</v>
      </c>
      <c r="AA16" s="27">
        <v>44476</v>
      </c>
      <c r="AB16" s="20">
        <v>39.76</v>
      </c>
      <c r="AC16" t="s">
        <v>27</v>
      </c>
    </row>
    <row r="17" spans="1:29" x14ac:dyDescent="0.25">
      <c r="A17" s="35"/>
      <c r="B17" s="16" t="s">
        <v>33</v>
      </c>
      <c r="C17" t="s">
        <v>34</v>
      </c>
      <c r="D17" s="17" t="s">
        <v>71</v>
      </c>
      <c r="E17">
        <v>200</v>
      </c>
      <c r="F17" s="18">
        <v>22290</v>
      </c>
      <c r="G17" s="19">
        <v>17430</v>
      </c>
      <c r="H17" s="19">
        <f t="shared" si="1"/>
        <v>-4860</v>
      </c>
      <c r="I17" t="s">
        <v>72</v>
      </c>
      <c r="J17" s="28">
        <v>0.78190000000000004</v>
      </c>
      <c r="K17" s="21"/>
      <c r="L17" s="21">
        <v>44476</v>
      </c>
      <c r="M17" s="17" t="s">
        <v>69</v>
      </c>
      <c r="N17" s="17"/>
      <c r="O17" s="2">
        <v>32.5</v>
      </c>
      <c r="P17" s="22"/>
      <c r="Q17" s="30">
        <v>26000</v>
      </c>
      <c r="R17" s="2">
        <f>100.6*E17</f>
        <v>20120</v>
      </c>
      <c r="S17" s="23">
        <f>-40*E17</f>
        <v>-8000</v>
      </c>
      <c r="T17" s="23">
        <f>X17*F17*0.0045</f>
        <v>4393.9977753872627</v>
      </c>
      <c r="U17" s="2">
        <f>E17*5</f>
        <v>1000</v>
      </c>
      <c r="V17" s="2">
        <v>3600</v>
      </c>
      <c r="W17" s="2">
        <v>0.3</v>
      </c>
      <c r="X17" s="2">
        <f>((O17*F17)+Q17+R17+S17+U17)/G17</f>
        <v>43.806368330464714</v>
      </c>
      <c r="Y17" s="2">
        <f>((O17*F17)+Q17+R17+S17+T17+U17+V17)/G17+W17</f>
        <v>44.565002740986067</v>
      </c>
      <c r="Z17" s="3">
        <f>Y17*G17</f>
        <v>776767.99777538714</v>
      </c>
      <c r="AA17" s="27">
        <v>44490</v>
      </c>
      <c r="AB17" s="40">
        <f>SUM(AB11:AB16)/6</f>
        <v>40.336666666666666</v>
      </c>
      <c r="AC17" t="s">
        <v>73</v>
      </c>
    </row>
    <row r="18" spans="1:29" x14ac:dyDescent="0.25">
      <c r="A18" s="35"/>
      <c r="B18" t="s">
        <v>74</v>
      </c>
      <c r="C18" t="s">
        <v>75</v>
      </c>
      <c r="D18" s="17" t="s">
        <v>76</v>
      </c>
      <c r="E18" t="s">
        <v>77</v>
      </c>
      <c r="F18" s="18">
        <v>976.92</v>
      </c>
      <c r="G18" s="19">
        <v>976.92</v>
      </c>
      <c r="H18" s="19">
        <f t="shared" si="1"/>
        <v>0</v>
      </c>
      <c r="I18" t="s">
        <v>78</v>
      </c>
      <c r="J18" s="31"/>
      <c r="K18" s="21"/>
      <c r="L18" s="21">
        <v>44476</v>
      </c>
      <c r="M18" s="17" t="s">
        <v>69</v>
      </c>
      <c r="N18" s="17"/>
      <c r="O18" s="2">
        <v>142</v>
      </c>
      <c r="P18" s="22"/>
      <c r="Q18" s="2"/>
      <c r="R18" s="2"/>
      <c r="S18" s="23"/>
      <c r="T18" s="23"/>
      <c r="U18" s="2"/>
      <c r="V18" s="2"/>
      <c r="W18" s="2"/>
      <c r="X18" s="2"/>
      <c r="Y18" s="2">
        <f>((O18*F18)+Q18+R18+S18+T18+U18+V18)/G18+W18</f>
        <v>142</v>
      </c>
      <c r="Z18" s="3">
        <f>Y18*G18</f>
        <v>138722.63999999998</v>
      </c>
      <c r="AA18" s="27">
        <v>44482</v>
      </c>
      <c r="AB18" s="41"/>
    </row>
    <row r="19" spans="1:29" x14ac:dyDescent="0.25">
      <c r="A19" s="35"/>
      <c r="B19" s="16" t="s">
        <v>26</v>
      </c>
      <c r="C19" t="s">
        <v>27</v>
      </c>
      <c r="D19" s="17" t="s">
        <v>27</v>
      </c>
      <c r="E19" t="s">
        <v>28</v>
      </c>
      <c r="F19" s="18">
        <f>42299*0.4536</f>
        <v>19186.826400000002</v>
      </c>
      <c r="G19" s="19">
        <v>19097.490000000002</v>
      </c>
      <c r="H19" s="19">
        <f t="shared" si="1"/>
        <v>-89.33640000000014</v>
      </c>
      <c r="I19" t="s">
        <v>79</v>
      </c>
      <c r="J19" s="20" t="s">
        <v>30</v>
      </c>
      <c r="K19" s="21">
        <v>44476</v>
      </c>
      <c r="L19" s="21">
        <v>44478</v>
      </c>
      <c r="M19" s="17" t="s">
        <v>44</v>
      </c>
      <c r="N19" s="17" t="s">
        <v>80</v>
      </c>
      <c r="O19" s="2"/>
      <c r="P19" s="22">
        <f>0.7098+0.11</f>
        <v>0.81979999999999997</v>
      </c>
      <c r="Q19" s="38">
        <v>26000</v>
      </c>
      <c r="R19" s="23">
        <v>9663</v>
      </c>
      <c r="S19" s="24">
        <v>20.652999999999999</v>
      </c>
      <c r="T19" s="23">
        <f>X19*F19*0.005</f>
        <v>3771.5762400283643</v>
      </c>
      <c r="V19" s="2">
        <v>0.12</v>
      </c>
      <c r="W19" s="2">
        <v>0.3</v>
      </c>
      <c r="X19" s="2">
        <f>IF(O19&gt;0,O19,((P19*2.2046*S19)+(Q19+R19)/G19)+V19)</f>
        <v>39.314226974278185</v>
      </c>
      <c r="Y19" s="2">
        <f>IF(O19&gt;0,O19+W19,((P19*2.2046*S19)+(Q19+R19+T19)/G19)+V19+W19)</f>
        <v>39.81171765185038</v>
      </c>
      <c r="Z19" s="26">
        <f>Y19*F19</f>
        <v>763860.51527186891</v>
      </c>
      <c r="AA19" s="27">
        <v>44470</v>
      </c>
    </row>
    <row r="20" spans="1:29" x14ac:dyDescent="0.25">
      <c r="A20" s="35"/>
      <c r="B20" s="16" t="s">
        <v>26</v>
      </c>
      <c r="C20" t="s">
        <v>27</v>
      </c>
      <c r="D20" s="17" t="s">
        <v>27</v>
      </c>
      <c r="E20" t="s">
        <v>28</v>
      </c>
      <c r="F20" s="18">
        <f>41844*0.4536</f>
        <v>18980.438399999999</v>
      </c>
      <c r="G20" s="19">
        <v>18916.23</v>
      </c>
      <c r="H20" s="19">
        <f t="shared" si="1"/>
        <v>-64.208399999999529</v>
      </c>
      <c r="I20" t="s">
        <v>81</v>
      </c>
      <c r="J20" s="20" t="s">
        <v>65</v>
      </c>
      <c r="K20" s="21">
        <v>44476</v>
      </c>
      <c r="L20" s="21">
        <v>44477</v>
      </c>
      <c r="M20" s="17" t="s">
        <v>31</v>
      </c>
      <c r="N20" s="17" t="s">
        <v>80</v>
      </c>
      <c r="O20" s="2"/>
      <c r="P20" s="22">
        <f>0.7098+0.11</f>
        <v>0.81979999999999997</v>
      </c>
      <c r="Q20" s="38">
        <v>26000</v>
      </c>
      <c r="R20" s="23">
        <v>11813</v>
      </c>
      <c r="S20" s="24">
        <v>20.55</v>
      </c>
      <c r="T20" s="23">
        <f>X20*F20*0.005</f>
        <v>3725.8244646427547</v>
      </c>
      <c r="V20" s="2">
        <v>0.12</v>
      </c>
      <c r="W20" s="2">
        <v>0.3</v>
      </c>
      <c r="X20" s="2">
        <f>IF(O20&gt;0,O20,((P20*2.2046*S20)+(Q20+R20)/G20)+V20)</f>
        <v>39.259624947785767</v>
      </c>
      <c r="Y20" s="2">
        <f>IF(O20&gt;0,O20+W20,((P20*2.2046*S20)+(Q20+R20+T20)/G20)+V20+W20)</f>
        <v>39.756589378047124</v>
      </c>
      <c r="Z20" s="26">
        <f>Y20*F20</f>
        <v>754597.49568411766</v>
      </c>
      <c r="AA20" s="27">
        <v>44470</v>
      </c>
    </row>
    <row r="21" spans="1:29" x14ac:dyDescent="0.25">
      <c r="A21" s="35"/>
      <c r="B21" t="s">
        <v>33</v>
      </c>
      <c r="C21" t="s">
        <v>34</v>
      </c>
      <c r="D21" s="17" t="s">
        <v>82</v>
      </c>
      <c r="E21">
        <v>200</v>
      </c>
      <c r="F21" s="18">
        <v>22790</v>
      </c>
      <c r="G21" s="19">
        <f>17520+73.7</f>
        <v>17593.7</v>
      </c>
      <c r="H21" s="19">
        <f t="shared" si="1"/>
        <v>-5196.2999999999993</v>
      </c>
      <c r="I21" t="s">
        <v>83</v>
      </c>
      <c r="J21" s="42">
        <v>0.77200000000000002</v>
      </c>
      <c r="K21" s="21" t="s">
        <v>84</v>
      </c>
      <c r="L21" s="21">
        <v>44477</v>
      </c>
      <c r="M21" s="17" t="s">
        <v>31</v>
      </c>
      <c r="N21" s="17"/>
      <c r="O21" s="2">
        <v>32.5</v>
      </c>
      <c r="P21" s="22"/>
      <c r="Q21" s="30">
        <v>26000</v>
      </c>
      <c r="R21" s="2">
        <f>100.6*E21</f>
        <v>20120</v>
      </c>
      <c r="S21" s="23">
        <f>-40*E21</f>
        <v>-8000</v>
      </c>
      <c r="T21" s="23">
        <f>X21*F21*0.0045</f>
        <v>4545.4836802378122</v>
      </c>
      <c r="U21" s="2">
        <f>E21*5</f>
        <v>1000</v>
      </c>
      <c r="V21" s="2">
        <v>3600</v>
      </c>
      <c r="W21" s="2">
        <v>0.3</v>
      </c>
      <c r="X21" s="2">
        <f>((O21*F21)+Q21+R21+S21+U21)/G21</f>
        <v>44.322399495273878</v>
      </c>
      <c r="Y21" s="2">
        <f>((O21*F21)+Q21+R21+S21+T21+U21+V21)/G21+W21</f>
        <v>45.085376792842759</v>
      </c>
      <c r="Z21" s="3">
        <f>Y21*G21</f>
        <v>793218.59368023765</v>
      </c>
      <c r="AA21" s="27">
        <v>44491</v>
      </c>
    </row>
    <row r="22" spans="1:29" x14ac:dyDescent="0.25">
      <c r="A22" s="35"/>
      <c r="B22" s="16" t="s">
        <v>85</v>
      </c>
      <c r="C22" t="s">
        <v>86</v>
      </c>
      <c r="D22" s="17" t="s">
        <v>76</v>
      </c>
      <c r="E22" t="s">
        <v>87</v>
      </c>
      <c r="F22" s="18">
        <v>202.16</v>
      </c>
      <c r="G22" s="19">
        <v>202.16</v>
      </c>
      <c r="H22" s="19">
        <f>G22-F22</f>
        <v>0</v>
      </c>
      <c r="I22" s="36" t="s">
        <v>88</v>
      </c>
      <c r="J22" s="31"/>
      <c r="K22" s="21"/>
      <c r="L22" s="21">
        <v>44478</v>
      </c>
      <c r="M22" s="17" t="s">
        <v>44</v>
      </c>
      <c r="N22" s="17"/>
      <c r="O22" s="2">
        <v>135</v>
      </c>
      <c r="P22" s="22"/>
      <c r="Q22" s="2"/>
      <c r="R22" s="2"/>
      <c r="S22" s="23"/>
      <c r="T22" s="23"/>
      <c r="U22" s="2"/>
      <c r="V22" s="2"/>
      <c r="W22" s="2"/>
      <c r="X22" s="2"/>
      <c r="Y22" s="2">
        <f>((O22*F22)+Q22+R22+S22+T22+U22+V22)/G22+W22</f>
        <v>135</v>
      </c>
      <c r="Z22" s="3">
        <f>Y22*G22</f>
        <v>27291.599999999999</v>
      </c>
      <c r="AA22" s="27">
        <v>44487</v>
      </c>
    </row>
    <row r="23" spans="1:29" x14ac:dyDescent="0.25">
      <c r="A23" s="35"/>
      <c r="B23" t="s">
        <v>74</v>
      </c>
      <c r="C23" t="s">
        <v>75</v>
      </c>
      <c r="D23" s="17" t="s">
        <v>76</v>
      </c>
      <c r="E23" t="s">
        <v>89</v>
      </c>
      <c r="F23" s="18">
        <v>4874.42</v>
      </c>
      <c r="G23" s="19">
        <v>4874.42</v>
      </c>
      <c r="H23" s="19">
        <f>G23-F23</f>
        <v>0</v>
      </c>
      <c r="I23" t="s">
        <v>90</v>
      </c>
      <c r="K23" s="21"/>
      <c r="L23" s="21">
        <v>44478</v>
      </c>
      <c r="M23" s="17" t="s">
        <v>44</v>
      </c>
      <c r="N23" s="17"/>
      <c r="O23" s="2">
        <v>142</v>
      </c>
      <c r="P23" s="22"/>
      <c r="Q23" s="2"/>
      <c r="R23" s="2"/>
      <c r="S23" s="23"/>
      <c r="T23" s="23"/>
      <c r="U23" s="2"/>
      <c r="V23" s="2"/>
      <c r="W23" s="2"/>
      <c r="X23" s="2"/>
      <c r="Y23" s="2">
        <f>((O23*F23)+Q23+R23+S23+T23+U23+V23)/G23+W23</f>
        <v>142</v>
      </c>
      <c r="Z23" s="3">
        <f>Y23*G23</f>
        <v>692167.64</v>
      </c>
      <c r="AA23" s="27">
        <v>44487</v>
      </c>
    </row>
    <row r="24" spans="1:29" ht="15.75" thickBot="1" x14ac:dyDescent="0.3">
      <c r="A24" s="43"/>
      <c r="B24" s="33"/>
      <c r="C24" s="4"/>
      <c r="D24" s="4"/>
      <c r="E24" s="4"/>
      <c r="F24" s="34"/>
      <c r="G24" s="34"/>
      <c r="H24" s="34"/>
      <c r="I24" s="7"/>
      <c r="J24" s="4"/>
      <c r="K24" s="8"/>
      <c r="L24" s="8"/>
      <c r="M24" s="4"/>
      <c r="N24" s="4"/>
      <c r="O24" s="9"/>
      <c r="P24" s="10"/>
      <c r="Q24" s="9"/>
      <c r="R24" s="9"/>
      <c r="S24" s="9"/>
      <c r="T24" s="9"/>
      <c r="U24" s="9"/>
      <c r="V24" s="9"/>
      <c r="W24" s="9"/>
      <c r="X24" s="9"/>
      <c r="Y24" s="9"/>
      <c r="Z24" s="13"/>
      <c r="AA24" s="14"/>
      <c r="AB24" s="20">
        <v>35.1</v>
      </c>
      <c r="AC24" t="s">
        <v>27</v>
      </c>
    </row>
    <row r="25" spans="1:29" x14ac:dyDescent="0.25">
      <c r="A25" s="44"/>
      <c r="B25" s="16" t="s">
        <v>33</v>
      </c>
      <c r="C25" t="s">
        <v>34</v>
      </c>
      <c r="D25" s="17" t="s">
        <v>91</v>
      </c>
      <c r="E25">
        <f>209+40</f>
        <v>249</v>
      </c>
      <c r="F25" s="18">
        <f>24390+4815</f>
        <v>29205</v>
      </c>
      <c r="G25" s="19">
        <v>22740</v>
      </c>
      <c r="H25" s="19">
        <f t="shared" ref="H25:H38" si="4">G25-F25</f>
        <v>-6465</v>
      </c>
      <c r="I25" t="s">
        <v>92</v>
      </c>
      <c r="J25" s="28">
        <v>0.77859999999999996</v>
      </c>
      <c r="L25" s="21">
        <v>44479</v>
      </c>
      <c r="M25" s="17" t="s">
        <v>47</v>
      </c>
      <c r="N25" s="17"/>
      <c r="O25" s="2">
        <v>32.5</v>
      </c>
      <c r="P25" s="22"/>
      <c r="Q25" s="30">
        <v>26000</v>
      </c>
      <c r="R25" s="2">
        <f>100.6*E25</f>
        <v>25049.399999999998</v>
      </c>
      <c r="S25" s="23">
        <f>-40*E25</f>
        <v>-9960</v>
      </c>
      <c r="T25" s="23">
        <f>X25*F25*0.0045</f>
        <v>5730.21114073219</v>
      </c>
      <c r="U25" s="2">
        <f>E25*5</f>
        <v>1245</v>
      </c>
      <c r="V25" s="2">
        <v>3600</v>
      </c>
      <c r="W25" s="2">
        <v>0.3</v>
      </c>
      <c r="X25" s="2">
        <f>((O25*F25)+Q25+R25+S25+U25)/G25</f>
        <v>43.601446789797713</v>
      </c>
      <c r="Y25" s="2">
        <f>((O25*F25)+Q25+R25+S25+T25+U25+V25)/G25+W25</f>
        <v>44.311746312257348</v>
      </c>
      <c r="Z25" s="3">
        <f>Y25*G25</f>
        <v>1007649.1111407321</v>
      </c>
      <c r="AA25" s="27">
        <v>44494</v>
      </c>
      <c r="AB25" s="20">
        <v>35.1</v>
      </c>
      <c r="AC25" t="s">
        <v>27</v>
      </c>
    </row>
    <row r="26" spans="1:29" x14ac:dyDescent="0.25">
      <c r="A26" s="44"/>
      <c r="B26" s="16" t="s">
        <v>74</v>
      </c>
      <c r="C26" t="s">
        <v>93</v>
      </c>
      <c r="D26" s="17" t="s">
        <v>76</v>
      </c>
      <c r="E26" t="s">
        <v>94</v>
      </c>
      <c r="F26" s="18">
        <v>615.84</v>
      </c>
      <c r="G26" s="19">
        <v>615.84</v>
      </c>
      <c r="H26" s="19">
        <f t="shared" si="4"/>
        <v>0</v>
      </c>
      <c r="I26" t="s">
        <v>95</v>
      </c>
      <c r="K26" s="21"/>
      <c r="L26" s="21">
        <v>44480</v>
      </c>
      <c r="M26" s="17" t="s">
        <v>48</v>
      </c>
      <c r="N26" s="17"/>
      <c r="O26" s="2">
        <v>135</v>
      </c>
      <c r="P26" s="37"/>
      <c r="Q26" s="2"/>
      <c r="R26" s="2"/>
      <c r="S26" s="23"/>
      <c r="T26" s="23"/>
      <c r="U26" s="2"/>
      <c r="V26" s="2"/>
      <c r="W26" s="2"/>
      <c r="X26" s="2">
        <f>IF(O26&gt;0,O26,((P26*2.2046*S26)+(Q26+R26)/G22)+V26)</f>
        <v>135</v>
      </c>
      <c r="Y26" s="2">
        <f>IF(O26&gt;0,O26+W26,((P26*2.2046*S26)+(Q26+R26+T26)/G22)+V26+W26)</f>
        <v>135</v>
      </c>
      <c r="Z26" s="26">
        <f>Y26*F26</f>
        <v>83138.400000000009</v>
      </c>
      <c r="AA26" s="27">
        <v>44489</v>
      </c>
      <c r="AB26" s="20">
        <v>35.61</v>
      </c>
      <c r="AC26" t="s">
        <v>59</v>
      </c>
    </row>
    <row r="27" spans="1:29" x14ac:dyDescent="0.25">
      <c r="A27" s="44"/>
      <c r="B27" s="16" t="s">
        <v>96</v>
      </c>
      <c r="C27" t="s">
        <v>93</v>
      </c>
      <c r="D27" s="17" t="s">
        <v>76</v>
      </c>
      <c r="E27" t="s">
        <v>97</v>
      </c>
      <c r="F27" s="18">
        <v>274.89</v>
      </c>
      <c r="G27" s="19">
        <v>274.89</v>
      </c>
      <c r="H27" s="19">
        <f t="shared" si="4"/>
        <v>0</v>
      </c>
      <c r="I27" t="s">
        <v>98</v>
      </c>
      <c r="K27" s="21"/>
      <c r="L27" s="21">
        <v>44481</v>
      </c>
      <c r="M27" s="17" t="s">
        <v>50</v>
      </c>
      <c r="N27" s="17"/>
      <c r="O27" s="2">
        <v>135</v>
      </c>
      <c r="P27" s="37"/>
      <c r="Q27" s="2"/>
      <c r="R27" s="2"/>
      <c r="S27" s="23"/>
      <c r="T27" s="23"/>
      <c r="U27" s="2"/>
      <c r="V27" s="2"/>
      <c r="W27" s="2"/>
      <c r="X27" s="2"/>
      <c r="Y27" s="2">
        <f>IF(O27&gt;0,O27+W27,((P27*2.2046*S27)+(Q27+R27+T27)/G23)+V27+W27)</f>
        <v>135</v>
      </c>
      <c r="Z27" s="26">
        <f>Y27*F27</f>
        <v>37110.15</v>
      </c>
      <c r="AA27" s="27">
        <v>44490</v>
      </c>
      <c r="AB27" s="20">
        <v>35.29</v>
      </c>
      <c r="AC27" t="s">
        <v>59</v>
      </c>
    </row>
    <row r="28" spans="1:29" x14ac:dyDescent="0.25">
      <c r="A28" s="44"/>
      <c r="B28" t="s">
        <v>99</v>
      </c>
      <c r="C28" t="s">
        <v>100</v>
      </c>
      <c r="D28" s="17" t="s">
        <v>101</v>
      </c>
      <c r="E28" t="s">
        <v>102</v>
      </c>
      <c r="F28">
        <v>304.18</v>
      </c>
      <c r="G28" s="19">
        <v>304.18</v>
      </c>
      <c r="H28" s="19">
        <f t="shared" si="4"/>
        <v>0</v>
      </c>
      <c r="I28" t="s">
        <v>103</v>
      </c>
      <c r="K28" s="21"/>
      <c r="L28" s="21">
        <v>44481</v>
      </c>
      <c r="M28" s="17" t="s">
        <v>50</v>
      </c>
      <c r="N28" s="17"/>
      <c r="O28" s="2">
        <v>54</v>
      </c>
      <c r="P28" s="37"/>
      <c r="Q28" s="2"/>
      <c r="R28" s="2"/>
      <c r="S28" s="23"/>
      <c r="T28" s="23"/>
      <c r="U28" s="2"/>
      <c r="V28" s="2"/>
      <c r="W28" s="2"/>
      <c r="X28" s="2">
        <f>IF(O28&gt;0,O28,((P28*2.2046*S28)+(Q28+R28)/G28)+V28)</f>
        <v>54</v>
      </c>
      <c r="Y28" s="2">
        <f>IF(O28&gt;0,O28+W28,((P28*2.2046*S28)+(Q28+R28+T28)/G28)+V28+W28)</f>
        <v>54</v>
      </c>
      <c r="Z28" s="26">
        <f>Y28*F28</f>
        <v>16425.72</v>
      </c>
      <c r="AA28" s="27">
        <v>44481</v>
      </c>
      <c r="AB28" s="20">
        <v>32.799999999999997</v>
      </c>
      <c r="AC28" t="s">
        <v>104</v>
      </c>
    </row>
    <row r="29" spans="1:29" x14ac:dyDescent="0.25">
      <c r="A29" s="44"/>
      <c r="B29" s="16" t="s">
        <v>26</v>
      </c>
      <c r="C29" t="s">
        <v>27</v>
      </c>
      <c r="D29" s="17" t="s">
        <v>27</v>
      </c>
      <c r="E29" t="s">
        <v>28</v>
      </c>
      <c r="F29" s="18">
        <f>40083*0.4536</f>
        <v>18181.648799999999</v>
      </c>
      <c r="G29" s="19">
        <v>18133.2</v>
      </c>
      <c r="H29" s="19">
        <f t="shared" si="4"/>
        <v>-48.4487999999983</v>
      </c>
      <c r="I29" t="s">
        <v>105</v>
      </c>
      <c r="J29" s="20" t="s">
        <v>30</v>
      </c>
      <c r="K29" s="21">
        <v>44480</v>
      </c>
      <c r="L29" s="21">
        <v>44481</v>
      </c>
      <c r="M29" s="17" t="s">
        <v>50</v>
      </c>
      <c r="N29" s="17" t="s">
        <v>106</v>
      </c>
      <c r="O29" s="2"/>
      <c r="P29" s="22">
        <f>0.6071+0.11</f>
        <v>0.71709999999999996</v>
      </c>
      <c r="Q29" s="38">
        <v>26000</v>
      </c>
      <c r="R29" s="23">
        <v>10963</v>
      </c>
      <c r="S29" s="24">
        <v>20.53</v>
      </c>
      <c r="T29" s="23">
        <f>X29*F29*0.005</f>
        <v>3146.7593948295585</v>
      </c>
      <c r="V29" s="2">
        <v>0.12</v>
      </c>
      <c r="W29" s="2">
        <v>0.3</v>
      </c>
      <c r="X29" s="2">
        <f>IF(O29&gt;0,O29,((P29*2.2046*S29)+(Q29+R29)/G29)+V29)</f>
        <v>34.614675813445025</v>
      </c>
      <c r="Y29" s="2">
        <f>IF(O29&gt;0,O29+W29,((P29*2.2046*S29)+(Q29+R29+T29)/G29)+V29+W29)</f>
        <v>35.088211614893723</v>
      </c>
      <c r="Z29" s="26">
        <f>Y29*F29</f>
        <v>637961.54060207843</v>
      </c>
      <c r="AA29" s="27">
        <v>44474</v>
      </c>
      <c r="AB29" s="20">
        <v>33.74</v>
      </c>
      <c r="AC29" t="s">
        <v>27</v>
      </c>
    </row>
    <row r="30" spans="1:29" x14ac:dyDescent="0.25">
      <c r="A30" s="44"/>
      <c r="B30" s="16" t="s">
        <v>26</v>
      </c>
      <c r="C30" t="s">
        <v>27</v>
      </c>
      <c r="D30" s="17" t="s">
        <v>27</v>
      </c>
      <c r="E30" t="s">
        <v>28</v>
      </c>
      <c r="F30" s="18">
        <f>41940*0.4536</f>
        <v>19023.984</v>
      </c>
      <c r="G30" s="19">
        <v>18950.28</v>
      </c>
      <c r="H30" s="19">
        <f t="shared" si="4"/>
        <v>-73.704000000001543</v>
      </c>
      <c r="I30" t="s">
        <v>107</v>
      </c>
      <c r="J30" s="20" t="s">
        <v>30</v>
      </c>
      <c r="K30" s="21">
        <v>44480</v>
      </c>
      <c r="L30" s="21">
        <v>44481</v>
      </c>
      <c r="M30" s="17" t="s">
        <v>50</v>
      </c>
      <c r="N30" s="17" t="s">
        <v>106</v>
      </c>
      <c r="O30" s="2"/>
      <c r="P30" s="22">
        <f>0.6071+0.11</f>
        <v>0.71709999999999996</v>
      </c>
      <c r="Q30" s="38">
        <v>26000</v>
      </c>
      <c r="R30" s="23">
        <v>11963</v>
      </c>
      <c r="S30" s="24">
        <v>20.53</v>
      </c>
      <c r="T30" s="23">
        <f>X30*F30*0.005</f>
        <v>3289.2045078915662</v>
      </c>
      <c r="V30" s="2">
        <v>0.12</v>
      </c>
      <c r="W30" s="2">
        <v>0.3</v>
      </c>
      <c r="X30" s="2">
        <f>IF(O30&gt;0,O30,((P30*2.2046*S30)+(Q30+R30)/G30)+V30)</f>
        <v>34.579555027922289</v>
      </c>
      <c r="Y30" s="2">
        <f>IF(O30&gt;0,O30+W30,((P30*2.2046*S30)+(Q30+R30+T30)/G30)+V30+W30)</f>
        <v>35.053125260546373</v>
      </c>
      <c r="Z30" s="26">
        <f>Y30*F30</f>
        <v>666850.09410663007</v>
      </c>
      <c r="AA30" s="27">
        <v>44474</v>
      </c>
      <c r="AB30" s="40">
        <f>SUM(AB24:AB29)/6</f>
        <v>34.606666666666662</v>
      </c>
      <c r="AC30" t="s">
        <v>73</v>
      </c>
    </row>
    <row r="31" spans="1:29" x14ac:dyDescent="0.25">
      <c r="A31" s="44"/>
      <c r="B31" s="16" t="s">
        <v>33</v>
      </c>
      <c r="C31" t="s">
        <v>34</v>
      </c>
      <c r="D31" s="17" t="s">
        <v>91</v>
      </c>
      <c r="E31">
        <f>200+50</f>
        <v>250</v>
      </c>
      <c r="F31" s="18">
        <f>24600+6585</f>
        <v>31185</v>
      </c>
      <c r="G31" s="19">
        <v>24740</v>
      </c>
      <c r="H31" s="19">
        <f t="shared" si="4"/>
        <v>-6445</v>
      </c>
      <c r="I31" t="s">
        <v>108</v>
      </c>
      <c r="J31" s="28">
        <v>0.79330000000000001</v>
      </c>
      <c r="K31" s="21"/>
      <c r="L31" s="21">
        <v>44481</v>
      </c>
      <c r="M31" s="17" t="s">
        <v>50</v>
      </c>
      <c r="N31" s="17"/>
      <c r="O31" s="2">
        <v>32</v>
      </c>
      <c r="P31" s="22"/>
      <c r="Q31" s="30">
        <v>26000</v>
      </c>
      <c r="R31" s="2">
        <f>100.6*E31</f>
        <v>25150</v>
      </c>
      <c r="S31" s="23">
        <f>-40*E31</f>
        <v>-10000</v>
      </c>
      <c r="T31" s="23">
        <f>X31*F31*0.0045</f>
        <v>5900.9986418755043</v>
      </c>
      <c r="U31" s="2">
        <f>E31*5</f>
        <v>1250</v>
      </c>
      <c r="V31" s="2">
        <v>3600</v>
      </c>
      <c r="W31" s="2">
        <v>0.3</v>
      </c>
      <c r="X31" s="2">
        <f>((O31*F31)+Q31+R31+S31+U31)/G31</f>
        <v>42.050121261115599</v>
      </c>
      <c r="Y31" s="2">
        <f>((O31*F31)+Q31+R31+S31+T31+U31+V31)/G31+W31</f>
        <v>42.734155159332076</v>
      </c>
      <c r="Z31" s="3">
        <f>Y31*G31</f>
        <v>1057242.9986418756</v>
      </c>
      <c r="AA31" s="27">
        <v>44495</v>
      </c>
    </row>
    <row r="32" spans="1:29" x14ac:dyDescent="0.25">
      <c r="A32" s="44"/>
      <c r="B32" s="16" t="s">
        <v>26</v>
      </c>
      <c r="C32" t="s">
        <v>59</v>
      </c>
      <c r="D32" t="s">
        <v>59</v>
      </c>
      <c r="E32" t="s">
        <v>63</v>
      </c>
      <c r="F32" s="18">
        <f>40876*0.4536</f>
        <v>18541.353599999999</v>
      </c>
      <c r="G32" s="19">
        <v>18531.09</v>
      </c>
      <c r="H32" s="19">
        <f t="shared" si="4"/>
        <v>-10.263599999998405</v>
      </c>
      <c r="I32" s="39" t="s">
        <v>109</v>
      </c>
      <c r="J32" s="20" t="s">
        <v>65</v>
      </c>
      <c r="K32" s="21">
        <v>44481</v>
      </c>
      <c r="L32" s="21">
        <v>44482</v>
      </c>
      <c r="M32" s="17" t="s">
        <v>66</v>
      </c>
      <c r="N32" s="17" t="s">
        <v>110</v>
      </c>
      <c r="O32" s="2"/>
      <c r="P32" s="22">
        <f>0.6071+0.115</f>
        <v>0.72209999999999996</v>
      </c>
      <c r="Q32" s="38">
        <v>26000</v>
      </c>
      <c r="R32" s="23">
        <v>10963</v>
      </c>
      <c r="S32" s="24">
        <v>20.74</v>
      </c>
      <c r="T32" s="23">
        <f>X32*F32*0.005</f>
        <v>3256.9294833106474</v>
      </c>
      <c r="V32" s="2">
        <v>0.12</v>
      </c>
      <c r="W32" s="2">
        <v>0.3</v>
      </c>
      <c r="X32" s="2">
        <f>IF(O32&gt;0,O32,((P32*2.2046*S32)+(Q32+R32)/G32)+V32)</f>
        <v>35.131517941717561</v>
      </c>
      <c r="Y32" s="2">
        <f>IF(O32&gt;0,O32+W32,((P32*2.2046*S32)+(Q32+R32+T32)/G32)+V32+W32)</f>
        <v>35.60727282085908</v>
      </c>
      <c r="Z32" s="3">
        <f>Y32*F32</f>
        <v>660207.03610321763</v>
      </c>
      <c r="AA32" s="27">
        <v>44475</v>
      </c>
    </row>
    <row r="33" spans="1:29" x14ac:dyDescent="0.25">
      <c r="A33" s="44"/>
      <c r="B33" s="16" t="s">
        <v>26</v>
      </c>
      <c r="C33" t="s">
        <v>27</v>
      </c>
      <c r="D33" s="17" t="s">
        <v>111</v>
      </c>
      <c r="E33" t="s">
        <v>28</v>
      </c>
      <c r="F33" s="18">
        <v>19059.97</v>
      </c>
      <c r="G33" s="19">
        <v>19005.14</v>
      </c>
      <c r="H33" s="19">
        <f t="shared" si="4"/>
        <v>-54.830000000001746</v>
      </c>
      <c r="I33" t="s">
        <v>112</v>
      </c>
      <c r="K33" s="21"/>
      <c r="L33" s="21">
        <v>44483</v>
      </c>
      <c r="M33" s="17" t="s">
        <v>69</v>
      </c>
      <c r="N33" s="17"/>
      <c r="O33" s="2">
        <v>32.5</v>
      </c>
      <c r="P33" s="22"/>
      <c r="Q33" s="2"/>
      <c r="R33" s="2"/>
      <c r="S33" s="24"/>
      <c r="T33" s="23"/>
      <c r="U33" s="2"/>
      <c r="V33" s="2"/>
      <c r="W33" s="2">
        <v>0.3</v>
      </c>
      <c r="X33" s="2">
        <f>((O33*F33)+Q33+R33+S33+U33)/G33</f>
        <v>32.593762792591903</v>
      </c>
      <c r="Y33" s="2">
        <f>((O33*F33)+Q33+R33+S33+T33+U33+V33)/G33+W33</f>
        <v>32.8937627925919</v>
      </c>
      <c r="Z33" s="3">
        <f>Y33*G33</f>
        <v>625150.56700000004</v>
      </c>
      <c r="AA33" s="27">
        <v>44490</v>
      </c>
    </row>
    <row r="34" spans="1:29" x14ac:dyDescent="0.25">
      <c r="A34" s="44"/>
      <c r="B34" s="16" t="s">
        <v>26</v>
      </c>
      <c r="C34" t="s">
        <v>59</v>
      </c>
      <c r="D34" t="s">
        <v>59</v>
      </c>
      <c r="E34" t="s">
        <v>63</v>
      </c>
      <c r="F34" s="18">
        <f>41484*0.4536</f>
        <v>18817.142400000001</v>
      </c>
      <c r="G34" s="19">
        <v>18816.62</v>
      </c>
      <c r="H34" s="19">
        <f t="shared" si="4"/>
        <v>-0.5224000000016531</v>
      </c>
      <c r="I34" s="39" t="s">
        <v>113</v>
      </c>
      <c r="J34" s="20" t="s">
        <v>30</v>
      </c>
      <c r="K34" s="21">
        <v>44482</v>
      </c>
      <c r="L34" s="21">
        <v>44483</v>
      </c>
      <c r="M34" s="17" t="s">
        <v>69</v>
      </c>
      <c r="N34" s="17" t="s">
        <v>114</v>
      </c>
      <c r="O34" s="2"/>
      <c r="P34" s="22">
        <f>0.6066+0.115</f>
        <v>0.72160000000000002</v>
      </c>
      <c r="Q34" s="38">
        <v>26000</v>
      </c>
      <c r="R34" s="23">
        <v>9663</v>
      </c>
      <c r="S34" s="24">
        <v>20.616</v>
      </c>
      <c r="T34" s="23">
        <f>X34*F34*0.005</f>
        <v>3275.315269588415</v>
      </c>
      <c r="V34" s="2">
        <v>0.12</v>
      </c>
      <c r="W34" s="2">
        <v>0.3</v>
      </c>
      <c r="X34" s="2">
        <f>IF(O34&gt;0,O34,((P34*2.2046*S34)+(Q34+R34)/G34)+V34)</f>
        <v>34.812036811587447</v>
      </c>
      <c r="Y34" s="2">
        <f>IF(O34&gt;0,O34+W34,((P34*2.2046*S34)+(Q34+R34+T34)/G34)+V34+W34)</f>
        <v>35.286101828024421</v>
      </c>
      <c r="Z34" s="26">
        <f>Y34*F34</f>
        <v>663983.60283883591</v>
      </c>
      <c r="AA34" s="27">
        <v>44476</v>
      </c>
    </row>
    <row r="35" spans="1:29" x14ac:dyDescent="0.25">
      <c r="A35" s="44"/>
      <c r="B35" s="16" t="s">
        <v>33</v>
      </c>
      <c r="C35" t="s">
        <v>34</v>
      </c>
      <c r="D35" s="17" t="s">
        <v>91</v>
      </c>
      <c r="E35">
        <f>200+51</f>
        <v>251</v>
      </c>
      <c r="F35" s="18">
        <f>23420+5650</f>
        <v>29070</v>
      </c>
      <c r="G35" s="19">
        <v>22710</v>
      </c>
      <c r="H35" s="19">
        <f t="shared" si="4"/>
        <v>-6360</v>
      </c>
      <c r="I35" t="s">
        <v>115</v>
      </c>
      <c r="J35" s="28">
        <v>0.78120000000000001</v>
      </c>
      <c r="K35" s="21"/>
      <c r="L35" s="21">
        <v>44483</v>
      </c>
      <c r="M35" s="17" t="s">
        <v>69</v>
      </c>
      <c r="N35" s="17"/>
      <c r="O35" s="2">
        <v>31.5</v>
      </c>
      <c r="P35" s="22"/>
      <c r="Q35" s="30">
        <v>26000</v>
      </c>
      <c r="R35" s="2">
        <f>100.6*E35</f>
        <v>25250.6</v>
      </c>
      <c r="S35" s="23">
        <f>-40*E35</f>
        <v>-10040</v>
      </c>
      <c r="T35" s="23">
        <f>X35*F35*0.0045</f>
        <v>5519.290490488771</v>
      </c>
      <c r="U35" s="2">
        <f>E35*5</f>
        <v>1255</v>
      </c>
      <c r="V35" s="2">
        <v>3600</v>
      </c>
      <c r="W35" s="2">
        <v>0.3</v>
      </c>
      <c r="X35" s="2">
        <f>((O35*F35)+Q35+R35+S35+U35)/G35</f>
        <v>42.191571994715986</v>
      </c>
      <c r="Y35" s="2">
        <f>((O35*F35)+Q35+R35+S35+T35+U35+V35)/G35+W35</f>
        <v>42.893125957309053</v>
      </c>
      <c r="Z35" s="3">
        <f>Y35*G35</f>
        <v>974102.89049048861</v>
      </c>
      <c r="AA35" s="27">
        <v>44496</v>
      </c>
    </row>
    <row r="36" spans="1:29" x14ac:dyDescent="0.25">
      <c r="A36" s="44"/>
      <c r="B36" s="16" t="s">
        <v>26</v>
      </c>
      <c r="C36" t="s">
        <v>27</v>
      </c>
      <c r="D36" s="17" t="s">
        <v>27</v>
      </c>
      <c r="E36" t="s">
        <v>28</v>
      </c>
      <c r="F36" s="18">
        <f>41435*0.4536</f>
        <v>18794.916000000001</v>
      </c>
      <c r="G36" s="19">
        <v>18729.34</v>
      </c>
      <c r="H36" s="19">
        <f t="shared" si="4"/>
        <v>-65.576000000000931</v>
      </c>
      <c r="I36" t="s">
        <v>116</v>
      </c>
      <c r="J36" s="20" t="s">
        <v>30</v>
      </c>
      <c r="K36" s="21">
        <v>44483</v>
      </c>
      <c r="L36" s="21">
        <v>44484</v>
      </c>
      <c r="M36" s="17" t="s">
        <v>31</v>
      </c>
      <c r="N36" s="17" t="s">
        <v>117</v>
      </c>
      <c r="O36" s="2"/>
      <c r="P36" s="22">
        <f>0.5766+0.11</f>
        <v>0.68659999999999999</v>
      </c>
      <c r="Q36" s="38">
        <v>26000</v>
      </c>
      <c r="R36" s="23">
        <v>9663</v>
      </c>
      <c r="S36" s="24">
        <v>20.63</v>
      </c>
      <c r="T36" s="23">
        <f>X36*F36*0.005</f>
        <v>3124.7778282732529</v>
      </c>
      <c r="V36" s="2">
        <v>0.12</v>
      </c>
      <c r="W36" s="2">
        <v>0.3</v>
      </c>
      <c r="X36" s="2">
        <f>IF(O36&gt;0,O36,((P36*2.2046*S36)+(Q36+R36)/G36)+V36)</f>
        <v>33.251309325066977</v>
      </c>
      <c r="Y36" s="2">
        <f>IF(O36&gt;0,O36+W36,((P36*2.2046*S36)+(Q36+R36+T36)/G36)+V36+W36)</f>
        <v>33.718147976523632</v>
      </c>
      <c r="Z36" s="26">
        <f>Y36*F36</f>
        <v>633729.75889433164</v>
      </c>
      <c r="AA36" s="27">
        <v>44477</v>
      </c>
      <c r="AB36" s="22">
        <v>0.71660000000000001</v>
      </c>
      <c r="AC36" t="s">
        <v>118</v>
      </c>
    </row>
    <row r="37" spans="1:29" x14ac:dyDescent="0.25">
      <c r="A37" s="44"/>
      <c r="B37" t="s">
        <v>33</v>
      </c>
      <c r="C37" t="s">
        <v>34</v>
      </c>
      <c r="D37" s="17" t="s">
        <v>119</v>
      </c>
      <c r="E37">
        <v>201</v>
      </c>
      <c r="F37" s="18">
        <v>17210</v>
      </c>
      <c r="G37" s="19">
        <v>17210</v>
      </c>
      <c r="H37" s="19">
        <f t="shared" si="4"/>
        <v>0</v>
      </c>
      <c r="I37" t="s">
        <v>120</v>
      </c>
      <c r="K37" s="21"/>
      <c r="L37" s="21">
        <v>44484</v>
      </c>
      <c r="M37" s="17" t="s">
        <v>31</v>
      </c>
      <c r="N37" s="17"/>
      <c r="O37" s="2">
        <v>44</v>
      </c>
      <c r="Q37" s="2"/>
      <c r="R37" s="2"/>
      <c r="S37" s="23"/>
      <c r="T37" s="23"/>
      <c r="U37" s="2"/>
      <c r="V37" s="2"/>
      <c r="W37" s="2">
        <v>0.3</v>
      </c>
      <c r="X37" s="2">
        <f>((O37*F37)+Q37+R37+S37+U37)/G37</f>
        <v>44</v>
      </c>
      <c r="Y37" s="2">
        <f>((O37*F37)+Q37+R37+S37+T37+U37+V37)/G37+W37</f>
        <v>44.3</v>
      </c>
      <c r="Z37" s="3">
        <f>Y37*G37</f>
        <v>762403</v>
      </c>
      <c r="AA37" s="27">
        <v>44498</v>
      </c>
    </row>
    <row r="38" spans="1:29" x14ac:dyDescent="0.25">
      <c r="A38" s="44"/>
      <c r="B38" t="s">
        <v>121</v>
      </c>
      <c r="C38" t="s">
        <v>27</v>
      </c>
      <c r="D38" s="17" t="s">
        <v>39</v>
      </c>
      <c r="E38" t="s">
        <v>28</v>
      </c>
      <c r="F38" s="18">
        <v>18981.22</v>
      </c>
      <c r="G38" s="19">
        <v>18381.8</v>
      </c>
      <c r="H38" s="45">
        <f t="shared" si="4"/>
        <v>-599.42000000000189</v>
      </c>
      <c r="I38" t="s">
        <v>122</v>
      </c>
      <c r="J38" t="s">
        <v>123</v>
      </c>
      <c r="K38" s="21"/>
      <c r="L38" s="21">
        <v>44485</v>
      </c>
      <c r="M38" s="17" t="s">
        <v>44</v>
      </c>
      <c r="N38" s="17"/>
      <c r="O38" s="2">
        <v>28</v>
      </c>
      <c r="P38" s="22"/>
      <c r="Q38" s="2"/>
      <c r="R38" s="2"/>
      <c r="S38" s="23"/>
      <c r="T38" s="23"/>
      <c r="U38" s="2"/>
      <c r="V38" s="2"/>
      <c r="W38" s="2">
        <v>0.3</v>
      </c>
      <c r="X38" s="2">
        <f>IF(O38&gt;0,O38,((P38*2.2046*S38)+(Q38+R38)/G38)+V38)</f>
        <v>28</v>
      </c>
      <c r="Y38" s="2">
        <f>IF(O38&gt;0,O38+W38,((P38*2.2046*S38)+(Q38+R38+T38)/G38)+V38+W38)</f>
        <v>28.3</v>
      </c>
      <c r="Z38" s="26">
        <f>Y38*F38</f>
        <v>537168.52600000007</v>
      </c>
      <c r="AA38" s="27">
        <v>44498</v>
      </c>
    </row>
    <row r="39" spans="1:29" ht="15.75" thickBot="1" x14ac:dyDescent="0.3">
      <c r="A39" s="46"/>
      <c r="B39" s="33"/>
      <c r="C39" s="4"/>
      <c r="D39" s="4"/>
      <c r="E39" s="4"/>
      <c r="F39" s="34"/>
      <c r="G39" s="34"/>
      <c r="H39" s="34"/>
      <c r="I39" s="7"/>
      <c r="J39" s="4"/>
      <c r="K39" s="8"/>
      <c r="L39" s="8"/>
      <c r="M39" s="4"/>
      <c r="N39" s="4"/>
      <c r="O39" s="9"/>
      <c r="P39" s="10"/>
      <c r="Q39" s="9"/>
      <c r="R39" s="9"/>
      <c r="S39" s="9"/>
      <c r="T39" s="9"/>
      <c r="U39" s="9"/>
      <c r="V39" s="9"/>
      <c r="W39" s="9"/>
      <c r="X39" s="9"/>
      <c r="Y39" s="9"/>
      <c r="Z39" s="13"/>
      <c r="AA39" s="14"/>
    </row>
    <row r="40" spans="1:29" x14ac:dyDescent="0.25">
      <c r="A40" s="47"/>
      <c r="B40" s="16"/>
      <c r="D40" s="17"/>
      <c r="F40" s="18"/>
      <c r="G40" s="19"/>
      <c r="H40" s="19">
        <f t="shared" ref="H40:H56" si="5">G40-F40</f>
        <v>0</v>
      </c>
      <c r="K40" s="21"/>
      <c r="L40" s="21">
        <v>44486</v>
      </c>
      <c r="M40" s="17" t="s">
        <v>47</v>
      </c>
      <c r="N40" s="17"/>
      <c r="O40" s="2"/>
      <c r="P40" s="22"/>
      <c r="Q40" s="2"/>
      <c r="R40" s="2"/>
      <c r="S40" s="23"/>
      <c r="T40" s="23"/>
      <c r="U40" s="2"/>
      <c r="V40" s="2"/>
      <c r="W40" s="2"/>
      <c r="X40" s="2" t="e">
        <f>((O40*F40)+Q40+R40+S40+U40)/G40</f>
        <v>#DIV/0!</v>
      </c>
      <c r="Y40" s="2" t="e">
        <f>((O40*F40)+Q40+R40+S40+T40+U40+V40)/G40+W40</f>
        <v>#DIV/0!</v>
      </c>
      <c r="Z40" s="3" t="e">
        <f>Y40*G40</f>
        <v>#DIV/0!</v>
      </c>
      <c r="AA40" s="27"/>
    </row>
    <row r="41" spans="1:29" x14ac:dyDescent="0.25">
      <c r="A41" s="47"/>
      <c r="B41" s="16" t="s">
        <v>33</v>
      </c>
      <c r="C41" t="s">
        <v>34</v>
      </c>
      <c r="D41" s="17" t="s">
        <v>124</v>
      </c>
      <c r="E41">
        <f>200+50</f>
        <v>250</v>
      </c>
      <c r="F41" s="18">
        <f>22940+5815</f>
        <v>28755</v>
      </c>
      <c r="G41" s="19">
        <v>22420</v>
      </c>
      <c r="H41" s="19">
        <f t="shared" si="5"/>
        <v>-6335</v>
      </c>
      <c r="I41" s="36" t="s">
        <v>125</v>
      </c>
      <c r="J41" s="48">
        <v>0.77969999999999995</v>
      </c>
      <c r="K41" s="21"/>
      <c r="L41" s="21">
        <v>44487</v>
      </c>
      <c r="M41" s="17" t="s">
        <v>48</v>
      </c>
      <c r="N41" s="17"/>
      <c r="O41" s="2">
        <v>31.5</v>
      </c>
      <c r="P41" s="37"/>
      <c r="Q41" s="30">
        <v>26000</v>
      </c>
      <c r="R41" s="2">
        <f>100.6*E41</f>
        <v>25150</v>
      </c>
      <c r="S41" s="23">
        <f>-40*E41</f>
        <v>-10000</v>
      </c>
      <c r="T41" s="23">
        <f>X41*F41*0.0045</f>
        <v>5472.4551759032111</v>
      </c>
      <c r="U41" s="2">
        <f>E41*5</f>
        <v>1250</v>
      </c>
      <c r="V41" s="2">
        <v>3600</v>
      </c>
      <c r="W41" s="2">
        <v>0.3</v>
      </c>
      <c r="X41" s="2">
        <f>((O41*F41)+Q41+R41+S41+U41)/G41</f>
        <v>42.291815343443353</v>
      </c>
      <c r="Y41" s="2">
        <f>((O41*F41)+Q41+R41+S41+T41+U41+V41)/G41+W41</f>
        <v>42.996474361101832</v>
      </c>
      <c r="Z41" s="3">
        <f>Y41*G41</f>
        <v>963980.95517590304</v>
      </c>
      <c r="AA41" s="27">
        <v>44502</v>
      </c>
    </row>
    <row r="42" spans="1:29" x14ac:dyDescent="0.25">
      <c r="A42" s="47"/>
      <c r="B42" s="16" t="s">
        <v>26</v>
      </c>
      <c r="C42" t="s">
        <v>27</v>
      </c>
      <c r="D42" s="17" t="s">
        <v>27</v>
      </c>
      <c r="E42" t="s">
        <v>28</v>
      </c>
      <c r="F42" s="18">
        <f>42294*0.4536</f>
        <v>19184.558400000002</v>
      </c>
      <c r="G42" s="19">
        <v>19096.93</v>
      </c>
      <c r="H42" s="19">
        <f t="shared" si="5"/>
        <v>-87.62840000000142</v>
      </c>
      <c r="I42" t="s">
        <v>126</v>
      </c>
      <c r="J42" s="20" t="s">
        <v>30</v>
      </c>
      <c r="K42" s="21">
        <v>44487</v>
      </c>
      <c r="L42" s="21">
        <v>44488</v>
      </c>
      <c r="M42" s="17" t="s">
        <v>50</v>
      </c>
      <c r="N42" s="17" t="s">
        <v>127</v>
      </c>
      <c r="O42" s="2"/>
      <c r="P42" s="22">
        <f>0.4928+0.11</f>
        <v>0.6028</v>
      </c>
      <c r="Q42" s="38">
        <v>26000</v>
      </c>
      <c r="R42" s="23">
        <v>10963</v>
      </c>
      <c r="S42" s="24">
        <v>20.78</v>
      </c>
      <c r="T42" s="23">
        <f>X42*F42*0.005</f>
        <v>2846.1032866894416</v>
      </c>
      <c r="V42" s="2">
        <v>0.12</v>
      </c>
      <c r="W42" s="2">
        <v>0.3</v>
      </c>
      <c r="X42" s="2">
        <f>IF(O42&gt;0,O42,((P42*2.2046*S42)+(Q42+R42)/G42)+V42)</f>
        <v>29.670771954692906</v>
      </c>
      <c r="Y42" s="2">
        <f>IF(O42&gt;0,O42+W42,((P42*2.2046*S42)+(Q42+R42+T42)/G42)+V42+W42)</f>
        <v>30.119806552750784</v>
      </c>
      <c r="Z42" s="26">
        <f>Y42*F42</f>
        <v>577835.18780795019</v>
      </c>
      <c r="AA42" s="27">
        <v>44481</v>
      </c>
      <c r="AB42" s="20">
        <v>30.11</v>
      </c>
      <c r="AC42" t="s">
        <v>27</v>
      </c>
    </row>
    <row r="43" spans="1:29" x14ac:dyDescent="0.25">
      <c r="A43" s="47"/>
      <c r="B43" s="16" t="s">
        <v>26</v>
      </c>
      <c r="C43" t="s">
        <v>27</v>
      </c>
      <c r="D43" s="17" t="s">
        <v>27</v>
      </c>
      <c r="E43" t="s">
        <v>28</v>
      </c>
      <c r="F43" s="18">
        <f>42357*0.4536</f>
        <v>19213.135200000001</v>
      </c>
      <c r="G43" s="19">
        <v>19204.09</v>
      </c>
      <c r="H43" s="19">
        <f t="shared" si="5"/>
        <v>-9.0452000000004773</v>
      </c>
      <c r="I43" t="s">
        <v>128</v>
      </c>
      <c r="J43" s="20" t="s">
        <v>30</v>
      </c>
      <c r="K43" s="21">
        <v>44487</v>
      </c>
      <c r="L43" s="21">
        <v>44488</v>
      </c>
      <c r="M43" s="17" t="s">
        <v>50</v>
      </c>
      <c r="N43" s="17" t="s">
        <v>127</v>
      </c>
      <c r="O43" s="2"/>
      <c r="P43" s="22">
        <f>0.4928+0.11</f>
        <v>0.6028</v>
      </c>
      <c r="Q43" s="38">
        <v>26000</v>
      </c>
      <c r="R43" s="23">
        <v>10963</v>
      </c>
      <c r="S43" s="24">
        <v>20.78</v>
      </c>
      <c r="T43" s="23">
        <f>X43*F43*0.005</f>
        <v>2849.3052108810862</v>
      </c>
      <c r="V43" s="2">
        <v>0.12</v>
      </c>
      <c r="W43" s="2">
        <v>0.3</v>
      </c>
      <c r="X43" s="2">
        <f>IF(O43&gt;0,O43,((P43*2.2046*S43)+(Q43+R43)/G43)+V43)</f>
        <v>29.659971485352226</v>
      </c>
      <c r="Y43" s="2">
        <f>IF(O43&gt;0,O43+W43,((P43*2.2046*S43)+(Q43+R43+T43)/G43)+V43+W43)</f>
        <v>30.108341192580276</v>
      </c>
      <c r="Z43" s="26">
        <f>Y43*F43</f>
        <v>578475.62998077413</v>
      </c>
      <c r="AA43" s="27">
        <v>44481</v>
      </c>
      <c r="AB43" s="20">
        <v>30.11</v>
      </c>
      <c r="AC43" t="s">
        <v>27</v>
      </c>
    </row>
    <row r="44" spans="1:29" x14ac:dyDescent="0.25">
      <c r="A44" s="47"/>
      <c r="B44" s="16" t="s">
        <v>129</v>
      </c>
      <c r="C44" t="s">
        <v>130</v>
      </c>
      <c r="D44" s="17" t="s">
        <v>93</v>
      </c>
      <c r="E44" t="s">
        <v>131</v>
      </c>
      <c r="F44" s="18">
        <v>7999.73</v>
      </c>
      <c r="G44" s="19">
        <v>7999.73</v>
      </c>
      <c r="H44" s="19">
        <f t="shared" si="5"/>
        <v>0</v>
      </c>
      <c r="I44" t="s">
        <v>132</v>
      </c>
      <c r="K44" s="21"/>
      <c r="L44" s="21">
        <v>44488</v>
      </c>
      <c r="M44" s="17" t="s">
        <v>50</v>
      </c>
      <c r="N44" s="17"/>
      <c r="O44" s="2">
        <v>142</v>
      </c>
      <c r="P44" s="22"/>
      <c r="Q44" s="2"/>
      <c r="R44" s="23"/>
      <c r="S44" s="24"/>
      <c r="T44" s="23"/>
      <c r="V44" s="2"/>
      <c r="W44" s="2"/>
      <c r="X44" s="2">
        <f>IF(O44&gt;0,O44,((P44*2.2046*S44)+(Q44+R44)/G44)+V44)</f>
        <v>142</v>
      </c>
      <c r="Y44" s="2">
        <f>IF(O44&gt;0,O44+W44,((P44*2.2046*S44)+(Q44+R44+T44)/G44)+V44+W44)</f>
        <v>142</v>
      </c>
      <c r="Z44" s="26">
        <f>Y44*F44</f>
        <v>1135961.6599999999</v>
      </c>
      <c r="AA44" s="27">
        <v>44501</v>
      </c>
      <c r="AB44" s="20">
        <v>29.8</v>
      </c>
      <c r="AC44" t="s">
        <v>59</v>
      </c>
    </row>
    <row r="45" spans="1:29" x14ac:dyDescent="0.25">
      <c r="A45" s="47"/>
      <c r="B45" s="16" t="s">
        <v>54</v>
      </c>
      <c r="C45" t="s">
        <v>55</v>
      </c>
      <c r="D45" s="17" t="s">
        <v>56</v>
      </c>
      <c r="E45" t="s">
        <v>133</v>
      </c>
      <c r="F45" s="18">
        <v>139.91</v>
      </c>
      <c r="G45" s="19">
        <v>139.91</v>
      </c>
      <c r="H45" s="19">
        <f t="shared" si="5"/>
        <v>0</v>
      </c>
      <c r="I45" t="s">
        <v>134</v>
      </c>
      <c r="K45" s="21"/>
      <c r="L45" s="21">
        <v>44488</v>
      </c>
      <c r="M45" s="17" t="s">
        <v>50</v>
      </c>
      <c r="N45" s="17"/>
      <c r="O45" s="2">
        <v>92</v>
      </c>
      <c r="P45" s="22"/>
      <c r="Q45" s="2"/>
      <c r="R45" s="23"/>
      <c r="S45" s="24"/>
      <c r="T45" s="23"/>
      <c r="V45" s="2"/>
      <c r="W45" s="2"/>
      <c r="X45" s="2">
        <f>IF(O45&gt;0,O45,((P45*2.2046*S45)+(Q45+R45)/G45)+V45)</f>
        <v>92</v>
      </c>
      <c r="Y45" s="2">
        <f>IF(O45&gt;0,O45+W45,((P45*2.2046*S45)+(Q45+R45+T45)/G45)+V45+W45)</f>
        <v>92</v>
      </c>
      <c r="Z45" s="26">
        <f>Y45*F45</f>
        <v>12871.72</v>
      </c>
      <c r="AA45" s="27">
        <v>44495</v>
      </c>
      <c r="AB45" s="20">
        <v>29.52</v>
      </c>
      <c r="AC45" t="s">
        <v>59</v>
      </c>
    </row>
    <row r="46" spans="1:29" x14ac:dyDescent="0.25">
      <c r="A46" s="47"/>
      <c r="B46" s="16" t="s">
        <v>60</v>
      </c>
      <c r="C46" t="s">
        <v>55</v>
      </c>
      <c r="D46" s="17" t="s">
        <v>56</v>
      </c>
      <c r="E46" t="s">
        <v>61</v>
      </c>
      <c r="F46" s="18">
        <v>385.48</v>
      </c>
      <c r="G46" s="19">
        <v>385.48</v>
      </c>
      <c r="H46" s="19">
        <f t="shared" si="5"/>
        <v>0</v>
      </c>
      <c r="I46" t="s">
        <v>135</v>
      </c>
      <c r="K46" s="21"/>
      <c r="L46" s="21">
        <v>44488</v>
      </c>
      <c r="M46" s="17" t="s">
        <v>50</v>
      </c>
      <c r="N46" s="17"/>
      <c r="O46" s="2">
        <v>89</v>
      </c>
      <c r="P46" s="22"/>
      <c r="Q46" s="2"/>
      <c r="R46" s="23"/>
      <c r="S46" s="24"/>
      <c r="T46" s="23"/>
      <c r="V46" s="2"/>
      <c r="W46" s="2"/>
      <c r="X46" s="2">
        <f>IF(O46&gt;0,O46,((P46*2.2046*S46)+(Q46+R46)/G46)+V46)</f>
        <v>89</v>
      </c>
      <c r="Y46" s="2">
        <f>IF(O46&gt;0,O46+W46,((P46*2.2046*S46)+(Q46+R46+T46)/G46)+V46+W46)</f>
        <v>89</v>
      </c>
      <c r="Z46" s="26">
        <f>Y46*F46</f>
        <v>34307.72</v>
      </c>
      <c r="AA46" s="27">
        <v>44495</v>
      </c>
      <c r="AB46" s="20">
        <v>30.18</v>
      </c>
      <c r="AC46" t="s">
        <v>27</v>
      </c>
    </row>
    <row r="47" spans="1:29" x14ac:dyDescent="0.25">
      <c r="A47" s="47"/>
      <c r="B47" s="16" t="s">
        <v>33</v>
      </c>
      <c r="C47" t="s">
        <v>34</v>
      </c>
      <c r="D47" s="17" t="s">
        <v>124</v>
      </c>
      <c r="E47">
        <f>200+50</f>
        <v>250</v>
      </c>
      <c r="F47" s="18">
        <f>23020+5805</f>
        <v>28825</v>
      </c>
      <c r="G47" s="19">
        <v>22230</v>
      </c>
      <c r="H47" s="19">
        <f t="shared" si="5"/>
        <v>-6595</v>
      </c>
      <c r="I47" t="s">
        <v>136</v>
      </c>
      <c r="J47" s="49">
        <v>0.7712</v>
      </c>
      <c r="K47" s="21"/>
      <c r="L47" s="21">
        <v>44489</v>
      </c>
      <c r="M47" s="17" t="s">
        <v>66</v>
      </c>
      <c r="N47" s="17"/>
      <c r="O47" s="2">
        <v>31.5</v>
      </c>
      <c r="P47" s="22"/>
      <c r="Q47" s="30">
        <v>26000</v>
      </c>
      <c r="R47" s="2">
        <f>100.6*E47</f>
        <v>25150</v>
      </c>
      <c r="S47" s="23">
        <f>-40*E47</f>
        <v>-10000</v>
      </c>
      <c r="T47" s="23">
        <f>X47*F47*0.0045</f>
        <v>5545.5303011133592</v>
      </c>
      <c r="U47" s="2">
        <f>E47*5</f>
        <v>1250</v>
      </c>
      <c r="V47" s="2">
        <v>3600</v>
      </c>
      <c r="W47" s="2">
        <v>0.3</v>
      </c>
      <c r="X47" s="2">
        <f>((O47*F47)+Q47+R47+S47+U47)/G47</f>
        <v>42.752474134053081</v>
      </c>
      <c r="Y47" s="2">
        <f>((O47*F47)+Q47+R47+S47+T47+U47+V47)/G47+W47</f>
        <v>43.463879005898036</v>
      </c>
      <c r="Z47" s="3">
        <f>Y47*G47</f>
        <v>966202.03030111338</v>
      </c>
      <c r="AA47" s="27">
        <v>44503</v>
      </c>
      <c r="AB47" s="20">
        <v>30.18</v>
      </c>
      <c r="AC47" t="s">
        <v>27</v>
      </c>
    </row>
    <row r="48" spans="1:29" x14ac:dyDescent="0.25">
      <c r="A48" s="47"/>
      <c r="B48" s="16" t="s">
        <v>26</v>
      </c>
      <c r="C48" t="s">
        <v>59</v>
      </c>
      <c r="D48" t="s">
        <v>59</v>
      </c>
      <c r="E48" t="s">
        <v>63</v>
      </c>
      <c r="F48" s="18">
        <f>40658*0.4536</f>
        <v>18442.468799999999</v>
      </c>
      <c r="G48" s="19">
        <v>18406.240000000002</v>
      </c>
      <c r="H48" s="19">
        <f t="shared" si="5"/>
        <v>-36.228799999997136</v>
      </c>
      <c r="I48" s="39" t="s">
        <v>137</v>
      </c>
      <c r="J48" s="20" t="s">
        <v>65</v>
      </c>
      <c r="K48" s="21">
        <v>44488</v>
      </c>
      <c r="L48" s="21">
        <v>44489</v>
      </c>
      <c r="M48" s="17" t="s">
        <v>66</v>
      </c>
      <c r="N48" s="17" t="s">
        <v>138</v>
      </c>
      <c r="O48" s="2"/>
      <c r="P48" s="22">
        <f>0.4928+0.115</f>
        <v>0.60780000000000001</v>
      </c>
      <c r="Q48" s="38">
        <v>26000</v>
      </c>
      <c r="R48" s="23">
        <v>11813</v>
      </c>
      <c r="S48" s="24">
        <v>20.28</v>
      </c>
      <c r="T48" s="23">
        <f>X48*F48*0.005</f>
        <v>2706.3089991846687</v>
      </c>
      <c r="V48" s="2">
        <v>0.12</v>
      </c>
      <c r="W48" s="2">
        <v>0.3</v>
      </c>
      <c r="X48" s="2">
        <f>IF(O48&gt;0,O48,((P48*2.2046*S48)+(Q48+R48)/G48)+V48)</f>
        <v>29.348662899022159</v>
      </c>
      <c r="Y48" s="2">
        <f>IF(O48&gt;0,O48+W48,((P48*2.2046*S48)+(Q48+R48+T48)/G48)+V48+W48)</f>
        <v>29.795695046771218</v>
      </c>
      <c r="Z48" s="3">
        <f>Y48*F48</f>
        <v>549506.17627439275</v>
      </c>
      <c r="AA48" s="27">
        <v>44489</v>
      </c>
      <c r="AB48" s="40">
        <f>SUM(AB42:AB47)/6</f>
        <v>29.983333333333334</v>
      </c>
      <c r="AC48" t="s">
        <v>73</v>
      </c>
    </row>
    <row r="49" spans="1:27" x14ac:dyDescent="0.25">
      <c r="A49" s="47"/>
      <c r="B49" s="16" t="s">
        <v>99</v>
      </c>
      <c r="C49" t="s">
        <v>139</v>
      </c>
      <c r="D49" s="17" t="s">
        <v>101</v>
      </c>
      <c r="E49" t="s">
        <v>102</v>
      </c>
      <c r="F49" s="18">
        <v>304.18</v>
      </c>
      <c r="G49" s="19">
        <v>304.18</v>
      </c>
      <c r="H49" s="19">
        <f t="shared" si="5"/>
        <v>0</v>
      </c>
      <c r="I49" t="s">
        <v>140</v>
      </c>
      <c r="K49" s="21"/>
      <c r="L49" s="21">
        <v>44489</v>
      </c>
      <c r="M49" s="17" t="s">
        <v>66</v>
      </c>
      <c r="N49" s="17"/>
      <c r="O49" s="2">
        <v>55</v>
      </c>
      <c r="P49" s="22"/>
      <c r="Q49" s="2"/>
      <c r="R49" s="2"/>
      <c r="S49" s="24"/>
      <c r="T49" s="23"/>
      <c r="U49" s="2"/>
      <c r="V49" s="2"/>
      <c r="W49" s="2"/>
      <c r="X49" s="2">
        <f>((O49*F49)+Q49+R49+S49+U49)/G49</f>
        <v>55</v>
      </c>
      <c r="Y49" s="2">
        <f>((O49*F49)+Q49+R49+S49+T49+U49+V49)/G49+W49</f>
        <v>55</v>
      </c>
      <c r="Z49" s="3">
        <f>Y49*G49</f>
        <v>16729.900000000001</v>
      </c>
      <c r="AA49" s="27">
        <v>44489</v>
      </c>
    </row>
    <row r="50" spans="1:27" x14ac:dyDescent="0.25">
      <c r="A50" s="47"/>
      <c r="B50" s="16" t="s">
        <v>99</v>
      </c>
      <c r="C50" t="s">
        <v>141</v>
      </c>
      <c r="D50" s="17" t="s">
        <v>101</v>
      </c>
      <c r="E50" t="s">
        <v>142</v>
      </c>
      <c r="F50" s="18">
        <v>1003.34</v>
      </c>
      <c r="G50" s="19">
        <v>1003.34</v>
      </c>
      <c r="H50" s="19">
        <f t="shared" si="5"/>
        <v>0</v>
      </c>
      <c r="I50" t="s">
        <v>143</v>
      </c>
      <c r="K50" s="21"/>
      <c r="L50" s="21">
        <v>44490</v>
      </c>
      <c r="M50" s="17" t="s">
        <v>69</v>
      </c>
      <c r="N50" s="17"/>
      <c r="O50" s="2">
        <v>54</v>
      </c>
      <c r="P50" s="22"/>
      <c r="Q50" s="2"/>
      <c r="R50" s="2"/>
      <c r="S50" s="24"/>
      <c r="T50" s="23"/>
      <c r="U50" s="2"/>
      <c r="V50" s="2"/>
      <c r="W50" s="2"/>
      <c r="X50" s="2">
        <f>((O50*F50)+Q50+R50+S50+U50)/G50</f>
        <v>54</v>
      </c>
      <c r="Y50" s="2">
        <f>((O50*F50)+Q50+R50+S50+T50+U50+V50)/G50+W50</f>
        <v>54</v>
      </c>
      <c r="Z50" s="3">
        <f>Y50*G50</f>
        <v>54180.36</v>
      </c>
      <c r="AA50" s="27">
        <v>44490</v>
      </c>
    </row>
    <row r="51" spans="1:27" x14ac:dyDescent="0.25">
      <c r="A51" s="47"/>
      <c r="B51" s="16" t="s">
        <v>26</v>
      </c>
      <c r="C51" t="s">
        <v>59</v>
      </c>
      <c r="D51" t="s">
        <v>59</v>
      </c>
      <c r="E51" t="s">
        <v>63</v>
      </c>
      <c r="F51" s="18">
        <f>41273*0.4536</f>
        <v>18721.432799999999</v>
      </c>
      <c r="G51" s="19">
        <v>18698.09</v>
      </c>
      <c r="H51" s="19">
        <f t="shared" si="5"/>
        <v>-23.342799999998533</v>
      </c>
      <c r="I51" s="39" t="s">
        <v>144</v>
      </c>
      <c r="J51" s="20" t="s">
        <v>30</v>
      </c>
      <c r="K51" s="21">
        <v>44489</v>
      </c>
      <c r="L51" s="21">
        <v>44490</v>
      </c>
      <c r="M51" s="17" t="s">
        <v>69</v>
      </c>
      <c r="N51" s="17" t="s">
        <v>145</v>
      </c>
      <c r="O51" s="2"/>
      <c r="P51" s="22">
        <f>0.4917+0.115</f>
        <v>0.60670000000000002</v>
      </c>
      <c r="Q51" s="38">
        <v>26000</v>
      </c>
      <c r="R51" s="23">
        <v>9913</v>
      </c>
      <c r="S51" s="24">
        <v>20.215</v>
      </c>
      <c r="T51" s="23">
        <f>X51*F51*0.005</f>
        <v>2721.9898964518065</v>
      </c>
      <c r="V51" s="2">
        <v>0.12</v>
      </c>
      <c r="W51" s="2">
        <v>0.3</v>
      </c>
      <c r="X51" s="2">
        <f>IF(O51&gt;0,O51,((P51*2.2046*S51)+(Q51+R51)/G51)+V51)</f>
        <v>29.078862985869403</v>
      </c>
      <c r="Y51" s="2">
        <f>IF(O51&gt;0,O51+W51,((P51*2.2046*S51)+(Q51+R51+T51)/G51)+V51+W51)</f>
        <v>29.524438811873651</v>
      </c>
      <c r="Z51" s="26">
        <f>Y51*F51</f>
        <v>552739.79717420437</v>
      </c>
      <c r="AA51" s="27">
        <v>44490</v>
      </c>
    </row>
    <row r="52" spans="1:27" x14ac:dyDescent="0.25">
      <c r="A52" s="47"/>
      <c r="B52" s="16" t="s">
        <v>26</v>
      </c>
      <c r="C52" t="s">
        <v>27</v>
      </c>
      <c r="D52" s="17" t="s">
        <v>27</v>
      </c>
      <c r="E52" t="s">
        <v>28</v>
      </c>
      <c r="F52" s="18">
        <f>41655*0.4536</f>
        <v>18894.707999999999</v>
      </c>
      <c r="G52" s="19">
        <v>18848.02</v>
      </c>
      <c r="H52" s="19">
        <f t="shared" si="5"/>
        <v>-46.687999999998283</v>
      </c>
      <c r="I52" t="s">
        <v>146</v>
      </c>
      <c r="J52" s="20" t="s">
        <v>65</v>
      </c>
      <c r="K52" s="21">
        <v>44490</v>
      </c>
      <c r="L52" s="21">
        <v>44491</v>
      </c>
      <c r="M52" s="17" t="s">
        <v>31</v>
      </c>
      <c r="N52" s="17" t="s">
        <v>147</v>
      </c>
      <c r="O52" s="2"/>
      <c r="P52" s="22">
        <f>0.4984+0.11</f>
        <v>0.60840000000000005</v>
      </c>
      <c r="Q52" s="38">
        <v>26000</v>
      </c>
      <c r="R52" s="23">
        <v>11973</v>
      </c>
      <c r="S52" s="24">
        <v>20.577999999999999</v>
      </c>
      <c r="T52" s="23">
        <f>X52*F52*0.005</f>
        <v>2809.2204272410472</v>
      </c>
      <c r="V52" s="2">
        <v>0.12</v>
      </c>
      <c r="W52" s="2">
        <v>0.3</v>
      </c>
      <c r="X52" s="2">
        <f>IF(O52&gt;0,O52,((P52*2.2046*S52)+(Q52+R52)/G52)+V52)</f>
        <v>29.735526235611022</v>
      </c>
      <c r="Y52" s="2">
        <f>IF(O52&gt;0,O52+W52,((P52*2.2046*S52)+(Q52+R52+T52)/G52)+V52+W52)</f>
        <v>30.18457215275463</v>
      </c>
      <c r="Z52" s="26">
        <f>Y52*F52</f>
        <v>570328.67693123012</v>
      </c>
      <c r="AA52" s="27">
        <v>44484</v>
      </c>
    </row>
    <row r="53" spans="1:27" x14ac:dyDescent="0.25">
      <c r="A53" s="47"/>
      <c r="B53" s="16" t="s">
        <v>26</v>
      </c>
      <c r="C53" t="s">
        <v>27</v>
      </c>
      <c r="D53" s="17" t="s">
        <v>27</v>
      </c>
      <c r="E53" t="s">
        <v>28</v>
      </c>
      <c r="F53" s="18">
        <f>41599*0.4536</f>
        <v>18869.306400000001</v>
      </c>
      <c r="G53" s="19">
        <v>18823.16</v>
      </c>
      <c r="H53" s="19">
        <f t="shared" si="5"/>
        <v>-46.146400000001449</v>
      </c>
      <c r="I53" t="s">
        <v>148</v>
      </c>
      <c r="J53" s="20" t="s">
        <v>30</v>
      </c>
      <c r="K53" s="21">
        <v>44490</v>
      </c>
      <c r="L53" s="21">
        <v>44491</v>
      </c>
      <c r="M53" s="17" t="s">
        <v>31</v>
      </c>
      <c r="N53" s="17" t="s">
        <v>147</v>
      </c>
      <c r="O53" s="2"/>
      <c r="P53" s="22">
        <f>0.4984+0.11</f>
        <v>0.60840000000000005</v>
      </c>
      <c r="Q53" s="38">
        <v>26000</v>
      </c>
      <c r="R53" s="23">
        <v>11813</v>
      </c>
      <c r="S53" s="24">
        <v>20.577999999999999</v>
      </c>
      <c r="T53" s="23">
        <f>X53*F53*0.005</f>
        <v>2804.8928567155981</v>
      </c>
      <c r="V53" s="2">
        <v>0.12</v>
      </c>
      <c r="W53" s="2">
        <v>0.3</v>
      </c>
      <c r="X53" s="2">
        <f>IF(O53&gt;0,O53,((P53*2.2046*S53)+(Q53+R53)/G53)+V53)</f>
        <v>29.729686902700333</v>
      </c>
      <c r="Y53" s="2">
        <f>IF(O53&gt;0,O53+W53,((P53*2.2046*S53)+(Q53+R53+T53)/G53)+V53+W53)</f>
        <v>30.178699760090677</v>
      </c>
      <c r="Z53" s="26">
        <f>Y53*F53</f>
        <v>569451.13252675754</v>
      </c>
      <c r="AA53" s="27">
        <v>44484</v>
      </c>
    </row>
    <row r="54" spans="1:27" x14ac:dyDescent="0.25">
      <c r="A54" s="47"/>
      <c r="B54" t="s">
        <v>33</v>
      </c>
      <c r="C54" t="s">
        <v>34</v>
      </c>
      <c r="D54" s="17" t="s">
        <v>124</v>
      </c>
      <c r="E54">
        <f>200+50</f>
        <v>250</v>
      </c>
      <c r="F54" s="18">
        <f>21830+5385</f>
        <v>27215</v>
      </c>
      <c r="G54" s="19">
        <v>20960</v>
      </c>
      <c r="H54" s="19">
        <f t="shared" si="5"/>
        <v>-6255</v>
      </c>
      <c r="I54" t="s">
        <v>149</v>
      </c>
      <c r="J54" s="50">
        <v>0.77</v>
      </c>
      <c r="K54" s="21"/>
      <c r="L54" s="21">
        <v>44491</v>
      </c>
      <c r="M54" s="17" t="s">
        <v>31</v>
      </c>
      <c r="N54" s="17"/>
      <c r="O54" s="2">
        <v>31.5</v>
      </c>
      <c r="P54" s="22"/>
      <c r="Q54" s="30">
        <v>26000</v>
      </c>
      <c r="R54" s="2">
        <f>100.6*E54</f>
        <v>25150</v>
      </c>
      <c r="S54" s="23">
        <f>-40*E54</f>
        <v>-10000</v>
      </c>
      <c r="T54" s="23">
        <f>X54*F54*0.0045</f>
        <v>5256.7100140147886</v>
      </c>
      <c r="U54" s="2">
        <f>E54*5</f>
        <v>1250</v>
      </c>
      <c r="V54" s="2">
        <v>3600</v>
      </c>
      <c r="W54" s="2">
        <v>0.3</v>
      </c>
      <c r="X54" s="2">
        <f>((O54*F54)+Q54+R54+S54+U54)/G54</f>
        <v>42.923306297709921</v>
      </c>
      <c r="Y54" s="2">
        <f>((O54*F54)+Q54+R54+S54+T54+U54+V54)/G54+W54</f>
        <v>43.645859256393827</v>
      </c>
      <c r="Z54" s="3">
        <f>Y54*G54</f>
        <v>914817.21001401462</v>
      </c>
      <c r="AA54" s="27">
        <v>44260</v>
      </c>
    </row>
    <row r="55" spans="1:27" x14ac:dyDescent="0.25">
      <c r="A55" s="47"/>
      <c r="B55" t="s">
        <v>129</v>
      </c>
      <c r="C55" t="s">
        <v>130</v>
      </c>
      <c r="D55" s="17" t="s">
        <v>150</v>
      </c>
      <c r="E55" t="s">
        <v>151</v>
      </c>
      <c r="F55" s="18">
        <v>2638.76</v>
      </c>
      <c r="G55" s="19">
        <v>2638.76</v>
      </c>
      <c r="H55" s="19">
        <f t="shared" si="5"/>
        <v>0</v>
      </c>
      <c r="I55" t="s">
        <v>152</v>
      </c>
      <c r="J55" s="51"/>
      <c r="K55" s="21"/>
      <c r="L55" s="21">
        <v>44491</v>
      </c>
      <c r="M55" s="17" t="s">
        <v>31</v>
      </c>
      <c r="N55" s="17"/>
      <c r="O55" s="2">
        <v>143</v>
      </c>
      <c r="P55" s="22"/>
      <c r="Q55" s="2"/>
      <c r="R55" s="2"/>
      <c r="S55" s="23"/>
      <c r="T55" s="23"/>
      <c r="U55" s="2"/>
      <c r="V55" s="2"/>
      <c r="W55" s="2"/>
      <c r="X55" s="2">
        <f>((O55*F55)+Q55+R55+S55+U55)/G55</f>
        <v>143</v>
      </c>
      <c r="Y55" s="2">
        <f>((O55*F55)+Q55+R55+S55+T55+U55+V55)/G55+W55</f>
        <v>143</v>
      </c>
      <c r="Z55" s="3">
        <f>Y55*G55</f>
        <v>377342.68000000005</v>
      </c>
      <c r="AA55" s="27">
        <v>44494</v>
      </c>
    </row>
    <row r="56" spans="1:27" x14ac:dyDescent="0.25">
      <c r="A56" s="47"/>
      <c r="B56" t="s">
        <v>54</v>
      </c>
      <c r="C56" t="s">
        <v>55</v>
      </c>
      <c r="D56" s="17" t="s">
        <v>56</v>
      </c>
      <c r="E56" t="s">
        <v>153</v>
      </c>
      <c r="F56" s="18">
        <v>161.41</v>
      </c>
      <c r="G56" s="19">
        <v>161.41</v>
      </c>
      <c r="H56" s="19">
        <f t="shared" si="5"/>
        <v>0</v>
      </c>
      <c r="I56" t="s">
        <v>154</v>
      </c>
      <c r="K56" s="21"/>
      <c r="L56" s="21">
        <v>44492</v>
      </c>
      <c r="M56" s="17" t="s">
        <v>44</v>
      </c>
      <c r="N56" s="17"/>
      <c r="O56" s="2">
        <v>92</v>
      </c>
      <c r="P56" s="22"/>
      <c r="Q56" s="2"/>
      <c r="R56" s="2"/>
      <c r="S56" s="23"/>
      <c r="T56" s="23"/>
      <c r="U56" s="2"/>
      <c r="V56" s="2"/>
      <c r="W56" s="2"/>
      <c r="X56" s="2">
        <f>((O56*F56)+Q56+R56+S56+U56)/G56</f>
        <v>92</v>
      </c>
      <c r="Y56" s="2">
        <f>((O56*F56)+Q56+R56+S56+T56+U56+V56)/G56+W56</f>
        <v>92</v>
      </c>
      <c r="Z56" s="3">
        <f>Y56*G56</f>
        <v>14849.72</v>
      </c>
      <c r="AA56" s="27">
        <v>44501</v>
      </c>
    </row>
    <row r="57" spans="1:27" ht="15.75" thickBot="1" x14ac:dyDescent="0.3">
      <c r="A57" s="52"/>
      <c r="B57" s="33"/>
      <c r="C57" s="4"/>
      <c r="D57" s="4"/>
      <c r="E57" s="4"/>
      <c r="F57" s="34"/>
      <c r="G57" s="34"/>
      <c r="H57" s="34"/>
      <c r="I57" s="7"/>
      <c r="J57" s="4"/>
      <c r="K57" s="8"/>
      <c r="L57" s="8"/>
      <c r="M57" s="4"/>
      <c r="N57" s="4"/>
      <c r="O57" s="9"/>
      <c r="P57" s="10"/>
      <c r="Q57" s="9"/>
      <c r="R57" s="9"/>
      <c r="S57" s="9"/>
      <c r="T57" s="9"/>
      <c r="U57" s="9"/>
      <c r="V57" s="9"/>
      <c r="W57" s="9"/>
      <c r="X57" s="9"/>
      <c r="Y57" s="9"/>
      <c r="Z57" s="13"/>
      <c r="AA57" s="14"/>
    </row>
    <row r="58" spans="1:27" x14ac:dyDescent="0.25">
      <c r="A58" s="53"/>
      <c r="B58" s="16" t="s">
        <v>33</v>
      </c>
      <c r="C58" t="s">
        <v>34</v>
      </c>
      <c r="D58" s="17" t="s">
        <v>119</v>
      </c>
      <c r="E58">
        <v>198</v>
      </c>
      <c r="F58" s="18">
        <v>17490</v>
      </c>
      <c r="G58" s="19">
        <v>17490</v>
      </c>
      <c r="H58" s="19">
        <f t="shared" ref="H58:H87" si="6">G58-F58</f>
        <v>0</v>
      </c>
      <c r="I58" t="s">
        <v>155</v>
      </c>
      <c r="K58" s="21"/>
      <c r="L58" s="21">
        <v>44493</v>
      </c>
      <c r="M58" s="17" t="s">
        <v>47</v>
      </c>
      <c r="N58" s="17"/>
      <c r="O58" s="2">
        <v>43.2</v>
      </c>
      <c r="P58" s="22"/>
      <c r="Q58" s="2"/>
      <c r="R58" s="2"/>
      <c r="S58" s="23"/>
      <c r="T58" s="23"/>
      <c r="U58" s="2"/>
      <c r="V58" s="2"/>
      <c r="W58" s="2">
        <v>0.3</v>
      </c>
      <c r="X58" s="2">
        <f>((O58*F58)+Q58+R58+S58+U58)/G58</f>
        <v>43.2</v>
      </c>
      <c r="Y58" s="2">
        <f>((O58*F58)+Q58+R58+S58+T58+U58+V58)/G58+W58</f>
        <v>43.5</v>
      </c>
      <c r="Z58" s="3">
        <f>Y58*G58</f>
        <v>760815</v>
      </c>
      <c r="AA58" s="27">
        <v>44508</v>
      </c>
    </row>
    <row r="59" spans="1:27" x14ac:dyDescent="0.25">
      <c r="A59" s="53"/>
      <c r="B59" s="16" t="s">
        <v>99</v>
      </c>
      <c r="C59" t="s">
        <v>139</v>
      </c>
      <c r="D59" s="17" t="s">
        <v>101</v>
      </c>
      <c r="E59" t="s">
        <v>156</v>
      </c>
      <c r="F59" s="18">
        <v>503.94</v>
      </c>
      <c r="G59" s="19">
        <v>503.94</v>
      </c>
      <c r="H59" s="19">
        <f t="shared" si="6"/>
        <v>0</v>
      </c>
      <c r="I59" s="36" t="s">
        <v>157</v>
      </c>
      <c r="K59" s="21"/>
      <c r="L59" s="21">
        <v>44494</v>
      </c>
      <c r="M59" s="17" t="s">
        <v>48</v>
      </c>
      <c r="N59" s="17"/>
      <c r="O59" s="2">
        <v>54</v>
      </c>
      <c r="P59" s="37"/>
      <c r="Q59" s="2"/>
      <c r="R59" s="2"/>
      <c r="S59" s="23"/>
      <c r="T59" s="23"/>
      <c r="U59" s="2"/>
      <c r="V59" s="2"/>
      <c r="W59" s="2"/>
      <c r="X59" s="2">
        <f>IF(O59&gt;0,O59,((P59*2.2046*S59)+(Q59+R59)/G59)+V59)</f>
        <v>54</v>
      </c>
      <c r="Y59" s="2">
        <f>IF(O59&gt;0,O59+W59,((P59*2.2046*S59)+(Q59+R59+T59)/G59)+V59+W59)</f>
        <v>54</v>
      </c>
      <c r="Z59" s="26">
        <f>Y59*F59</f>
        <v>27212.76</v>
      </c>
      <c r="AA59" s="27">
        <v>44494</v>
      </c>
    </row>
    <row r="60" spans="1:27" x14ac:dyDescent="0.25">
      <c r="A60" s="53"/>
      <c r="B60" s="16" t="s">
        <v>158</v>
      </c>
      <c r="C60" t="s">
        <v>159</v>
      </c>
      <c r="D60" s="17" t="s">
        <v>101</v>
      </c>
      <c r="E60" t="s">
        <v>160</v>
      </c>
      <c r="F60" s="18">
        <v>18.5</v>
      </c>
      <c r="G60" s="19">
        <v>18.5</v>
      </c>
      <c r="H60" s="19">
        <f t="shared" si="6"/>
        <v>0</v>
      </c>
      <c r="I60" s="36" t="s">
        <v>161</v>
      </c>
      <c r="K60" s="21"/>
      <c r="L60" s="21">
        <v>44494</v>
      </c>
      <c r="M60" s="17" t="s">
        <v>48</v>
      </c>
      <c r="N60" s="17"/>
      <c r="O60" s="2">
        <v>250</v>
      </c>
      <c r="P60" s="37"/>
      <c r="Q60" s="2"/>
      <c r="R60" s="2"/>
      <c r="S60" s="23"/>
      <c r="T60" s="23"/>
      <c r="U60" s="2"/>
      <c r="V60" s="2"/>
      <c r="W60" s="2"/>
      <c r="X60" s="2">
        <f t="shared" ref="X60:X68" si="7">IF(O60&gt;0,O60,((P60*2.2046*S60)+(Q60+R60)/G60)+V60)</f>
        <v>250</v>
      </c>
      <c r="Y60" s="2">
        <f t="shared" ref="Y60:Y75" si="8">IF(O60&gt;0,O60+W60,((P60*2.2046*S60)+(Q60+R60+T60)/G60)+V60+W60)</f>
        <v>250</v>
      </c>
      <c r="Z60" s="26">
        <f t="shared" ref="Z60:Z68" si="9">Y60*F60</f>
        <v>4625</v>
      </c>
      <c r="AA60" s="27">
        <v>44494</v>
      </c>
    </row>
    <row r="61" spans="1:27" x14ac:dyDescent="0.25">
      <c r="A61" s="53"/>
      <c r="B61" s="16" t="s">
        <v>162</v>
      </c>
      <c r="C61" t="s">
        <v>101</v>
      </c>
      <c r="D61" s="17" t="s">
        <v>101</v>
      </c>
      <c r="E61" t="s">
        <v>87</v>
      </c>
      <c r="F61" s="18">
        <v>100</v>
      </c>
      <c r="G61" s="18">
        <v>100</v>
      </c>
      <c r="H61" s="19">
        <f t="shared" si="6"/>
        <v>0</v>
      </c>
      <c r="I61" s="36" t="s">
        <v>163</v>
      </c>
      <c r="K61" s="21"/>
      <c r="L61" s="21">
        <v>44494</v>
      </c>
      <c r="M61" s="17" t="s">
        <v>48</v>
      </c>
      <c r="N61" s="17"/>
      <c r="O61" s="2">
        <v>100</v>
      </c>
      <c r="P61" s="37"/>
      <c r="Q61" s="2"/>
      <c r="R61" s="2"/>
      <c r="S61" s="23"/>
      <c r="T61" s="23"/>
      <c r="U61" s="2"/>
      <c r="V61" s="2"/>
      <c r="W61" s="2"/>
      <c r="X61" s="2">
        <f t="shared" si="7"/>
        <v>100</v>
      </c>
      <c r="Y61" s="2">
        <f t="shared" si="8"/>
        <v>100</v>
      </c>
      <c r="Z61" s="26">
        <f t="shared" si="9"/>
        <v>10000</v>
      </c>
      <c r="AA61" s="27">
        <v>44494</v>
      </c>
    </row>
    <row r="62" spans="1:27" x14ac:dyDescent="0.25">
      <c r="A62" s="53"/>
      <c r="B62" s="16" t="s">
        <v>164</v>
      </c>
      <c r="C62" t="s">
        <v>101</v>
      </c>
      <c r="D62" s="17" t="s">
        <v>101</v>
      </c>
      <c r="E62" t="s">
        <v>87</v>
      </c>
      <c r="F62" s="18">
        <v>100</v>
      </c>
      <c r="G62" s="18">
        <v>100</v>
      </c>
      <c r="H62" s="19">
        <f t="shared" si="6"/>
        <v>0</v>
      </c>
      <c r="I62" t="s">
        <v>135</v>
      </c>
      <c r="K62" s="21"/>
      <c r="L62" s="21">
        <v>44494</v>
      </c>
      <c r="M62" s="17" t="s">
        <v>48</v>
      </c>
      <c r="N62" s="17"/>
      <c r="O62" s="2">
        <v>85</v>
      </c>
      <c r="P62" s="37"/>
      <c r="Q62" s="2"/>
      <c r="R62" s="2"/>
      <c r="S62" s="23"/>
      <c r="T62" s="23"/>
      <c r="U62" s="2"/>
      <c r="V62" s="2"/>
      <c r="W62" s="2"/>
      <c r="X62" s="2">
        <f t="shared" si="7"/>
        <v>85</v>
      </c>
      <c r="Y62" s="2">
        <f t="shared" si="8"/>
        <v>85</v>
      </c>
      <c r="Z62" s="26">
        <f t="shared" si="9"/>
        <v>8500</v>
      </c>
      <c r="AA62" s="27">
        <v>44494</v>
      </c>
    </row>
    <row r="63" spans="1:27" x14ac:dyDescent="0.25">
      <c r="A63" s="53"/>
      <c r="B63" s="16" t="s">
        <v>165</v>
      </c>
      <c r="C63" t="s">
        <v>166</v>
      </c>
      <c r="D63" s="17" t="s">
        <v>101</v>
      </c>
      <c r="E63" t="s">
        <v>167</v>
      </c>
      <c r="F63" s="18">
        <v>50</v>
      </c>
      <c r="G63" s="18">
        <v>50</v>
      </c>
      <c r="H63" s="19">
        <f t="shared" si="6"/>
        <v>0</v>
      </c>
      <c r="I63" t="s">
        <v>135</v>
      </c>
      <c r="K63" s="21"/>
      <c r="L63" s="21">
        <v>44494</v>
      </c>
      <c r="M63" s="17" t="s">
        <v>48</v>
      </c>
      <c r="N63" s="17"/>
      <c r="O63" s="2">
        <v>82</v>
      </c>
      <c r="P63" s="37"/>
      <c r="Q63" s="2"/>
      <c r="R63" s="2"/>
      <c r="S63" s="23"/>
      <c r="T63" s="23"/>
      <c r="U63" s="2"/>
      <c r="V63" s="2"/>
      <c r="W63" s="2"/>
      <c r="X63" s="2">
        <f t="shared" si="7"/>
        <v>82</v>
      </c>
      <c r="Y63" s="2">
        <f t="shared" si="8"/>
        <v>82</v>
      </c>
      <c r="Z63" s="26">
        <f t="shared" si="9"/>
        <v>4100</v>
      </c>
      <c r="AA63" s="27">
        <v>44494</v>
      </c>
    </row>
    <row r="64" spans="1:27" x14ac:dyDescent="0.25">
      <c r="A64" s="53"/>
      <c r="B64" s="16" t="s">
        <v>168</v>
      </c>
      <c r="C64" t="s">
        <v>169</v>
      </c>
      <c r="D64" s="17" t="s">
        <v>101</v>
      </c>
      <c r="E64" t="s">
        <v>170</v>
      </c>
      <c r="F64" s="18">
        <v>40</v>
      </c>
      <c r="G64" s="18">
        <v>40</v>
      </c>
      <c r="H64" s="19">
        <f t="shared" si="6"/>
        <v>0</v>
      </c>
      <c r="I64" t="s">
        <v>135</v>
      </c>
      <c r="K64" s="21"/>
      <c r="L64" s="21">
        <v>44494</v>
      </c>
      <c r="M64" s="17" t="s">
        <v>48</v>
      </c>
      <c r="N64" s="17"/>
      <c r="O64" s="2">
        <v>180</v>
      </c>
      <c r="P64" s="37"/>
      <c r="Q64" s="2"/>
      <c r="R64" s="2"/>
      <c r="S64" s="23"/>
      <c r="T64" s="23"/>
      <c r="U64" s="2"/>
      <c r="V64" s="2"/>
      <c r="W64" s="2"/>
      <c r="X64" s="2">
        <f t="shared" si="7"/>
        <v>180</v>
      </c>
      <c r="Y64" s="2">
        <f t="shared" si="8"/>
        <v>180</v>
      </c>
      <c r="Z64" s="26">
        <f t="shared" si="9"/>
        <v>7200</v>
      </c>
      <c r="AA64" s="27">
        <v>44494</v>
      </c>
    </row>
    <row r="65" spans="1:29" x14ac:dyDescent="0.25">
      <c r="A65" s="53"/>
      <c r="B65" s="16" t="s">
        <v>171</v>
      </c>
      <c r="C65" t="s">
        <v>101</v>
      </c>
      <c r="D65" s="17" t="s">
        <v>101</v>
      </c>
      <c r="E65" t="s">
        <v>167</v>
      </c>
      <c r="F65" s="18">
        <v>50</v>
      </c>
      <c r="G65" s="18">
        <v>50</v>
      </c>
      <c r="H65" s="19">
        <f t="shared" si="6"/>
        <v>0</v>
      </c>
      <c r="I65" t="s">
        <v>135</v>
      </c>
      <c r="K65" s="21"/>
      <c r="L65" s="21">
        <v>44494</v>
      </c>
      <c r="M65" s="17" t="s">
        <v>48</v>
      </c>
      <c r="N65" s="17"/>
      <c r="O65" s="2">
        <v>45</v>
      </c>
      <c r="P65" s="37"/>
      <c r="Q65" s="2"/>
      <c r="R65" s="2"/>
      <c r="S65" s="23"/>
      <c r="T65" s="23"/>
      <c r="U65" s="2"/>
      <c r="V65" s="2"/>
      <c r="W65" s="2"/>
      <c r="X65" s="2">
        <f t="shared" si="7"/>
        <v>45</v>
      </c>
      <c r="Y65" s="2">
        <f t="shared" si="8"/>
        <v>45</v>
      </c>
      <c r="Z65" s="26">
        <f t="shared" si="9"/>
        <v>2250</v>
      </c>
      <c r="AA65" s="27">
        <v>44494</v>
      </c>
    </row>
    <row r="66" spans="1:29" x14ac:dyDescent="0.25">
      <c r="A66" s="53"/>
      <c r="B66" s="16" t="s">
        <v>172</v>
      </c>
      <c r="C66" t="s">
        <v>101</v>
      </c>
      <c r="D66" s="17" t="s">
        <v>101</v>
      </c>
      <c r="E66" t="s">
        <v>170</v>
      </c>
      <c r="F66" s="18">
        <v>20</v>
      </c>
      <c r="G66" s="18">
        <v>20</v>
      </c>
      <c r="H66" s="19">
        <f t="shared" si="6"/>
        <v>0</v>
      </c>
      <c r="I66" t="s">
        <v>135</v>
      </c>
      <c r="K66" s="21"/>
      <c r="L66" s="21">
        <v>44494</v>
      </c>
      <c r="M66" s="17" t="s">
        <v>48</v>
      </c>
      <c r="N66" s="17"/>
      <c r="O66" s="2">
        <v>55</v>
      </c>
      <c r="P66" s="37"/>
      <c r="Q66" s="2"/>
      <c r="R66" s="2"/>
      <c r="S66" s="23"/>
      <c r="T66" s="23"/>
      <c r="U66" s="2"/>
      <c r="V66" s="2"/>
      <c r="W66" s="2"/>
      <c r="X66" s="2">
        <f t="shared" si="7"/>
        <v>55</v>
      </c>
      <c r="Y66" s="2">
        <f t="shared" si="8"/>
        <v>55</v>
      </c>
      <c r="Z66" s="26">
        <f t="shared" si="9"/>
        <v>1100</v>
      </c>
      <c r="AA66" s="27">
        <v>44494</v>
      </c>
    </row>
    <row r="67" spans="1:29" x14ac:dyDescent="0.25">
      <c r="A67" s="53"/>
      <c r="B67" s="16" t="s">
        <v>173</v>
      </c>
      <c r="C67" t="s">
        <v>174</v>
      </c>
      <c r="D67" s="17" t="s">
        <v>175</v>
      </c>
      <c r="E67" t="s">
        <v>176</v>
      </c>
      <c r="F67" s="18">
        <v>2022.78</v>
      </c>
      <c r="G67" s="18">
        <v>2022.78</v>
      </c>
      <c r="H67" s="19">
        <f t="shared" si="6"/>
        <v>0</v>
      </c>
      <c r="I67" t="s">
        <v>177</v>
      </c>
      <c r="K67" s="21"/>
      <c r="L67" s="21">
        <v>44494</v>
      </c>
      <c r="M67" s="17" t="s">
        <v>48</v>
      </c>
      <c r="N67" s="17"/>
      <c r="O67" s="2">
        <v>34</v>
      </c>
      <c r="P67" s="37"/>
      <c r="Q67" s="2"/>
      <c r="R67" s="2"/>
      <c r="S67" s="23"/>
      <c r="T67" s="23"/>
      <c r="U67" s="2"/>
      <c r="V67" s="2"/>
      <c r="W67" s="2"/>
      <c r="X67" s="2">
        <f t="shared" si="7"/>
        <v>34</v>
      </c>
      <c r="Y67" s="2">
        <f t="shared" si="8"/>
        <v>34</v>
      </c>
      <c r="Z67" s="26">
        <f t="shared" si="9"/>
        <v>68774.52</v>
      </c>
      <c r="AA67" s="27">
        <v>44510</v>
      </c>
    </row>
    <row r="68" spans="1:29" x14ac:dyDescent="0.25">
      <c r="A68" s="53"/>
      <c r="B68" s="16" t="s">
        <v>178</v>
      </c>
      <c r="C68" t="s">
        <v>174</v>
      </c>
      <c r="D68" s="17" t="s">
        <v>175</v>
      </c>
      <c r="E68" t="s">
        <v>179</v>
      </c>
      <c r="F68" s="18">
        <v>1006.3</v>
      </c>
      <c r="G68" s="18">
        <v>1006.3</v>
      </c>
      <c r="H68" s="19">
        <f t="shared" si="6"/>
        <v>0</v>
      </c>
      <c r="I68" t="s">
        <v>180</v>
      </c>
      <c r="K68" s="21"/>
      <c r="L68" s="21">
        <v>44495</v>
      </c>
      <c r="M68" s="17" t="s">
        <v>50</v>
      </c>
      <c r="N68" s="17"/>
      <c r="O68" s="2">
        <v>98</v>
      </c>
      <c r="P68" s="37"/>
      <c r="Q68" s="2"/>
      <c r="R68" s="2"/>
      <c r="S68" s="23"/>
      <c r="T68" s="23"/>
      <c r="U68" s="2"/>
      <c r="V68" s="2"/>
      <c r="W68" s="2"/>
      <c r="X68" s="2">
        <f t="shared" si="7"/>
        <v>98</v>
      </c>
      <c r="Y68" s="2">
        <f t="shared" si="8"/>
        <v>98</v>
      </c>
      <c r="Z68" s="26">
        <f t="shared" si="9"/>
        <v>98617.4</v>
      </c>
      <c r="AA68" s="27">
        <v>44510</v>
      </c>
    </row>
    <row r="69" spans="1:29" x14ac:dyDescent="0.25">
      <c r="A69" s="53"/>
      <c r="B69" s="16" t="s">
        <v>26</v>
      </c>
      <c r="C69" t="s">
        <v>27</v>
      </c>
      <c r="D69" s="17" t="s">
        <v>27</v>
      </c>
      <c r="E69" t="s">
        <v>28</v>
      </c>
      <c r="F69" s="18">
        <f>41966*0.4536</f>
        <v>19035.777600000001</v>
      </c>
      <c r="G69" s="19">
        <v>18916.900000000001</v>
      </c>
      <c r="H69" s="19">
        <f t="shared" si="6"/>
        <v>-118.8775999999998</v>
      </c>
      <c r="I69" t="s">
        <v>181</v>
      </c>
      <c r="J69" s="20" t="s">
        <v>30</v>
      </c>
      <c r="K69" s="21">
        <v>44494</v>
      </c>
      <c r="L69" s="21">
        <v>44495</v>
      </c>
      <c r="M69" s="17" t="s">
        <v>50</v>
      </c>
      <c r="N69" s="17" t="s">
        <v>182</v>
      </c>
      <c r="O69" s="2"/>
      <c r="P69" s="22">
        <f>0.4982+0.11</f>
        <v>0.60819999999999996</v>
      </c>
      <c r="Q69" s="38">
        <v>26000</v>
      </c>
      <c r="R69" s="23">
        <v>11813</v>
      </c>
      <c r="S69" s="24">
        <v>20.36</v>
      </c>
      <c r="T69" s="23">
        <f>X69*F69*0.005</f>
        <v>2800.0064521083136</v>
      </c>
      <c r="V69" s="2">
        <v>0.12</v>
      </c>
      <c r="W69" s="2">
        <v>0.3</v>
      </c>
      <c r="X69" s="2">
        <f>IF(O69&gt;0,O69,((P69*2.2046*S69)+(Q69+R69)/G69)+V69)</f>
        <v>29.418356433291315</v>
      </c>
      <c r="Y69" s="2">
        <f t="shared" si="8"/>
        <v>29.866372569767602</v>
      </c>
      <c r="Z69" s="26">
        <f>Y69*F69</f>
        <v>568529.62595683662</v>
      </c>
      <c r="AA69" s="27">
        <v>44488</v>
      </c>
    </row>
    <row r="70" spans="1:29" x14ac:dyDescent="0.25">
      <c r="A70" s="53"/>
      <c r="B70" s="16" t="s">
        <v>60</v>
      </c>
      <c r="C70" t="s">
        <v>55</v>
      </c>
      <c r="D70" s="17" t="s">
        <v>56</v>
      </c>
      <c r="E70" t="s">
        <v>183</v>
      </c>
      <c r="F70" s="18">
        <v>472.56</v>
      </c>
      <c r="G70" s="19">
        <v>472.56</v>
      </c>
      <c r="H70" s="19">
        <f t="shared" si="6"/>
        <v>0</v>
      </c>
      <c r="I70" t="s">
        <v>184</v>
      </c>
      <c r="K70" s="21"/>
      <c r="L70" s="21">
        <v>44495</v>
      </c>
      <c r="M70" s="17" t="s">
        <v>50</v>
      </c>
      <c r="N70" s="17"/>
      <c r="O70" s="2">
        <v>89</v>
      </c>
      <c r="P70" s="22"/>
      <c r="Q70" s="2"/>
      <c r="R70" s="23"/>
      <c r="S70" s="24"/>
      <c r="T70" s="23"/>
      <c r="V70" s="2"/>
      <c r="W70" s="2"/>
      <c r="X70" s="2"/>
      <c r="Y70" s="2">
        <f t="shared" si="8"/>
        <v>89</v>
      </c>
      <c r="Z70" s="26">
        <f>F70*Y70</f>
        <v>42057.840000000004</v>
      </c>
      <c r="AA70" s="27">
        <v>44504</v>
      </c>
    </row>
    <row r="71" spans="1:29" x14ac:dyDescent="0.25">
      <c r="A71" s="53"/>
      <c r="B71" s="16" t="s">
        <v>54</v>
      </c>
      <c r="C71" t="s">
        <v>55</v>
      </c>
      <c r="D71" s="17" t="s">
        <v>56</v>
      </c>
      <c r="E71" t="s">
        <v>185</v>
      </c>
      <c r="F71" s="18">
        <v>4.54</v>
      </c>
      <c r="G71" s="19">
        <v>4.54</v>
      </c>
      <c r="H71" s="19">
        <f t="shared" si="6"/>
        <v>0</v>
      </c>
      <c r="I71" t="s">
        <v>186</v>
      </c>
      <c r="K71" s="21"/>
      <c r="L71" s="21">
        <v>44495</v>
      </c>
      <c r="M71" s="17" t="s">
        <v>50</v>
      </c>
      <c r="N71" s="17"/>
      <c r="O71" s="2">
        <v>92</v>
      </c>
      <c r="P71" s="22"/>
      <c r="Q71" s="2"/>
      <c r="R71" s="23"/>
      <c r="S71" s="24"/>
      <c r="T71" s="23"/>
      <c r="V71" s="2"/>
      <c r="W71" s="2"/>
      <c r="X71" s="2"/>
      <c r="Y71" s="2">
        <f t="shared" si="8"/>
        <v>92</v>
      </c>
      <c r="Z71" s="26">
        <f>Y71*F71</f>
        <v>417.68</v>
      </c>
      <c r="AA71" s="27">
        <v>44504</v>
      </c>
    </row>
    <row r="72" spans="1:29" x14ac:dyDescent="0.25">
      <c r="A72" s="53"/>
      <c r="B72" s="16" t="s">
        <v>187</v>
      </c>
      <c r="C72" t="s">
        <v>86</v>
      </c>
      <c r="D72" s="17" t="s">
        <v>188</v>
      </c>
      <c r="E72" t="s">
        <v>189</v>
      </c>
      <c r="F72" s="18">
        <v>941.72</v>
      </c>
      <c r="G72" s="19">
        <v>941.72</v>
      </c>
      <c r="H72" s="19">
        <f t="shared" si="6"/>
        <v>0</v>
      </c>
      <c r="I72" t="s">
        <v>190</v>
      </c>
      <c r="K72" s="21"/>
      <c r="L72" s="21">
        <v>44495</v>
      </c>
      <c r="M72" s="17" t="s">
        <v>50</v>
      </c>
      <c r="N72" s="17"/>
      <c r="O72" s="2">
        <v>115</v>
      </c>
      <c r="P72" s="22"/>
      <c r="Q72" s="2"/>
      <c r="R72" s="23"/>
      <c r="S72" s="24"/>
      <c r="T72" s="23"/>
      <c r="V72" s="2"/>
      <c r="W72" s="2"/>
      <c r="X72" s="2"/>
      <c r="Y72" s="2">
        <f t="shared" si="8"/>
        <v>115</v>
      </c>
      <c r="Z72" s="26">
        <f>Y72*F72</f>
        <v>108297.8</v>
      </c>
      <c r="AA72" s="27">
        <v>44504</v>
      </c>
    </row>
    <row r="73" spans="1:29" x14ac:dyDescent="0.25">
      <c r="A73" s="53"/>
      <c r="B73" s="16" t="s">
        <v>191</v>
      </c>
      <c r="C73" t="s">
        <v>86</v>
      </c>
      <c r="D73" s="17" t="s">
        <v>188</v>
      </c>
      <c r="E73" t="s">
        <v>192</v>
      </c>
      <c r="F73" s="18">
        <v>148.72</v>
      </c>
      <c r="G73" s="19">
        <v>148.72</v>
      </c>
      <c r="H73" s="19">
        <f t="shared" si="6"/>
        <v>0</v>
      </c>
      <c r="I73" t="s">
        <v>186</v>
      </c>
      <c r="K73" s="21"/>
      <c r="L73" s="21">
        <v>44495</v>
      </c>
      <c r="M73" s="17" t="s">
        <v>50</v>
      </c>
      <c r="N73" s="17"/>
      <c r="O73" s="2">
        <v>135</v>
      </c>
      <c r="P73" s="22"/>
      <c r="Q73" s="2"/>
      <c r="R73" s="23"/>
      <c r="S73" s="24"/>
      <c r="T73" s="23"/>
      <c r="V73" s="2"/>
      <c r="W73" s="2"/>
      <c r="X73" s="2"/>
      <c r="Y73" s="2">
        <f t="shared" si="8"/>
        <v>135</v>
      </c>
      <c r="Z73" s="26">
        <f>Y73*F73</f>
        <v>20077.2</v>
      </c>
      <c r="AA73" s="27">
        <v>44504</v>
      </c>
      <c r="AB73" s="20">
        <v>29.86</v>
      </c>
      <c r="AC73" t="s">
        <v>27</v>
      </c>
    </row>
    <row r="74" spans="1:29" x14ac:dyDescent="0.25">
      <c r="A74" s="53"/>
      <c r="B74" s="16" t="s">
        <v>173</v>
      </c>
      <c r="C74" t="s">
        <v>174</v>
      </c>
      <c r="D74" s="17" t="s">
        <v>175</v>
      </c>
      <c r="E74" t="s">
        <v>193</v>
      </c>
      <c r="F74" s="18">
        <v>3497.97</v>
      </c>
      <c r="G74" s="19">
        <v>3497.97</v>
      </c>
      <c r="H74" s="19">
        <f t="shared" si="6"/>
        <v>0</v>
      </c>
      <c r="I74" t="s">
        <v>194</v>
      </c>
      <c r="K74" s="21"/>
      <c r="L74" s="21">
        <v>44496</v>
      </c>
      <c r="M74" s="17" t="s">
        <v>66</v>
      </c>
      <c r="N74" s="17"/>
      <c r="O74" s="2">
        <v>32</v>
      </c>
      <c r="P74" s="22"/>
      <c r="Q74" s="2"/>
      <c r="R74" s="23"/>
      <c r="S74" s="24"/>
      <c r="T74" s="23"/>
      <c r="V74" s="2"/>
      <c r="W74" s="2"/>
      <c r="X74" s="2"/>
      <c r="Y74" s="2">
        <f t="shared" si="8"/>
        <v>32</v>
      </c>
      <c r="Z74" s="26">
        <f>Y74*F74</f>
        <v>111935.03999999999</v>
      </c>
      <c r="AA74" s="27">
        <v>44510</v>
      </c>
      <c r="AB74" s="20"/>
    </row>
    <row r="75" spans="1:29" x14ac:dyDescent="0.25">
      <c r="A75" s="53"/>
      <c r="B75" s="16" t="s">
        <v>26</v>
      </c>
      <c r="C75" t="s">
        <v>27</v>
      </c>
      <c r="D75" s="17" t="s">
        <v>27</v>
      </c>
      <c r="E75" t="s">
        <v>28</v>
      </c>
      <c r="F75" s="18">
        <f>42145*0.4536</f>
        <v>19116.972000000002</v>
      </c>
      <c r="G75" s="19">
        <v>19042.39</v>
      </c>
      <c r="H75" s="19">
        <f t="shared" si="6"/>
        <v>-74.582000000002154</v>
      </c>
      <c r="I75" t="s">
        <v>195</v>
      </c>
      <c r="J75" s="20" t="s">
        <v>30</v>
      </c>
      <c r="K75" s="21">
        <v>44494</v>
      </c>
      <c r="L75" s="21">
        <v>44496</v>
      </c>
      <c r="M75" s="17" t="s">
        <v>66</v>
      </c>
      <c r="N75" s="17" t="s">
        <v>182</v>
      </c>
      <c r="O75" s="2"/>
      <c r="P75" s="22">
        <f>0.4982+0.11</f>
        <v>0.60819999999999996</v>
      </c>
      <c r="Q75" s="38">
        <v>26000</v>
      </c>
      <c r="R75" s="23">
        <v>9663</v>
      </c>
      <c r="S75" s="24">
        <v>20.36</v>
      </c>
      <c r="T75" s="23">
        <f>X75*F75*0.005</f>
        <v>2799.8982549644097</v>
      </c>
      <c r="V75" s="2">
        <v>0.12</v>
      </c>
      <c r="W75" s="2">
        <v>0.3</v>
      </c>
      <c r="X75" s="2">
        <f>IF(O75&gt;0,O75,((P75*2.2046*S75)+(Q75+R75)/G75)+V75)</f>
        <v>29.292277615559719</v>
      </c>
      <c r="Y75" s="2">
        <f t="shared" si="8"/>
        <v>29.73931263873509</v>
      </c>
      <c r="Z75" s="26">
        <f>Y75*F75</f>
        <v>568525.60701394489</v>
      </c>
      <c r="AA75" s="27">
        <v>44488</v>
      </c>
      <c r="AB75" s="20">
        <v>29.73</v>
      </c>
      <c r="AC75" t="s">
        <v>27</v>
      </c>
    </row>
    <row r="76" spans="1:29" x14ac:dyDescent="0.25">
      <c r="A76" s="53"/>
      <c r="B76" s="16" t="s">
        <v>33</v>
      </c>
      <c r="C76" t="s">
        <v>34</v>
      </c>
      <c r="D76" s="17" t="s">
        <v>124</v>
      </c>
      <c r="E76">
        <v>200</v>
      </c>
      <c r="F76" s="18">
        <v>24310</v>
      </c>
      <c r="G76" s="19">
        <v>18830</v>
      </c>
      <c r="H76" s="19">
        <f t="shared" si="6"/>
        <v>-5480</v>
      </c>
      <c r="I76" t="s">
        <v>196</v>
      </c>
      <c r="J76" s="48">
        <v>0.77449999999999997</v>
      </c>
      <c r="K76" s="21"/>
      <c r="L76" s="21">
        <v>44495</v>
      </c>
      <c r="M76" s="17" t="s">
        <v>50</v>
      </c>
      <c r="N76" s="17"/>
      <c r="O76" s="2">
        <v>31.5</v>
      </c>
      <c r="P76" s="22"/>
      <c r="Q76" s="30">
        <v>26000</v>
      </c>
      <c r="R76" s="2">
        <f>100.6*E76</f>
        <v>20120</v>
      </c>
      <c r="S76" s="23">
        <f>-40*E76</f>
        <v>-8000</v>
      </c>
      <c r="T76" s="23">
        <f>X76*F76*0.0045</f>
        <v>4676.0698127987253</v>
      </c>
      <c r="U76" s="2">
        <f>E76*5</f>
        <v>1000</v>
      </c>
      <c r="V76" s="2">
        <v>3600</v>
      </c>
      <c r="W76" s="2">
        <v>0.3</v>
      </c>
      <c r="X76" s="2">
        <f>((O76*F76)+Q76+R76+S76+U76)/G76</f>
        <v>42.744822092405734</v>
      </c>
      <c r="Y76" s="2">
        <f>((O76*F76)+Q76+R76+S76+T76+U76+V76)/G76+W76</f>
        <v>43.484337217886285</v>
      </c>
      <c r="Z76" s="3">
        <f>Y76*G76</f>
        <v>818810.06981279876</v>
      </c>
      <c r="AA76" s="27">
        <v>44509</v>
      </c>
      <c r="AB76" s="20">
        <v>29.88</v>
      </c>
      <c r="AC76" t="s">
        <v>59</v>
      </c>
    </row>
    <row r="77" spans="1:29" x14ac:dyDescent="0.25">
      <c r="A77" s="53"/>
      <c r="B77" s="16" t="s">
        <v>26</v>
      </c>
      <c r="C77" t="s">
        <v>59</v>
      </c>
      <c r="D77" t="s">
        <v>59</v>
      </c>
      <c r="E77" t="s">
        <v>63</v>
      </c>
      <c r="F77" s="18">
        <f>40482*0.4536</f>
        <v>18362.635200000001</v>
      </c>
      <c r="G77" s="19">
        <v>18274.71</v>
      </c>
      <c r="H77" s="19">
        <f t="shared" si="6"/>
        <v>-87.925200000001496</v>
      </c>
      <c r="I77" s="39" t="s">
        <v>197</v>
      </c>
      <c r="J77" s="20" t="s">
        <v>65</v>
      </c>
      <c r="K77" s="21">
        <v>44495</v>
      </c>
      <c r="L77" s="21">
        <v>44496</v>
      </c>
      <c r="M77" s="17" t="s">
        <v>66</v>
      </c>
      <c r="N77" s="17" t="s">
        <v>198</v>
      </c>
      <c r="O77" s="2"/>
      <c r="P77" s="22">
        <f>0.4982+0.115</f>
        <v>0.61319999999999997</v>
      </c>
      <c r="Q77" s="38">
        <v>26000</v>
      </c>
      <c r="R77" s="23">
        <v>10963</v>
      </c>
      <c r="S77" s="24">
        <v>20.195</v>
      </c>
      <c r="T77" s="23">
        <f>X77*F77*0.005</f>
        <v>2703.297438785642</v>
      </c>
      <c r="V77" s="2">
        <v>0.12</v>
      </c>
      <c r="W77" s="2">
        <v>0.3</v>
      </c>
      <c r="X77" s="2">
        <f>IF(O77&gt;0,O77,((P77*2.2046*S77)+(Q77+R77)/G77)+V77)</f>
        <v>29.44345851608098</v>
      </c>
      <c r="Y77" s="2">
        <f>IF(O77&gt;0,O77+W77,((P77*2.2046*S77)+(Q77+R77+T77)/G77)+V77+W77)</f>
        <v>29.89138411592829</v>
      </c>
      <c r="Z77" s="3">
        <f>Y77*F77</f>
        <v>548884.58214386576</v>
      </c>
      <c r="AA77" s="27">
        <v>44496</v>
      </c>
      <c r="AB77" s="20">
        <v>29.61</v>
      </c>
      <c r="AC77" t="s">
        <v>59</v>
      </c>
    </row>
    <row r="78" spans="1:29" x14ac:dyDescent="0.25">
      <c r="A78" s="53"/>
      <c r="B78" s="16"/>
      <c r="D78" s="17"/>
      <c r="F78" s="18"/>
      <c r="G78" s="19"/>
      <c r="H78" s="19">
        <f t="shared" si="6"/>
        <v>0</v>
      </c>
      <c r="K78" s="21"/>
      <c r="L78" s="21">
        <v>44496</v>
      </c>
      <c r="M78" s="17" t="s">
        <v>66</v>
      </c>
      <c r="N78" s="17"/>
      <c r="O78" s="2"/>
      <c r="P78" s="22"/>
      <c r="Q78" s="2"/>
      <c r="R78" s="2"/>
      <c r="S78" s="24"/>
      <c r="T78" s="23"/>
      <c r="U78" s="2"/>
      <c r="V78" s="2"/>
      <c r="W78" s="2">
        <v>0.3</v>
      </c>
      <c r="X78" s="2" t="e">
        <f>((O78*F78)+Q78+R78+S78+U78)/G78</f>
        <v>#DIV/0!</v>
      </c>
      <c r="Y78" s="2" t="e">
        <f>((O78*F78)+Q78+R78+S78+T78+U78+V78)/G78+W78</f>
        <v>#DIV/0!</v>
      </c>
      <c r="Z78" s="3" t="e">
        <f>Y78*G78</f>
        <v>#DIV/0!</v>
      </c>
      <c r="AA78" s="27"/>
      <c r="AB78" s="20">
        <v>29.04</v>
      </c>
      <c r="AC78" t="s">
        <v>27</v>
      </c>
    </row>
    <row r="79" spans="1:29" x14ac:dyDescent="0.25">
      <c r="A79" s="53"/>
      <c r="B79" s="16" t="s">
        <v>26</v>
      </c>
      <c r="C79" t="s">
        <v>59</v>
      </c>
      <c r="D79" t="s">
        <v>59</v>
      </c>
      <c r="E79" t="s">
        <v>63</v>
      </c>
      <c r="F79" s="18">
        <f>41300*0.4536</f>
        <v>18733.68</v>
      </c>
      <c r="G79" s="19">
        <v>18648.88</v>
      </c>
      <c r="H79" s="19">
        <f t="shared" si="6"/>
        <v>-84.799999999999272</v>
      </c>
      <c r="I79" s="39" t="s">
        <v>199</v>
      </c>
      <c r="J79" s="20" t="s">
        <v>30</v>
      </c>
      <c r="K79" s="21">
        <v>44496</v>
      </c>
      <c r="L79" s="21">
        <v>44497</v>
      </c>
      <c r="M79" s="17" t="s">
        <v>69</v>
      </c>
      <c r="N79" s="17" t="s">
        <v>200</v>
      </c>
      <c r="O79" s="2"/>
      <c r="P79" s="22">
        <f>0.4796+0.115</f>
        <v>0.59460000000000002</v>
      </c>
      <c r="Q79" s="38">
        <v>26000</v>
      </c>
      <c r="R79" s="23">
        <f>17207-5400</f>
        <v>11807</v>
      </c>
      <c r="S79" s="24">
        <v>20.61</v>
      </c>
      <c r="T79" s="23">
        <f>X79*F79*0.005</f>
        <v>2731.7481757700257</v>
      </c>
      <c r="V79" s="2">
        <v>0.12</v>
      </c>
      <c r="W79" s="2">
        <v>0.3</v>
      </c>
      <c r="X79" s="2">
        <f>IF(O79&gt;0,O79,((P79*2.2046*S79)+(Q79+R79)/G79)+V79)</f>
        <v>29.16403158130197</v>
      </c>
      <c r="Y79" s="2">
        <f>IF(O79&gt;0,O79+W79,((P79*2.2046*S79)+(Q79+R79+T79)/G79)+V79+W79)</f>
        <v>29.610514811167249</v>
      </c>
      <c r="Z79" s="26">
        <f>Y79*F79</f>
        <v>554713.90910766763</v>
      </c>
      <c r="AA79" s="27">
        <v>44497</v>
      </c>
      <c r="AB79" s="20">
        <v>30.6</v>
      </c>
      <c r="AC79" t="s">
        <v>201</v>
      </c>
    </row>
    <row r="80" spans="1:29" x14ac:dyDescent="0.25">
      <c r="A80" s="53"/>
      <c r="B80" s="16" t="s">
        <v>33</v>
      </c>
      <c r="C80" t="s">
        <v>34</v>
      </c>
      <c r="D80" s="17" t="s">
        <v>124</v>
      </c>
      <c r="E80">
        <v>199</v>
      </c>
      <c r="F80" s="18">
        <v>22630</v>
      </c>
      <c r="G80" s="19">
        <v>17460</v>
      </c>
      <c r="H80" s="19">
        <f t="shared" si="6"/>
        <v>-5170</v>
      </c>
      <c r="I80" t="s">
        <v>202</v>
      </c>
      <c r="J80" s="49">
        <v>0.77149999999999996</v>
      </c>
      <c r="K80" s="41"/>
      <c r="L80" s="21">
        <v>44497</v>
      </c>
      <c r="M80" s="17" t="s">
        <v>69</v>
      </c>
      <c r="N80" s="17"/>
      <c r="O80" s="2">
        <v>31</v>
      </c>
      <c r="P80" s="22"/>
      <c r="Q80" s="30">
        <v>26000</v>
      </c>
      <c r="R80" s="2">
        <f>100.6*E80</f>
        <v>20019.399999999998</v>
      </c>
      <c r="S80" s="23">
        <f>-40*E80</f>
        <v>-7960</v>
      </c>
      <c r="T80" s="23">
        <f>X80*F80*0.0045</f>
        <v>4319.4394257731956</v>
      </c>
      <c r="U80" s="2">
        <f>E80*5</f>
        <v>995</v>
      </c>
      <c r="V80" s="2">
        <v>3600</v>
      </c>
      <c r="W80" s="2">
        <v>0.3</v>
      </c>
      <c r="X80" s="2">
        <f>((O80*F80)+Q80+R80+S80+U80)/G80</f>
        <v>42.416059564719362</v>
      </c>
      <c r="Y80" s="2">
        <f>((O80*F80)+Q80+R80+S80+T80+U80+V80)/G80+W80</f>
        <v>43.169635705943485</v>
      </c>
      <c r="Z80" s="3">
        <f>Y80*G80</f>
        <v>753741.83942577324</v>
      </c>
      <c r="AA80" s="27">
        <v>44511</v>
      </c>
      <c r="AB80" s="40">
        <f>SUM(AB73:AB79)/6</f>
        <v>29.786666666666665</v>
      </c>
      <c r="AC80" t="s">
        <v>73</v>
      </c>
    </row>
    <row r="81" spans="1:27" x14ac:dyDescent="0.25">
      <c r="A81" s="53"/>
      <c r="B81" s="16" t="s">
        <v>26</v>
      </c>
      <c r="C81" t="s">
        <v>27</v>
      </c>
      <c r="D81" s="17" t="s">
        <v>27</v>
      </c>
      <c r="E81" t="s">
        <v>28</v>
      </c>
      <c r="F81" s="18">
        <f>41714*0.4536</f>
        <v>18921.470399999998</v>
      </c>
      <c r="G81" s="19">
        <v>18896.830000000002</v>
      </c>
      <c r="H81" s="19">
        <f t="shared" si="6"/>
        <v>-24.640399999996589</v>
      </c>
      <c r="I81" t="s">
        <v>203</v>
      </c>
      <c r="J81" s="20" t="s">
        <v>30</v>
      </c>
      <c r="K81" s="21">
        <v>44497</v>
      </c>
      <c r="L81" s="21">
        <v>44498</v>
      </c>
      <c r="M81" s="17" t="s">
        <v>31</v>
      </c>
      <c r="N81" s="17" t="s">
        <v>204</v>
      </c>
      <c r="O81" s="2"/>
      <c r="P81" s="22">
        <f>0.4826+0.11</f>
        <v>0.59260000000000002</v>
      </c>
      <c r="Q81" s="2">
        <v>26000</v>
      </c>
      <c r="R81" s="23">
        <v>11963</v>
      </c>
      <c r="S81" s="24">
        <v>20.260000000000002</v>
      </c>
      <c r="T81" s="23">
        <f>X81*F81*0.005</f>
        <v>2705.5390885527222</v>
      </c>
      <c r="V81" s="2">
        <v>0.12</v>
      </c>
      <c r="W81" s="2">
        <v>0.3</v>
      </c>
      <c r="X81" s="2">
        <f>IF(O81&gt;0,O81,((P81*2.2046*S81)+(Q81+R81)/G81)+V81)</f>
        <v>28.597556440991205</v>
      </c>
      <c r="Y81" s="2">
        <f>IF(O81&gt;0,O81+W81,((P81*2.2046*S81)+(Q81+R81+T81)/G81)+V81+W81)</f>
        <v>29.040730671195568</v>
      </c>
      <c r="Z81" s="26">
        <f>Y81*F81</f>
        <v>549493.32578939898</v>
      </c>
      <c r="AA81" s="27">
        <v>44491</v>
      </c>
    </row>
    <row r="82" spans="1:27" x14ac:dyDescent="0.25">
      <c r="A82" s="53"/>
      <c r="B82" t="s">
        <v>33</v>
      </c>
      <c r="C82" t="s">
        <v>34</v>
      </c>
      <c r="D82" s="17" t="s">
        <v>124</v>
      </c>
      <c r="E82">
        <v>200</v>
      </c>
      <c r="F82" s="18">
        <v>21960</v>
      </c>
      <c r="G82" s="19">
        <v>17100</v>
      </c>
      <c r="H82" s="19">
        <f t="shared" si="6"/>
        <v>-4860</v>
      </c>
      <c r="I82" t="s">
        <v>205</v>
      </c>
      <c r="J82" s="49">
        <v>0.77859999999999996</v>
      </c>
      <c r="K82">
        <v>199</v>
      </c>
      <c r="L82" s="21">
        <v>44498</v>
      </c>
      <c r="M82" s="17" t="s">
        <v>31</v>
      </c>
      <c r="N82" s="17"/>
      <c r="O82" s="2">
        <v>31</v>
      </c>
      <c r="P82" s="22"/>
      <c r="Q82" s="30">
        <v>26000</v>
      </c>
      <c r="R82" s="2">
        <f>100.6*E82</f>
        <v>20120</v>
      </c>
      <c r="S82" s="23">
        <f>-40*E82</f>
        <v>-8000</v>
      </c>
      <c r="T82" s="23">
        <f>X82*F82*0.0045</f>
        <v>4160.1486315789471</v>
      </c>
      <c r="U82" s="2">
        <f>E82*5</f>
        <v>1000</v>
      </c>
      <c r="V82" s="2">
        <v>3600</v>
      </c>
      <c r="W82" s="2">
        <v>0.3</v>
      </c>
      <c r="X82" s="2">
        <f>((O82*F82)+Q82+R82+S82+U82)/G82</f>
        <v>42.098245614035086</v>
      </c>
      <c r="Y82" s="2">
        <f>((O82*F82)+Q82+R82+S82+T82+U82+V82)/G82+W82</f>
        <v>42.852055475530925</v>
      </c>
      <c r="Z82" s="3">
        <f>Y82*G82</f>
        <v>732770.14863157878</v>
      </c>
      <c r="AA82" s="27">
        <v>44512</v>
      </c>
    </row>
    <row r="83" spans="1:27" x14ac:dyDescent="0.25">
      <c r="A83" s="53"/>
      <c r="B83" t="s">
        <v>206</v>
      </c>
      <c r="C83" t="s">
        <v>207</v>
      </c>
      <c r="D83" s="17" t="s">
        <v>207</v>
      </c>
      <c r="E83" t="s">
        <v>208</v>
      </c>
      <c r="F83" s="18">
        <v>8</v>
      </c>
      <c r="G83" s="19">
        <v>8</v>
      </c>
      <c r="H83" s="19">
        <f t="shared" si="6"/>
        <v>0</v>
      </c>
      <c r="I83" t="s">
        <v>209</v>
      </c>
      <c r="K83" s="21"/>
      <c r="L83" s="21">
        <v>44498</v>
      </c>
      <c r="M83" s="17" t="s">
        <v>31</v>
      </c>
      <c r="N83" s="17"/>
      <c r="O83" s="2">
        <v>433</v>
      </c>
      <c r="P83" s="22"/>
      <c r="Q83" s="2"/>
      <c r="R83" s="2"/>
      <c r="S83" s="23"/>
      <c r="T83" s="23"/>
      <c r="U83" s="2"/>
      <c r="V83" s="2"/>
      <c r="W83" s="2"/>
      <c r="X83" s="2">
        <f t="shared" ref="X83:X86" si="10">IF(O83&gt;0,O83,((P83*2.2046*S83)+(Q83+R83)/G83)+V83)</f>
        <v>433</v>
      </c>
      <c r="Y83" s="2">
        <f t="shared" ref="Y83:Y86" si="11">IF(O83&gt;0,O83+W83,((P83*2.2046*S83)+(Q83+R83+T83)/G83)+V83+W83)</f>
        <v>433</v>
      </c>
      <c r="Z83" s="26">
        <v>5828.63</v>
      </c>
      <c r="AA83" s="27">
        <v>44498</v>
      </c>
    </row>
    <row r="84" spans="1:27" x14ac:dyDescent="0.25">
      <c r="A84" s="53"/>
      <c r="B84" t="s">
        <v>121</v>
      </c>
      <c r="C84" t="s">
        <v>27</v>
      </c>
      <c r="D84" s="17" t="s">
        <v>39</v>
      </c>
      <c r="E84" t="s">
        <v>28</v>
      </c>
      <c r="F84" s="18">
        <v>19259.276000000002</v>
      </c>
      <c r="G84" s="19">
        <v>18662.09</v>
      </c>
      <c r="H84" s="45">
        <f t="shared" si="6"/>
        <v>-597.18600000000151</v>
      </c>
      <c r="I84" t="s">
        <v>210</v>
      </c>
      <c r="K84" s="21"/>
      <c r="L84" s="21">
        <v>44498</v>
      </c>
      <c r="M84" s="17" t="s">
        <v>31</v>
      </c>
      <c r="N84" s="17"/>
      <c r="O84" s="2">
        <v>28</v>
      </c>
      <c r="P84" s="22"/>
      <c r="Q84" s="2"/>
      <c r="R84" s="2"/>
      <c r="S84" s="23"/>
      <c r="T84" s="23"/>
      <c r="U84" s="2"/>
      <c r="V84" s="2"/>
      <c r="W84" s="2"/>
      <c r="X84" s="2">
        <f>IF(O84&gt;0,O84,((P84*2.2046*S84)+(Q84+R84)/G84)+V84)</f>
        <v>28</v>
      </c>
      <c r="Y84" s="2">
        <f>IF(O84&gt;0,O84+W84,((P84*2.2046*S84)+(Q84+R84+T84)/G84)+V84+W84)</f>
        <v>28</v>
      </c>
      <c r="Z84" s="26">
        <f>Y84*F84</f>
        <v>539259.728</v>
      </c>
      <c r="AA84" s="27">
        <v>44512</v>
      </c>
    </row>
    <row r="85" spans="1:27" x14ac:dyDescent="0.25">
      <c r="A85" s="53"/>
      <c r="B85" t="s">
        <v>211</v>
      </c>
      <c r="C85" t="s">
        <v>101</v>
      </c>
      <c r="D85" s="17" t="s">
        <v>101</v>
      </c>
      <c r="E85" t="s">
        <v>87</v>
      </c>
      <c r="F85" s="18">
        <v>100</v>
      </c>
      <c r="G85" s="19">
        <v>100</v>
      </c>
      <c r="H85" s="19">
        <f t="shared" si="6"/>
        <v>0</v>
      </c>
      <c r="I85" t="s">
        <v>212</v>
      </c>
      <c r="K85" s="21"/>
      <c r="L85" s="21">
        <v>44499</v>
      </c>
      <c r="M85" s="17" t="s">
        <v>44</v>
      </c>
      <c r="N85" s="17"/>
      <c r="O85" s="2">
        <v>85</v>
      </c>
      <c r="P85" s="22"/>
      <c r="Q85" s="2"/>
      <c r="R85" s="2"/>
      <c r="S85" s="23"/>
      <c r="T85" s="23"/>
      <c r="U85" s="2"/>
      <c r="V85" s="2"/>
      <c r="W85" s="2"/>
      <c r="X85" s="2">
        <f t="shared" si="10"/>
        <v>85</v>
      </c>
      <c r="Y85" s="2">
        <f t="shared" si="11"/>
        <v>85</v>
      </c>
      <c r="Z85" s="26">
        <f t="shared" ref="Z85:Z86" si="12">Y85*F85</f>
        <v>8500</v>
      </c>
      <c r="AA85" s="27">
        <v>44501</v>
      </c>
    </row>
    <row r="86" spans="1:27" x14ac:dyDescent="0.25">
      <c r="A86" s="54"/>
      <c r="B86" t="s">
        <v>213</v>
      </c>
      <c r="C86" t="s">
        <v>101</v>
      </c>
      <c r="D86" s="17" t="s">
        <v>101</v>
      </c>
      <c r="E86" t="s">
        <v>87</v>
      </c>
      <c r="F86" s="18">
        <v>100</v>
      </c>
      <c r="G86" s="19">
        <v>100</v>
      </c>
      <c r="H86" s="19">
        <f t="shared" si="6"/>
        <v>0</v>
      </c>
      <c r="I86" t="s">
        <v>214</v>
      </c>
      <c r="K86" s="21"/>
      <c r="L86" s="21">
        <v>44499</v>
      </c>
      <c r="M86" s="17" t="s">
        <v>44</v>
      </c>
      <c r="N86" s="17"/>
      <c r="O86" s="2">
        <v>100</v>
      </c>
      <c r="P86" s="22"/>
      <c r="Q86" s="2"/>
      <c r="R86" s="2"/>
      <c r="S86" s="23"/>
      <c r="T86" s="23"/>
      <c r="U86" s="2"/>
      <c r="V86" s="2"/>
      <c r="W86" s="2"/>
      <c r="X86" s="2">
        <f t="shared" si="10"/>
        <v>100</v>
      </c>
      <c r="Y86" s="2">
        <f t="shared" si="11"/>
        <v>100</v>
      </c>
      <c r="Z86" s="26">
        <f t="shared" si="12"/>
        <v>10000</v>
      </c>
      <c r="AA86" s="27">
        <v>44501</v>
      </c>
    </row>
    <row r="87" spans="1:27" x14ac:dyDescent="0.25">
      <c r="A87" s="54"/>
      <c r="B87" s="16" t="s">
        <v>33</v>
      </c>
      <c r="C87" t="s">
        <v>34</v>
      </c>
      <c r="D87" s="17" t="s">
        <v>124</v>
      </c>
      <c r="E87">
        <f>200+50</f>
        <v>250</v>
      </c>
      <c r="F87" s="18">
        <f>22400+5875</f>
        <v>28275</v>
      </c>
      <c r="G87" s="19">
        <v>21920</v>
      </c>
      <c r="H87" s="19">
        <f t="shared" si="6"/>
        <v>-6355</v>
      </c>
      <c r="I87" t="s">
        <v>215</v>
      </c>
      <c r="J87" s="49">
        <v>0.7752</v>
      </c>
      <c r="K87" s="29">
        <v>249</v>
      </c>
      <c r="L87" s="21">
        <v>44500</v>
      </c>
      <c r="M87" s="17" t="s">
        <v>47</v>
      </c>
      <c r="N87" s="17"/>
      <c r="O87" s="2">
        <v>31</v>
      </c>
      <c r="P87" s="22"/>
      <c r="Q87" s="30">
        <v>26000</v>
      </c>
      <c r="R87" s="2">
        <f>100.6*E87</f>
        <v>25150</v>
      </c>
      <c r="S87" s="23">
        <f>-40*E87</f>
        <v>-10000</v>
      </c>
      <c r="T87" s="23">
        <f>X87*F87*0.0045</f>
        <v>5334.0200587363133</v>
      </c>
      <c r="U87" s="2">
        <f>E87*5</f>
        <v>1250</v>
      </c>
      <c r="V87" s="2">
        <v>3600</v>
      </c>
      <c r="W87" s="2">
        <v>0.3</v>
      </c>
      <c r="X87" s="2">
        <f>((O87*F87)+Q87+R87+S87+U87)/G87</f>
        <v>41.92176094890511</v>
      </c>
      <c r="Y87" s="2">
        <f>((O87*F87)+Q87+R87+S87+T87+U87+V87)/G87+W87</f>
        <v>42.629334856694172</v>
      </c>
      <c r="Z87" s="3">
        <f>Y87*G87</f>
        <v>934435.02005873621</v>
      </c>
      <c r="AA87" s="27">
        <v>44516</v>
      </c>
    </row>
    <row r="88" spans="1:27" ht="15.75" thickBot="1" x14ac:dyDescent="0.3">
      <c r="A88" s="55"/>
      <c r="B88" s="33"/>
      <c r="C88" s="4"/>
      <c r="D88" s="4"/>
      <c r="E88" s="4"/>
      <c r="F88" s="34"/>
      <c r="G88" s="34"/>
      <c r="H88" s="34"/>
      <c r="I88" s="7"/>
      <c r="J88" s="4"/>
      <c r="K88" s="8"/>
      <c r="L88" s="8"/>
      <c r="M88" s="4"/>
      <c r="N88" s="4"/>
      <c r="O88" s="9"/>
      <c r="P88" s="10"/>
      <c r="Q88" s="9"/>
      <c r="R88" s="9"/>
      <c r="S88" s="9"/>
      <c r="T88" s="9"/>
      <c r="U88" s="9"/>
      <c r="V88" s="9"/>
      <c r="W88" s="9"/>
      <c r="X88" s="9"/>
      <c r="Y88" s="9"/>
      <c r="Z88" s="13"/>
      <c r="AA88" s="14"/>
    </row>
    <row r="92" spans="1:27" x14ac:dyDescent="0.25">
      <c r="I92" t="s">
        <v>216</v>
      </c>
    </row>
    <row r="93" spans="1:27" x14ac:dyDescent="0.25">
      <c r="I93" s="1" t="s">
        <v>217</v>
      </c>
    </row>
    <row r="94" spans="1:27" x14ac:dyDescent="0.25">
      <c r="I94" t="s">
        <v>218</v>
      </c>
      <c r="J94" s="56"/>
      <c r="K94" t="s">
        <v>219</v>
      </c>
      <c r="L94" s="57">
        <v>10</v>
      </c>
      <c r="M94" t="s">
        <v>31</v>
      </c>
      <c r="N94">
        <v>22</v>
      </c>
    </row>
    <row r="95" spans="1:27" x14ac:dyDescent="0.25">
      <c r="I95" t="s">
        <v>220</v>
      </c>
      <c r="J95" s="57">
        <v>1</v>
      </c>
      <c r="K95" t="s">
        <v>221</v>
      </c>
      <c r="L95" s="57">
        <v>12</v>
      </c>
      <c r="M95" t="s">
        <v>47</v>
      </c>
    </row>
    <row r="96" spans="1:27" x14ac:dyDescent="0.25">
      <c r="I96" t="s">
        <v>219</v>
      </c>
      <c r="J96" s="57">
        <v>3</v>
      </c>
      <c r="K96" t="s">
        <v>222</v>
      </c>
      <c r="L96" s="57"/>
      <c r="M96" t="s">
        <v>50</v>
      </c>
      <c r="N96">
        <v>26</v>
      </c>
    </row>
    <row r="97" spans="9:14" x14ac:dyDescent="0.25">
      <c r="I97" t="s">
        <v>223</v>
      </c>
      <c r="J97" s="57"/>
      <c r="K97" t="s">
        <v>224</v>
      </c>
      <c r="L97" s="57">
        <v>14</v>
      </c>
      <c r="M97" t="s">
        <v>69</v>
      </c>
      <c r="N97" s="58">
        <v>28</v>
      </c>
    </row>
    <row r="98" spans="9:14" x14ac:dyDescent="0.25">
      <c r="I98" t="s">
        <v>221</v>
      </c>
      <c r="J98" s="57">
        <v>5</v>
      </c>
      <c r="K98" t="s">
        <v>220</v>
      </c>
      <c r="L98" s="57"/>
      <c r="M98" t="s">
        <v>31</v>
      </c>
      <c r="N98" s="58">
        <v>29</v>
      </c>
    </row>
    <row r="99" spans="9:14" x14ac:dyDescent="0.25">
      <c r="I99" t="s">
        <v>222</v>
      </c>
      <c r="J99" s="57"/>
      <c r="K99" t="s">
        <v>223</v>
      </c>
      <c r="L99" s="57">
        <v>18</v>
      </c>
      <c r="M99" t="s">
        <v>47</v>
      </c>
      <c r="N99" s="58">
        <v>31</v>
      </c>
    </row>
    <row r="100" spans="9:14" x14ac:dyDescent="0.25">
      <c r="I100" t="s">
        <v>224</v>
      </c>
      <c r="J100" s="57">
        <v>7</v>
      </c>
      <c r="K100" t="s">
        <v>221</v>
      </c>
      <c r="L100" s="57"/>
      <c r="N100" s="58"/>
    </row>
    <row r="101" spans="9:14" x14ac:dyDescent="0.25">
      <c r="I101" t="s">
        <v>220</v>
      </c>
      <c r="J101" s="57">
        <v>8</v>
      </c>
      <c r="K101" t="s">
        <v>225</v>
      </c>
      <c r="L101" s="57">
        <v>20</v>
      </c>
      <c r="N101" s="58"/>
    </row>
    <row r="102" spans="9:14" x14ac:dyDescent="0.25">
      <c r="L102" s="57"/>
    </row>
    <row r="103" spans="9:14" x14ac:dyDescent="0.25">
      <c r="I103" s="59" t="s">
        <v>226</v>
      </c>
      <c r="J103" s="60">
        <v>15</v>
      </c>
      <c r="K103" s="59" t="s">
        <v>227</v>
      </c>
      <c r="L103" s="59"/>
    </row>
  </sheetData>
  <pageMargins left="0.15748031496062992" right="0.15748031496062992" top="0.39370078740157483" bottom="0.31496062992125984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cortes</dc:creator>
  <cp:lastModifiedBy>ROUSS</cp:lastModifiedBy>
  <cp:lastPrinted>2021-11-15T21:23:45Z</cp:lastPrinted>
  <dcterms:created xsi:type="dcterms:W3CDTF">2021-11-13T21:53:36Z</dcterms:created>
  <dcterms:modified xsi:type="dcterms:W3CDTF">2021-11-15T21:57:00Z</dcterms:modified>
</cp:coreProperties>
</file>