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945" windowHeight="11685" activeTab="2"/>
  </bookViews>
  <sheets>
    <sheet name="Hoja5" sheetId="7" r:id="rId1"/>
    <sheet name="Hoja2" sheetId="12" r:id="rId2"/>
    <sheet name="GASTOS COMEDOR  DIC-2023" sheetId="15" r:id="rId3"/>
    <sheet name="GASTOS COMERDOR  NOV-2023      " sheetId="13" r:id="rId4"/>
    <sheet name="GASTOS COMEDOR OCT-2023 " sheetId="14" r:id="rId5"/>
    <sheet name="GASTOS POR SEMANA  SEPT-23 " sheetId="1" r:id="rId6"/>
    <sheet name="CONSENTRADO X SEMANAS   " sheetId="5" r:id="rId7"/>
    <sheet name="GASTO X  MES " sheetId="6" r:id="rId8"/>
    <sheet name="Hoja7" sheetId="10" r:id="rId9"/>
    <sheet name="   GASTOS  POR MES        02   " sheetId="11" r:id="rId10"/>
    <sheet name="GASTOS POR MES          01     " sheetId="2" r:id="rId11"/>
    <sheet name="Hoja3" sheetId="3" r:id="rId12"/>
    <sheet name="Hoja1" sheetId="8" r:id="rId13"/>
    <sheet name="Hoja6" sheetId="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15" l="1"/>
  <c r="V20" i="15"/>
  <c r="U20" i="15"/>
  <c r="S20" i="15"/>
  <c r="L20" i="15"/>
  <c r="J20" i="15"/>
  <c r="I20" i="15"/>
  <c r="G20" i="15"/>
  <c r="F20" i="15"/>
  <c r="E20" i="15"/>
  <c r="D20" i="15"/>
  <c r="H20" i="15"/>
  <c r="W20" i="15"/>
  <c r="R20" i="15"/>
  <c r="T20" i="15"/>
  <c r="Q20" i="15"/>
  <c r="X20" i="15"/>
  <c r="K20" i="15"/>
  <c r="V4" i="15"/>
  <c r="X3" i="15"/>
  <c r="I5" i="6"/>
  <c r="N5" i="6" s="1"/>
  <c r="N29" i="6"/>
  <c r="N28" i="6"/>
  <c r="N27" i="6"/>
  <c r="N26" i="6"/>
  <c r="N25" i="6"/>
  <c r="N9" i="6"/>
  <c r="N8" i="6"/>
  <c r="N7" i="6"/>
  <c r="N6" i="6"/>
  <c r="F6" i="13"/>
  <c r="V12" i="13"/>
  <c r="V19" i="13" s="1"/>
  <c r="X5" i="13"/>
  <c r="U19" i="13"/>
  <c r="S19" i="13"/>
  <c r="L19" i="13"/>
  <c r="K19" i="13"/>
  <c r="I19" i="13"/>
  <c r="G19" i="13"/>
  <c r="E19" i="13"/>
  <c r="V13" i="13"/>
  <c r="H13" i="13"/>
  <c r="H12" i="13"/>
  <c r="H19" i="13" s="1"/>
  <c r="W11" i="13"/>
  <c r="W19" i="13" s="1"/>
  <c r="R10" i="13"/>
  <c r="R19" i="13" s="1"/>
  <c r="J9" i="13"/>
  <c r="J19" i="13" s="1"/>
  <c r="T8" i="13"/>
  <c r="T19" i="13" s="1"/>
  <c r="D8" i="13"/>
  <c r="D19" i="13" s="1"/>
  <c r="Q7" i="13"/>
  <c r="Q19" i="13" s="1"/>
  <c r="S6" i="13"/>
  <c r="F19" i="13"/>
  <c r="F21" i="13" s="1"/>
  <c r="X19" i="13"/>
  <c r="K5" i="13"/>
  <c r="V3" i="13"/>
  <c r="X2" i="13"/>
  <c r="V40" i="13"/>
  <c r="V39" i="13"/>
  <c r="W38" i="13"/>
  <c r="R37" i="13"/>
  <c r="T35" i="13"/>
  <c r="Q34" i="13"/>
  <c r="S22" i="15" l="1"/>
  <c r="F22" i="15"/>
  <c r="N31" i="6"/>
  <c r="N11" i="6"/>
  <c r="S21" i="13"/>
  <c r="S33" i="13"/>
  <c r="X32" i="13"/>
  <c r="H40" i="13"/>
  <c r="H46" i="13" s="1"/>
  <c r="H39" i="13"/>
  <c r="J36" i="13"/>
  <c r="J46" i="13" s="1"/>
  <c r="D35" i="13"/>
  <c r="D46" i="13"/>
  <c r="F33" i="13"/>
  <c r="F46" i="13"/>
  <c r="K32" i="13"/>
  <c r="K46" i="13" s="1"/>
  <c r="U46" i="13"/>
  <c r="R46" i="13"/>
  <c r="L46" i="13"/>
  <c r="I46" i="13"/>
  <c r="G46" i="13"/>
  <c r="E46" i="13"/>
  <c r="V46" i="13"/>
  <c r="W46" i="13"/>
  <c r="T46" i="13"/>
  <c r="Q46" i="13"/>
  <c r="S46" i="13"/>
  <c r="X46" i="13"/>
  <c r="V30" i="13"/>
  <c r="X29" i="13"/>
  <c r="F48" i="13" l="1"/>
  <c r="S48" i="13"/>
  <c r="T66" i="13"/>
  <c r="T77" i="13" s="1"/>
  <c r="F64" i="13"/>
  <c r="K63" i="13"/>
  <c r="K77" i="13" s="1"/>
  <c r="V71" i="13"/>
  <c r="V70" i="13"/>
  <c r="V77" i="13" s="1"/>
  <c r="R69" i="13"/>
  <c r="W68" i="13"/>
  <c r="Q65" i="13"/>
  <c r="S64" i="13"/>
  <c r="S77" i="13"/>
  <c r="X63" i="13"/>
  <c r="H71" i="13"/>
  <c r="H70" i="13"/>
  <c r="J67" i="13"/>
  <c r="J77" i="13"/>
  <c r="D66" i="13"/>
  <c r="F77" i="13"/>
  <c r="U77" i="13"/>
  <c r="I77" i="13"/>
  <c r="G77" i="13"/>
  <c r="E77" i="13"/>
  <c r="L77" i="13"/>
  <c r="W77" i="13"/>
  <c r="H77" i="13"/>
  <c r="R77" i="13"/>
  <c r="D77" i="13"/>
  <c r="Q77" i="13"/>
  <c r="X77" i="13"/>
  <c r="V61" i="13"/>
  <c r="X60" i="13"/>
  <c r="F79" i="13" l="1"/>
  <c r="S79" i="13"/>
  <c r="H99" i="13"/>
  <c r="G94" i="13" l="1"/>
  <c r="K92" i="13"/>
  <c r="V100" i="13"/>
  <c r="X92" i="13"/>
  <c r="V101" i="13" l="1"/>
  <c r="W99" i="13"/>
  <c r="R98" i="13"/>
  <c r="Q94" i="13"/>
  <c r="S93" i="13"/>
  <c r="L101" i="13"/>
  <c r="H100" i="13" l="1"/>
  <c r="H106" i="13"/>
  <c r="E98" i="13"/>
  <c r="E106" i="13"/>
  <c r="J96" i="13"/>
  <c r="D95" i="13"/>
  <c r="F93" i="13"/>
  <c r="F106" i="13"/>
  <c r="X106" i="13"/>
  <c r="W106" i="13"/>
  <c r="T106" i="13"/>
  <c r="L106" i="13"/>
  <c r="K106" i="13"/>
  <c r="I106" i="13"/>
  <c r="G106" i="13"/>
  <c r="V106" i="13"/>
  <c r="R106" i="13"/>
  <c r="Q106" i="13"/>
  <c r="J106" i="13"/>
  <c r="U106" i="13"/>
  <c r="D106" i="13"/>
  <c r="S106" i="13"/>
  <c r="V90" i="13"/>
  <c r="X89" i="13"/>
  <c r="F108" i="13" l="1"/>
  <c r="S108" i="13"/>
  <c r="V131" i="13"/>
  <c r="S124" i="13"/>
  <c r="X123" i="13"/>
  <c r="H132" i="13"/>
  <c r="F124" i="13"/>
  <c r="K123" i="13"/>
  <c r="V130" i="13" l="1"/>
  <c r="T129" i="13"/>
  <c r="R128" i="13"/>
  <c r="Q127" i="13"/>
  <c r="U126" i="13"/>
  <c r="W125" i="13"/>
  <c r="H131" i="13"/>
  <c r="E130" i="13"/>
  <c r="J127" i="13"/>
  <c r="D125" i="13"/>
  <c r="W137" i="13" l="1"/>
  <c r="U137" i="13"/>
  <c r="T137" i="13"/>
  <c r="R137" i="13"/>
  <c r="Q137" i="13"/>
  <c r="L137" i="13"/>
  <c r="J137" i="13"/>
  <c r="I137" i="13"/>
  <c r="G137" i="13"/>
  <c r="F137" i="13"/>
  <c r="E137" i="13"/>
  <c r="D137" i="13"/>
  <c r="H137" i="13"/>
  <c r="V137" i="13"/>
  <c r="S137" i="13"/>
  <c r="X137" i="13"/>
  <c r="K137" i="13"/>
  <c r="V121" i="13"/>
  <c r="X120" i="13"/>
  <c r="S139" i="13" l="1"/>
  <c r="F139" i="13"/>
  <c r="AF29" i="6"/>
  <c r="AF27" i="6"/>
  <c r="AF26" i="6"/>
  <c r="AF25" i="6"/>
  <c r="AF9" i="6"/>
  <c r="AF7" i="6"/>
  <c r="AF6" i="6"/>
  <c r="AF5" i="6"/>
  <c r="S120" i="14"/>
  <c r="S133" i="14" s="1"/>
  <c r="V124" i="14"/>
  <c r="Q121" i="14"/>
  <c r="Q133" i="14" s="1"/>
  <c r="H126" i="14"/>
  <c r="J124" i="14"/>
  <c r="D121" i="14"/>
  <c r="D133" i="14" s="1"/>
  <c r="F120" i="14"/>
  <c r="F133" i="14" s="1"/>
  <c r="X133" i="14"/>
  <c r="U133" i="14"/>
  <c r="T133" i="14"/>
  <c r="R133" i="14"/>
  <c r="L133" i="14"/>
  <c r="J133" i="14"/>
  <c r="I133" i="14"/>
  <c r="G133" i="14"/>
  <c r="E133" i="14"/>
  <c r="H127" i="14"/>
  <c r="V126" i="14"/>
  <c r="H133" i="14"/>
  <c r="V133" i="14"/>
  <c r="W133" i="14"/>
  <c r="X119" i="14"/>
  <c r="K119" i="14"/>
  <c r="K133" i="14" s="1"/>
  <c r="V117" i="14"/>
  <c r="V156" i="13"/>
  <c r="V166" i="13"/>
  <c r="S153" i="13"/>
  <c r="S166" i="13" s="1"/>
  <c r="X152" i="13"/>
  <c r="X5" i="14"/>
  <c r="X19" i="14" s="1"/>
  <c r="S6" i="14"/>
  <c r="W9" i="14"/>
  <c r="W19" i="14" s="1"/>
  <c r="V12" i="14"/>
  <c r="V11" i="14"/>
  <c r="T10" i="14"/>
  <c r="S19" i="14"/>
  <c r="J10" i="14"/>
  <c r="H160" i="13"/>
  <c r="K152" i="13"/>
  <c r="K166" i="13" s="1"/>
  <c r="X166" i="13"/>
  <c r="W166" i="13"/>
  <c r="U166" i="13"/>
  <c r="T166" i="13"/>
  <c r="R166" i="13"/>
  <c r="Q166" i="13"/>
  <c r="L166" i="13"/>
  <c r="I166" i="13"/>
  <c r="G166" i="13"/>
  <c r="F166" i="13"/>
  <c r="E166" i="13"/>
  <c r="H166" i="13"/>
  <c r="J166" i="13"/>
  <c r="D166" i="13"/>
  <c r="V150" i="13"/>
  <c r="X149" i="13"/>
  <c r="H12" i="14"/>
  <c r="D7" i="14"/>
  <c r="F6" i="14"/>
  <c r="K5" i="14"/>
  <c r="U19" i="14"/>
  <c r="T19" i="14"/>
  <c r="Q19" i="14"/>
  <c r="I19" i="14"/>
  <c r="G19" i="14"/>
  <c r="F19" i="14"/>
  <c r="E19" i="14"/>
  <c r="L19" i="14"/>
  <c r="V19" i="14"/>
  <c r="H19" i="14"/>
  <c r="R19" i="14"/>
  <c r="J19" i="14"/>
  <c r="D19" i="14"/>
  <c r="K19" i="14"/>
  <c r="V3" i="14"/>
  <c r="X2" i="14"/>
  <c r="W19" i="1"/>
  <c r="U19" i="1"/>
  <c r="S19" i="1"/>
  <c r="Q19" i="1"/>
  <c r="L19" i="1"/>
  <c r="J19" i="1"/>
  <c r="I19" i="1"/>
  <c r="F19" i="1"/>
  <c r="E19" i="1"/>
  <c r="V14" i="1"/>
  <c r="H14" i="1"/>
  <c r="H13" i="1"/>
  <c r="H19" i="1" s="1"/>
  <c r="W11" i="1"/>
  <c r="J11" i="1"/>
  <c r="V10" i="1"/>
  <c r="V19" i="1" s="1"/>
  <c r="R9" i="1"/>
  <c r="R19" i="1" s="1"/>
  <c r="T8" i="1"/>
  <c r="T19" i="1" s="1"/>
  <c r="G8" i="1"/>
  <c r="G19" i="1" s="1"/>
  <c r="Q7" i="1"/>
  <c r="D7" i="1"/>
  <c r="D19" i="1" s="1"/>
  <c r="S6" i="1"/>
  <c r="F6" i="1"/>
  <c r="X5" i="1"/>
  <c r="X19" i="1" s="1"/>
  <c r="K5" i="1"/>
  <c r="K19" i="1" s="1"/>
  <c r="F21" i="1" s="1"/>
  <c r="U49" i="1"/>
  <c r="T49" i="1"/>
  <c r="R49" i="1"/>
  <c r="L49" i="1"/>
  <c r="K49" i="1"/>
  <c r="F51" i="1" s="1"/>
  <c r="I49" i="1"/>
  <c r="G49" i="1"/>
  <c r="E49" i="1"/>
  <c r="V44" i="1"/>
  <c r="H44" i="1"/>
  <c r="V43" i="1"/>
  <c r="V49" i="1" s="1"/>
  <c r="H43" i="1"/>
  <c r="H49" i="1" s="1"/>
  <c r="W41" i="1"/>
  <c r="W49" i="1" s="1"/>
  <c r="J41" i="1"/>
  <c r="J49" i="1" s="1"/>
  <c r="Q37" i="1"/>
  <c r="Q49" i="1" s="1"/>
  <c r="D37" i="1"/>
  <c r="D49" i="1" s="1"/>
  <c r="S36" i="1"/>
  <c r="S49" i="1" s="1"/>
  <c r="F36" i="1"/>
  <c r="F49" i="1" s="1"/>
  <c r="X35" i="1"/>
  <c r="X49" i="1" s="1"/>
  <c r="K35" i="1"/>
  <c r="AF28" i="6" l="1"/>
  <c r="AF31" i="6" s="1"/>
  <c r="AF8" i="6"/>
  <c r="AF11" i="6" s="1"/>
  <c r="F135" i="14"/>
  <c r="S135" i="14"/>
  <c r="S168" i="13"/>
  <c r="F168" i="13"/>
  <c r="S21" i="14"/>
  <c r="F21" i="14"/>
  <c r="S21" i="1"/>
  <c r="S51" i="1"/>
  <c r="L42" i="14"/>
  <c r="K33" i="14"/>
  <c r="H41" i="14" l="1"/>
  <c r="H40" i="14"/>
  <c r="H47" i="14" s="1"/>
  <c r="J38" i="14"/>
  <c r="D35" i="14"/>
  <c r="D47" i="14" s="1"/>
  <c r="F34" i="14"/>
  <c r="F47" i="14" s="1"/>
  <c r="Q35" i="14"/>
  <c r="Q47" i="14" s="1"/>
  <c r="V40" i="14"/>
  <c r="V39" i="14"/>
  <c r="R38" i="14"/>
  <c r="R47" i="14" s="1"/>
  <c r="W37" i="14"/>
  <c r="W47" i="14"/>
  <c r="S34" i="14"/>
  <c r="X33" i="14"/>
  <c r="X47" i="14" s="1"/>
  <c r="X30" i="14"/>
  <c r="U47" i="14"/>
  <c r="S47" i="14"/>
  <c r="L47" i="14"/>
  <c r="I47" i="14"/>
  <c r="G47" i="14"/>
  <c r="E47" i="14"/>
  <c r="J47" i="14"/>
  <c r="T47" i="14"/>
  <c r="K47" i="14"/>
  <c r="V31" i="14"/>
  <c r="V47" i="14" l="1"/>
  <c r="S49" i="14" s="1"/>
  <c r="F49" i="14"/>
  <c r="V70" i="14"/>
  <c r="V77" i="14" s="1"/>
  <c r="Q69" i="14"/>
  <c r="W66" i="14"/>
  <c r="S64" i="14"/>
  <c r="X63" i="14"/>
  <c r="V71" i="14"/>
  <c r="T65" i="14"/>
  <c r="H70" i="14"/>
  <c r="H69" i="14"/>
  <c r="H77" i="14" s="1"/>
  <c r="J67" i="14"/>
  <c r="J77" i="14" s="1"/>
  <c r="D65" i="14"/>
  <c r="D77" i="14" s="1"/>
  <c r="F64" i="14"/>
  <c r="F77" i="14"/>
  <c r="K63" i="14"/>
  <c r="K77" i="14" s="1"/>
  <c r="W77" i="14"/>
  <c r="S77" i="14"/>
  <c r="T77" i="14"/>
  <c r="U77" i="14"/>
  <c r="R77" i="14"/>
  <c r="L77" i="14"/>
  <c r="I77" i="14"/>
  <c r="G77" i="14"/>
  <c r="E77" i="14"/>
  <c r="Q77" i="14"/>
  <c r="X77" i="14"/>
  <c r="V61" i="14"/>
  <c r="F79" i="14" l="1"/>
  <c r="S79" i="14"/>
  <c r="H101" i="14"/>
  <c r="H100" i="14"/>
  <c r="H108" i="14" s="1"/>
  <c r="J99" i="14"/>
  <c r="J108" i="14" s="1"/>
  <c r="D96" i="14"/>
  <c r="D108" i="14"/>
  <c r="F95" i="14"/>
  <c r="F108" i="14"/>
  <c r="K94" i="14"/>
  <c r="K108" i="14"/>
  <c r="T102" i="14"/>
  <c r="S95" i="14"/>
  <c r="S108" i="14" s="1"/>
  <c r="V101" i="14"/>
  <c r="V99" i="14"/>
  <c r="R98" i="14"/>
  <c r="R108" i="14" s="1"/>
  <c r="W97" i="14"/>
  <c r="W108" i="14" s="1"/>
  <c r="Q96" i="14"/>
  <c r="X94" i="14"/>
  <c r="X108" i="14" s="1"/>
  <c r="U108" i="14"/>
  <c r="Q108" i="14"/>
  <c r="L108" i="14"/>
  <c r="I108" i="14"/>
  <c r="G108" i="14"/>
  <c r="E108" i="14"/>
  <c r="T108" i="14"/>
  <c r="V108" i="14"/>
  <c r="V92" i="14"/>
  <c r="F110" i="14" l="1"/>
  <c r="S110" i="14"/>
  <c r="AN8" i="6"/>
  <c r="AP8" i="6"/>
  <c r="AQ8" i="6"/>
  <c r="AS8" i="6"/>
  <c r="AO8" i="6"/>
  <c r="AT8" i="6"/>
  <c r="AR8" i="6"/>
  <c r="AP28" i="6"/>
  <c r="AQ28" i="6"/>
  <c r="AN28" i="6"/>
  <c r="AO28" i="6"/>
  <c r="AS28" i="6"/>
  <c r="AT28" i="6"/>
  <c r="AR28" i="6"/>
  <c r="AW29" i="6"/>
  <c r="AW27" i="6"/>
  <c r="AW26" i="6"/>
  <c r="AW25" i="6"/>
  <c r="AW9" i="6"/>
  <c r="AW7" i="6"/>
  <c r="AW6" i="6"/>
  <c r="AW5" i="6"/>
  <c r="BL26" i="6"/>
  <c r="BL25" i="6"/>
  <c r="BL7" i="6"/>
  <c r="BL6" i="6"/>
  <c r="BL5" i="6"/>
  <c r="AW8" i="6" l="1"/>
  <c r="AW11" i="6" s="1"/>
  <c r="AW28" i="6"/>
  <c r="AW31" i="6" s="1"/>
  <c r="BL29" i="6"/>
  <c r="BL9" i="6"/>
  <c r="N23" i="5"/>
  <c r="N22" i="5"/>
  <c r="N21" i="5"/>
  <c r="N20" i="5"/>
  <c r="N19" i="5"/>
  <c r="N9" i="5"/>
  <c r="N8" i="5"/>
  <c r="N7" i="5"/>
  <c r="N6" i="5"/>
  <c r="N5" i="5"/>
  <c r="N11" i="5" l="1"/>
  <c r="N25" i="5"/>
  <c r="V150" i="14"/>
  <c r="S146" i="14"/>
  <c r="T153" i="14"/>
  <c r="T159" i="14" s="1"/>
  <c r="W148" i="14"/>
  <c r="W159" i="14" s="1"/>
  <c r="Q147" i="14"/>
  <c r="Q159" i="14"/>
  <c r="S159" i="14"/>
  <c r="K145" i="14"/>
  <c r="K159" i="14" s="1"/>
  <c r="G159" i="14"/>
  <c r="I159" i="14"/>
  <c r="L159" i="14"/>
  <c r="F146" i="14"/>
  <c r="F159" i="14" s="1"/>
  <c r="D147" i="14"/>
  <c r="D159" i="14" s="1"/>
  <c r="J150" i="14"/>
  <c r="J159" i="14" s="1"/>
  <c r="V152" i="14"/>
  <c r="X145" i="14"/>
  <c r="H153" i="14"/>
  <c r="H159" i="14" s="1"/>
  <c r="H152" i="14"/>
  <c r="E151" i="14"/>
  <c r="E159" i="14" s="1"/>
  <c r="V143" i="14"/>
  <c r="U159" i="14"/>
  <c r="V159" i="14"/>
  <c r="R159" i="14"/>
  <c r="X159" i="14"/>
  <c r="F161" i="14" l="1"/>
  <c r="S161" i="14"/>
  <c r="AD22" i="5" l="1"/>
  <c r="AD21" i="5"/>
  <c r="AD20" i="5"/>
  <c r="AD19" i="5"/>
  <c r="AD11" i="5"/>
  <c r="AD6" i="5"/>
  <c r="AD7" i="5"/>
  <c r="AD8" i="5"/>
  <c r="AD5" i="5"/>
  <c r="AD25" i="5" l="1"/>
  <c r="U18" i="11"/>
  <c r="T18" i="11"/>
  <c r="R18" i="11"/>
  <c r="L18" i="11"/>
  <c r="K18" i="11"/>
  <c r="I18" i="11"/>
  <c r="G18" i="11"/>
  <c r="E18" i="11"/>
  <c r="V13" i="11"/>
  <c r="H13" i="11"/>
  <c r="V12" i="11"/>
  <c r="V18" i="11" s="1"/>
  <c r="H12" i="11"/>
  <c r="H18" i="11" s="1"/>
  <c r="W10" i="11"/>
  <c r="W18" i="11" s="1"/>
  <c r="J10" i="11"/>
  <c r="J18" i="11" s="1"/>
  <c r="Q6" i="11"/>
  <c r="Q18" i="11" s="1"/>
  <c r="D6" i="11"/>
  <c r="D18" i="11" s="1"/>
  <c r="S5" i="11"/>
  <c r="S18" i="11" s="1"/>
  <c r="F5" i="11"/>
  <c r="F18" i="11" s="1"/>
  <c r="X4" i="11"/>
  <c r="X18" i="11" s="1"/>
  <c r="K4" i="11"/>
  <c r="S20" i="11" l="1"/>
  <c r="F20" i="11"/>
  <c r="L14" i="2" l="1"/>
  <c r="H13" i="2"/>
  <c r="F12" i="2"/>
  <c r="Y6" i="2"/>
  <c r="W14" i="2"/>
  <c r="W13" i="2"/>
  <c r="S12" i="2"/>
  <c r="T11" i="2"/>
  <c r="U10" i="2"/>
  <c r="Y9" i="2"/>
  <c r="X8" i="2" l="1"/>
  <c r="R7" i="2"/>
  <c r="Z5" i="2"/>
  <c r="J11" i="2"/>
  <c r="I8" i="2"/>
  <c r="E8" i="2"/>
  <c r="H7" i="2"/>
  <c r="K6" i="2"/>
  <c r="D5" i="2"/>
  <c r="G10" i="2"/>
  <c r="V78" i="1" l="1"/>
  <c r="V77" i="1"/>
  <c r="W73" i="1"/>
  <c r="Q72" i="1"/>
  <c r="S70" i="1"/>
  <c r="T71" i="1"/>
  <c r="X69" i="1"/>
  <c r="H77" i="1"/>
  <c r="F70" i="1"/>
  <c r="D71" i="1"/>
  <c r="H78" i="1"/>
  <c r="K69" i="1"/>
  <c r="U83" i="1" l="1"/>
  <c r="T83" i="1"/>
  <c r="R83" i="1"/>
  <c r="Q83" i="1"/>
  <c r="L83" i="1"/>
  <c r="I83" i="1"/>
  <c r="G83" i="1"/>
  <c r="F83" i="1"/>
  <c r="E83" i="1"/>
  <c r="V83" i="1"/>
  <c r="H83" i="1"/>
  <c r="J83" i="1"/>
  <c r="S83" i="1"/>
  <c r="W83" i="1"/>
  <c r="K83" i="1"/>
  <c r="X83" i="1"/>
  <c r="D83" i="1"/>
  <c r="F85" i="1" l="1"/>
  <c r="S85" i="1"/>
  <c r="S106" i="1"/>
  <c r="R114" i="1" l="1"/>
  <c r="S114" i="1"/>
  <c r="T114" i="1"/>
  <c r="U114" i="1"/>
  <c r="W101" i="1"/>
  <c r="W114" i="1" s="1"/>
  <c r="X100" i="1"/>
  <c r="X114" i="1" s="1"/>
  <c r="V108" i="1"/>
  <c r="V109" i="1"/>
  <c r="Q102" i="1"/>
  <c r="Q114" i="1" s="1"/>
  <c r="V114" i="1" l="1"/>
  <c r="S116" i="1" s="1"/>
  <c r="K101" i="1"/>
  <c r="K114" i="1" s="1"/>
  <c r="J106" i="1"/>
  <c r="J114" i="1" s="1"/>
  <c r="H111" i="1"/>
  <c r="H109" i="1"/>
  <c r="H114" i="1" s="1"/>
  <c r="J107" i="1"/>
  <c r="F108" i="1"/>
  <c r="F114" i="1" s="1"/>
  <c r="D100" i="1"/>
  <c r="D114" i="1" s="1"/>
  <c r="S28" i="8"/>
  <c r="R10" i="8"/>
  <c r="R28" i="8" s="1"/>
  <c r="F10" i="8"/>
  <c r="F28" i="8" s="1"/>
  <c r="V9" i="8"/>
  <c r="C9" i="8"/>
  <c r="U8" i="8"/>
  <c r="U28" i="8" s="1"/>
  <c r="D8" i="8"/>
  <c r="D28" i="8" s="1"/>
  <c r="L114" i="1"/>
  <c r="I114" i="1"/>
  <c r="G114" i="1"/>
  <c r="E114" i="1"/>
  <c r="F116" i="1" l="1"/>
  <c r="X133" i="1"/>
  <c r="W5" i="8" s="1"/>
  <c r="W28" i="8" s="1"/>
  <c r="V142" i="1"/>
  <c r="T14" i="8" s="1"/>
  <c r="S139" i="1"/>
  <c r="Q11" i="8" s="1"/>
  <c r="Q28" i="8" s="1"/>
  <c r="R137" i="1"/>
  <c r="P12" i="8" s="1"/>
  <c r="P28" i="8" s="1"/>
  <c r="W134" i="1"/>
  <c r="V6" i="8" s="1"/>
  <c r="V28" i="8" s="1"/>
  <c r="K134" i="1"/>
  <c r="J6" i="8" s="1"/>
  <c r="J28" i="8" s="1"/>
  <c r="J139" i="1"/>
  <c r="F141" i="1"/>
  <c r="E13" i="8" s="1"/>
  <c r="E28" i="8" s="1"/>
  <c r="H135" i="1"/>
  <c r="G7" i="8" s="1"/>
  <c r="L143" i="1"/>
  <c r="K15" i="8" s="1"/>
  <c r="K28" i="8" s="1"/>
  <c r="Q161" i="1" l="1"/>
  <c r="S165" i="1"/>
  <c r="I136" i="1"/>
  <c r="L17" i="2"/>
  <c r="L147" i="1"/>
  <c r="H8" i="8" l="1"/>
  <c r="H28" i="8" s="1"/>
  <c r="V141" i="1"/>
  <c r="Q135" i="1"/>
  <c r="H142" i="1"/>
  <c r="J140" i="1"/>
  <c r="D133" i="1"/>
  <c r="O7" i="8" l="1"/>
  <c r="O28" i="8" s="1"/>
  <c r="C5" i="8"/>
  <c r="C28" i="8" s="1"/>
  <c r="G14" i="8"/>
  <c r="G28" i="8" s="1"/>
  <c r="T13" i="8"/>
  <c r="T28" i="8" s="1"/>
  <c r="I11" i="8"/>
  <c r="I28" i="8" s="1"/>
  <c r="U147" i="1"/>
  <c r="T147" i="1"/>
  <c r="R147" i="1"/>
  <c r="K147" i="1"/>
  <c r="G147" i="1"/>
  <c r="E147" i="1"/>
  <c r="D147" i="1"/>
  <c r="V147" i="1"/>
  <c r="S147" i="1"/>
  <c r="J147" i="1"/>
  <c r="F147" i="1"/>
  <c r="I147" i="1"/>
  <c r="Q147" i="1"/>
  <c r="H147" i="1"/>
  <c r="W147" i="1"/>
  <c r="X147" i="1"/>
  <c r="F167" i="1"/>
  <c r="H168" i="1"/>
  <c r="V167" i="1"/>
  <c r="V168" i="1"/>
  <c r="F163" i="1"/>
  <c r="E30" i="8" l="1"/>
  <c r="Q30" i="8"/>
  <c r="F149" i="1"/>
  <c r="S149" i="1"/>
  <c r="U182" i="1"/>
  <c r="S182" i="1"/>
  <c r="R182" i="1"/>
  <c r="E182" i="1"/>
  <c r="D182" i="1"/>
  <c r="V182" i="1"/>
  <c r="J165" i="1"/>
  <c r="J182" i="1" s="1"/>
  <c r="T164" i="1"/>
  <c r="T182" i="1" s="1"/>
  <c r="G164" i="1"/>
  <c r="G182" i="1" s="1"/>
  <c r="W163" i="1"/>
  <c r="I162" i="1"/>
  <c r="I182" i="1" s="1"/>
  <c r="Q182" i="1"/>
  <c r="H161" i="1"/>
  <c r="W160" i="1"/>
  <c r="W182" i="1" s="1"/>
  <c r="K160" i="1"/>
  <c r="K182" i="1" s="1"/>
  <c r="X159" i="1"/>
  <c r="X182" i="1" s="1"/>
  <c r="S184" i="1" l="1"/>
  <c r="F182" i="1"/>
  <c r="H182" i="1"/>
  <c r="Z17" i="2"/>
  <c r="Y17" i="2"/>
  <c r="X17" i="2"/>
  <c r="W17" i="2"/>
  <c r="V17" i="2"/>
  <c r="U17" i="2"/>
  <c r="T17" i="2"/>
  <c r="S17" i="2"/>
  <c r="K17" i="2"/>
  <c r="J17" i="2"/>
  <c r="I17" i="2"/>
  <c r="G17" i="2"/>
  <c r="F17" i="2"/>
  <c r="E17" i="2"/>
  <c r="D17" i="2"/>
  <c r="R17" i="2"/>
  <c r="H17" i="2"/>
  <c r="T19" i="2" l="1"/>
  <c r="F19" i="2"/>
  <c r="F184" i="1"/>
</calcChain>
</file>

<file path=xl/sharedStrings.xml><?xml version="1.0" encoding="utf-8"?>
<sst xmlns="http://schemas.openxmlformats.org/spreadsheetml/2006/main" count="1752" uniqueCount="349">
  <si>
    <t>FECHA</t>
  </si>
  <si>
    <t>Descripcion</t>
  </si>
  <si>
    <t>FRUTAS</t>
  </si>
  <si>
    <t>HIERVAS</t>
  </si>
  <si>
    <t>HUEVO</t>
  </si>
  <si>
    <t>CARNE</t>
  </si>
  <si>
    <t>Maracuya--fresas</t>
  </si>
  <si>
    <t>SEMILLAS  Y Chiles secos</t>
  </si>
  <si>
    <t>ABARROTES</t>
  </si>
  <si>
    <t>JAIMAICA</t>
  </si>
  <si>
    <t>HUEVO,  Y CHILES SECOS</t>
  </si>
  <si>
    <t xml:space="preserve">PAN DE DULCE </t>
  </si>
  <si>
    <t>Huevo</t>
  </si>
  <si>
    <t>rajas, salsas, vinagre, elote</t>
  </si>
  <si>
    <t>Mango,sandia,guayaba</t>
  </si>
  <si>
    <t>costeño,guajillo,pulla,tamarindo,arbol,morita</t>
  </si>
  <si>
    <t>Semillas y Chiles secos</t>
  </si>
  <si>
    <t xml:space="preserve">RELACION DE GASTOS   COMEDOR   CENTRAL  </t>
  </si>
  <si>
    <t xml:space="preserve">T O T A L E S </t>
  </si>
  <si>
    <t xml:space="preserve">RELACION DE GASTOS   COMEDOR   O B R A D O R </t>
  </si>
  <si>
    <t>19-Ago--25-Ago</t>
  </si>
  <si>
    <t>Tostadas y pan molido-tortillas</t>
  </si>
  <si>
    <t>PAN Y TOSTADAS --molido-tortillas</t>
  </si>
  <si>
    <t>yogurt Yoplait-café-norzuiza-fibras</t>
  </si>
  <si>
    <t>Frutas y VERDURAS</t>
  </si>
  <si>
    <t>PAN--TOSTADAS-Y Pan molido-bimbo-tortillas</t>
  </si>
  <si>
    <t xml:space="preserve"> </t>
  </si>
  <si>
    <t>ELOTES-PAPAYAS</t>
  </si>
  <si>
    <t>Aceite, leche, arroz, sopas, elote lata-margarina-bolsa-escobas-</t>
  </si>
  <si>
    <t>Carne molida mixta-jamon-queso-bisteck pco-retazo-pollo-papas francesa</t>
  </si>
  <si>
    <t>Jitomate, calabaza, poblano, papa, jalapeño, cebolla, tomate, serrano, limon-lechugas</t>
  </si>
  <si>
    <t>Epazote, hiervabuena, manzanilla,cilantro-tomillo-oregano-rabanos</t>
  </si>
  <si>
    <t>PAN DULCE---bimbo</t>
  </si>
  <si>
    <t>cilantro, epazote, hiervabuena, cilantro-maiz pozole</t>
  </si>
  <si>
    <t>tortillas-tostadas</t>
  </si>
  <si>
    <t>Jamon amricano-molida mixta-bistec-queso--retazo-pollo-papa francesa-longaniza-pollo-codillo-hueso</t>
  </si>
  <si>
    <t xml:space="preserve">RELACION DE GASTOS   COMEDOR   CENTRAL    </t>
  </si>
  <si>
    <t>del 19-Agosto al 26-Agosto</t>
  </si>
  <si>
    <t xml:space="preserve"> VERDURAS</t>
  </si>
  <si>
    <t>jitomate,jalapeño,cebolla,papa,zanahoria,tomate,serrano,tampico.--ajo,poblano-limon--lechuga</t>
  </si>
  <si>
    <t>Mango,sandia,guayaba-papaya</t>
  </si>
  <si>
    <t># 01</t>
  </si>
  <si>
    <t># 02</t>
  </si>
  <si>
    <t>26-Ago-23  al  01-Sept-23</t>
  </si>
  <si>
    <t>yogurt</t>
  </si>
  <si>
    <t>HUEVO,  Y CHILES SECOS-Ajonjoli, Cacahuate</t>
  </si>
  <si>
    <t>AGUA BONAFONT</t>
  </si>
  <si>
    <t>epazote,cilantro,telimon,manzanilla,oregano,</t>
  </si>
  <si>
    <t>sandia,manzana-guayaba-naranja</t>
  </si>
  <si>
    <t>PAN DULCE---bimbo-pan molido</t>
  </si>
  <si>
    <t>AGUA BONFONT</t>
  </si>
  <si>
    <t>Jitomate, calabaza, poblano, papa, jalapeño, cebolla, tomate, serrano, limon-lechugas brocoli-poro-nopal-chicharo-chayote-ejote-ajo-poblano-pepino-limon</t>
  </si>
  <si>
    <t>Jamon amricano-molida mixta-bistec-queso--retazo-pollo-papa francesa-longaniza-pollo-codillo-hueso costilla-chuleta ahum-</t>
  </si>
  <si>
    <t>yogurt Yoplait-café-norzuiza-fibras-café legal-tajas-italpasta-atun-hoja mixiote-aceite oliva-hilos mixiote-limpiador horno</t>
  </si>
  <si>
    <t>cilantro, epazote, hiervabuena, cilantro-maiz pozole-telimon-manzanilla-oregano</t>
  </si>
  <si>
    <t>jitomate,jalapeño,cebolla,papa,zanahoria,tomate,serrano,tampico.--ajo,poblano-limon-papaya-lechuga-nopal-brocoli-chicharo-calabaza-tampico</t>
  </si>
  <si>
    <t>Tostadas--tortillas- masa</t>
  </si>
  <si>
    <t>Brocoli,poro,nopal,jitomate,papa,chicharo,chayote,calabaza,ejote,cebolla,ajo,poblano,tomate,pepino,limon-melones-lechuga</t>
  </si>
  <si>
    <t>Elote, leche,arroz,crema-vasos-tapas-cuchara--queso-gouda</t>
  </si>
  <si>
    <t>Carne molida mixta-costilla-chuleta ahu-jamon-pollo-milanesa</t>
  </si>
  <si>
    <t>Aceite, leche, arroz, sopas, elote lata-margarina-bolsa-escobas-queso-gouda</t>
  </si>
  <si>
    <t>Carne molida mixta-jamon-queso-bisteck pco-retazo-pollo-papas francesa-costilla-chuleta ahum-milanesa</t>
  </si>
  <si>
    <t>oregano,tomillo,chiles tampico-güero-cacahuate--</t>
  </si>
  <si>
    <t>molida mixta-costilla-jamon-chuleta ahum-pierna-muslo-milanesa</t>
  </si>
  <si>
    <t>café legal-rajas-italpasta-Norzuisa tarro-ajax-atun-leche-crema-hoja mixiote-aceite oliva--hilo mixiote, limpiador horno-queso -morron</t>
  </si>
  <si>
    <t>Nopal-tomate-brocoli-jitomate-chicharo-papa-poblano-zanahoria-charote-calabaza-cebolla-ajo-morron</t>
  </si>
  <si>
    <t># 03</t>
  </si>
  <si>
    <t>del 26-Agosto al 01-Septiembre</t>
  </si>
  <si>
    <t>del 02--- al  08 Septiembre</t>
  </si>
  <si>
    <t>2-8-Sept-23</t>
  </si>
  <si>
    <t>Maracuya--papaya-melon-piña-sandia</t>
  </si>
  <si>
    <t>jitomate. Cebolla,tomate,serrano,calabaza,ejote,chayote,poblano,-morron-Champiñones</t>
  </si>
  <si>
    <t>brocoli,poro.lechugas.cilantro-----,epazote</t>
  </si>
  <si>
    <t>Nescafe,legal,</t>
  </si>
  <si>
    <t xml:space="preserve">HUEVO,  </t>
  </si>
  <si>
    <t>AJAX-JALADOR VIDRIOS</t>
  </si>
  <si>
    <t>FRIJOL--CHILE COSTEÑO</t>
  </si>
  <si>
    <t>TORTILLAS--tostadas</t>
  </si>
  <si>
    <t>LALA, ELOTE-CREMA-QUESILLO</t>
  </si>
  <si>
    <t>Mole-pollo-salchicha-pechuga-espinazo-chicharron-jamon americnao-tocino-puntas-</t>
  </si>
  <si>
    <t>tomillo-oregano-tamarindo-jamaica</t>
  </si>
  <si>
    <t>pera-papaya-limon-piñas-sandias-melones-pepino</t>
  </si>
  <si>
    <t>cilantro-epazote-manzanilla-</t>
  </si>
  <si>
    <t>poblano-brocoli-poro-lechugas-champiñones-jitomate-ajo-tomate-chicharo-calabaza-cebolla-zanahoria-tampico-morron-mole</t>
  </si>
  <si>
    <t>jamon-pollo-pechuga-salchicha- espinazo-gouda-quesillo-chicharron-tocino-brocheta</t>
  </si>
  <si>
    <t>PAN DULCE---bimbo-</t>
  </si>
  <si>
    <t>Chipotle-rajas-elote-Norzuisa tarro-mantequilla--yogurt-crema-</t>
  </si>
  <si>
    <t>Arroz</t>
  </si>
  <si>
    <t># 04</t>
  </si>
  <si>
    <t>9---15 Sept-2023</t>
  </si>
  <si>
    <t>Pechuga-Bistec pco-pollo-chicharron</t>
  </si>
  <si>
    <t>piña-,melon-samdia-maracuya</t>
  </si>
  <si>
    <t>poro-oregano-col-epazote-pipicha</t>
  </si>
  <si>
    <t>Jitomate-papa-cebolla-calabaza-chayote-zanahoria-jalapeño-ajo-serrano-elote-chicharo-</t>
  </si>
  <si>
    <t>Chipotle-catsup-elote-mostaza-Norzuisa-pastas-arroz-</t>
  </si>
  <si>
    <t>salsa azul-ciruela-almendra</t>
  </si>
  <si>
    <t>TORTILLAS</t>
  </si>
  <si>
    <t>pechuga-bisteck pco-pollo-jamon-gouda</t>
  </si>
  <si>
    <t>hojas aguacate-cilantro-telimon-epazote-manzanilla-hiervabuena-perejil</t>
  </si>
  <si>
    <t>morron-chayote-tampico-zanahoraia-jitomate-calabaza-chicharo-ejote-cebolla-papa-limon-ajo</t>
  </si>
  <si>
    <t>sandias-guayaba-manzana-melon</t>
  </si>
  <si>
    <t>Azucar   1 bulto  50 kg</t>
  </si>
  <si>
    <t>9-Sept-23  AZUCAR</t>
  </si>
  <si>
    <t>Frijol- 25 KG --guajillo-costeño-tamarindo-almendra</t>
  </si>
  <si>
    <t>crema-lala-yogurt-palillos-chipotles-catsup-mayonesa-leche-lechera-fibras scotch--sal-servilletas-toalla</t>
  </si>
  <si>
    <t>PAN Dulce  y  Bimbo</t>
  </si>
  <si>
    <t>tortillas-</t>
  </si>
  <si>
    <t>del       09--- al  15 Septiembre</t>
  </si>
  <si>
    <t>Carne molida mixta-jamon-queso-bisteck pco-retazo-pollo-papas francesa-costilla-chuleta ahum-milanesa-mole-salchicha-pechuga-espinozo-chicharron-jamon-tocino</t>
  </si>
  <si>
    <t>Epazote, hiervabuena, manzanilla,cilantro-tomillo-oregano-rabanos-poro-col-pipicha</t>
  </si>
  <si>
    <t>Maracuya--fresas-melon-piña-sandia-papaya-jamaica</t>
  </si>
  <si>
    <t>Jitomate, calabaza, poblano, papa, jalapeño, cebolla, tomate, serrano, limon-lechugas brocoli-poro-nopal-chicharo-chayote-ejote-ajo-poblano-pepino-limon-elotes-champiñones</t>
  </si>
  <si>
    <t>Aceite, leche, arroz, sopas, elote lata-margarina-bolsa-escobas-queso-gouda-Nescafe-Legal-crema-lala--ajax-jalador-vidrios</t>
  </si>
  <si>
    <t>Jamon amricano-molida mixta-bistec-queso--retazo-pollo-papa francesa-longaniza-pollo-codillo-hueso costilla-chuleta ahum-Costilla-milanesa-pechuga-salchica-espizano-goudachicharron-quesillo-tocino-brocheta</t>
  </si>
  <si>
    <t>Mango,sandia,guayaba-papaya-manzana-naranja-pera-limon-piña-pepino</t>
  </si>
  <si>
    <t>cilantro, epazote, hiervabuena, cilantro-maiz pozole-telimon-manzanilla-oregano-hojas aguacate-perejil</t>
  </si>
  <si>
    <t>jitomate,jalapeño,cebolla,papa,zanahoria,tomate,serrano,tampico.--ajo,poblano-limon-lechuga-nopal-brocoli-chicharo-calabaza-tampico-chicharo-chayote-morron-poro-molechampiñones-</t>
  </si>
  <si>
    <t>costeño,guajillo,pulla,tamarindo,arbol,morita-cacahuate-güero-tomillo-oregano-tamarindo-jaimaica--frijol-almendra</t>
  </si>
  <si>
    <t>yogurt Yoplait-café-norzuiza-fibras-café legal-tajas-italpasta-atun-hoja mixiote-aceite oliva-hilos mixiote-limpiador horno-chipotle-tajas-elote-mantequilla-yogurt-crema-catsup-mayonesa-sal-servilletas-toallas-arroz</t>
  </si>
  <si>
    <t>AZUCAR 1 bulto 50 kg   9-Sept-2023</t>
  </si>
  <si>
    <t>19-Ago--14-Sept-23</t>
  </si>
  <si>
    <t xml:space="preserve">RELACION   MENSUAL     DE GASTOS   COMEDOR   CENTRAL  </t>
  </si>
  <si>
    <t xml:space="preserve">RELACION MENSUAL      DE GASTOS   COMEDOR   O B R A D O R </t>
  </si>
  <si>
    <t>15---22--Sept-23</t>
  </si>
  <si>
    <t xml:space="preserve">papaya-sandia-melon -guayaba-sandia </t>
  </si>
  <si>
    <t>hierbabuena-epazote-hoja aguacate-cilantro-oregano-poro</t>
  </si>
  <si>
    <t>FRIJOL</t>
  </si>
  <si>
    <t>huevo blanco</t>
  </si>
  <si>
    <t>Yogurt-elote-harina-arroz- crema-cubeta para IRANA</t>
  </si>
  <si>
    <t>del       15--- al  22 Septiembre</t>
  </si>
  <si>
    <t>Tocino,jamon-cuete res-gouda-fajitas-res-queso panela--pechuga-salchicha-molida mixta-totopos-crema-pollo-</t>
  </si>
  <si>
    <t>calabaza-cebolla-jalapeño-jitomate-papa-tampico-tomate-zanahoria--limon-poblano-huazontles-brocoli-aguacate-</t>
  </si>
  <si>
    <t>Tortillas--Totopos</t>
  </si>
  <si>
    <t>15--22-Sept-23</t>
  </si>
  <si>
    <t>cuete res-jamon-tocino-chicharron-quesos-fajitas res--salchicha-molida mixta-pechuga-pollo-</t>
  </si>
  <si>
    <t>manzanilla-epazote-hierbabuena-oregano-tomillo-pipicha-cilantro-hoja aguacate</t>
  </si>
  <si>
    <t>elote-huazontles-poro-brocoli-espinaca-calabaza-jitomate-papa-cebolla-serrano-chicharo-tomate-poblano-tampico-jalapeño-ajo</t>
  </si>
  <si>
    <t>sandia-naranja-papayas-</t>
  </si>
  <si>
    <t>jamaica-chile ancho-chile pulla-chile guajillo-costeño-tamarindo</t>
  </si>
  <si>
    <t>chipotle-rajas-elote-harina-Knor zuisa tarro-yogurt</t>
  </si>
  <si>
    <t>PAN DULCE-----BIMBO</t>
  </si>
  <si>
    <t>semana  # 01</t>
  </si>
  <si>
    <t>semana  # 02</t>
  </si>
  <si>
    <t>semana  # 03</t>
  </si>
  <si>
    <t>semana  # 04</t>
  </si>
  <si>
    <t>26-Ago- al  01-SEPT</t>
  </si>
  <si>
    <t xml:space="preserve">AGUA </t>
  </si>
  <si>
    <t>2--al  -8-Sept-23</t>
  </si>
  <si>
    <t>del       23--- al  29 Septiembre</t>
  </si>
  <si>
    <t>23--al 29- Sept-23</t>
  </si>
  <si>
    <t>del       15--- al  22   Septiembre</t>
  </si>
  <si>
    <t>del       23--- al  29    Septiembre</t>
  </si>
  <si>
    <t>Norteño-queso panela-pechuga-totopos-crema-costilla-gouda-mole-alon-maiz abuela</t>
  </si>
  <si>
    <t>poblano-jitomate-tampico-cebolla-calabaza-chayote-zanahoria-papa-tomate-chicharo-ajo-</t>
  </si>
  <si>
    <t>melon-papaya-sandia-tuna-guayaba--manzana-piña</t>
  </si>
  <si>
    <t>epazote-perejil-oregano-rabanos-lechugas-</t>
  </si>
  <si>
    <t xml:space="preserve">HUEVO   </t>
  </si>
  <si>
    <t xml:space="preserve">AZUCAR  BULTO 50 kg </t>
  </si>
  <si>
    <t>ELOTE-CAFÉ LEGAL-HARINA-ITALPASTA-CREMA-SALEROS-MAYONESA</t>
  </si>
  <si>
    <t>CANELA-AJONJOLI- FRIJOL</t>
  </si>
  <si>
    <t>Norteño-queso panela-totopos-gouda-pechuga pollo-costilla-jamon-mole-maiz-tostadas-alon</t>
  </si>
  <si>
    <t>Jitomate-cebolla-ejote-chicharo-chayote-papa-zanahoria-calabaza-tomate-tampico-serramp-poblano-aguacate-limon-jalapeño-morron-</t>
  </si>
  <si>
    <t>Manzana -guayaba-sandia-melon</t>
  </si>
  <si>
    <t>Manzanilla-cilantro-telimon-hoja aguacate-laurel-tomillo-oregano-lechugas</t>
  </si>
  <si>
    <t>TOTILLAS</t>
  </si>
  <si>
    <t>Papel mixiote-microdin-yogurt-cereal-vinagre-elote-Café legal-Italpasta-  AJAX</t>
  </si>
  <si>
    <t>Ajonjoli--chile costeño-pulla-tamatindo-serrano-arroz-chipotle</t>
  </si>
  <si>
    <t>del       30--- al  06    OCTUBRE-2023</t>
  </si>
  <si>
    <t>30---al    06-OCTUBRE 23</t>
  </si>
  <si>
    <t>Bistec Pco-jamon-queso panela-salchicha-retazo--quesillo-papa francesa-milanesa pollo-Maiz-codillo-hueso-pollo</t>
  </si>
  <si>
    <t>Epazote-cilantro-</t>
  </si>
  <si>
    <t>Melon-sandia-piña-limon-guayaba--sandia-melon-papaya</t>
  </si>
  <si>
    <t xml:space="preserve">HUEVO </t>
  </si>
  <si>
    <t>JAMAICA-GUAJILLO-PULLA-PASILLA-ANCHO-PAN MOLIDO</t>
  </si>
  <si>
    <t>Quesillo-jamon-bistec pco-queso panela-salchicha-retazo-milanesa pollo-papa francesa-pollo-hueso-codillo-maiz-tostadas</t>
  </si>
  <si>
    <t>Yogurt-Chipotle-rajas-elote-café legal-Knor Suiza-Italpasta-Vinagre-Sal gruesa-Pan molido-</t>
  </si>
  <si>
    <t>Chile pulla-Guajillo-costeño</t>
  </si>
  <si>
    <t>ELOTE-LECHE-ITALPASTA-ARROZ-YOGURT</t>
  </si>
  <si>
    <t>lechuga-rabanos-jitomate--papa-poblano-jalapeño-cebolla-ajo-calabaza-tomate-serrano-elote-romanas</t>
  </si>
  <si>
    <t>Naranja-Guayaba--Melon-Sandia-Papaya-limon</t>
  </si>
  <si>
    <t>Hoja de aguacate-epazote-cilantro-</t>
  </si>
  <si>
    <t>Lechugas-Elotes-Tomate-Jitomate-Papa-Jalapeño-Zanahoria-Calabaza-Cebolla-Poblano-Limon-Tampico-Serrano-Ajo- Berenjena-Lechuga</t>
  </si>
  <si>
    <t>23--al 29-SEPT-23</t>
  </si>
  <si>
    <t>30- al  06-Oct-23</t>
  </si>
  <si>
    <t>del 19-Agosto al  15-Sept-23</t>
  </si>
  <si>
    <t>del 15 Sept   al   06   Oct-23</t>
  </si>
  <si>
    <t>23- Al  29-Sept-23</t>
  </si>
  <si>
    <t>30  al  06  Oct-23</t>
  </si>
  <si>
    <r>
      <t xml:space="preserve">AZUCAR  1 BULTO  50 Kg        </t>
    </r>
    <r>
      <rPr>
        <b/>
        <sz val="11"/>
        <color rgb="FF990033"/>
        <rFont val="Calibri"/>
        <family val="2"/>
        <scheme val="minor"/>
      </rPr>
      <t xml:space="preserve"> Compra anterior   9--Sept-         1 BULTO   </t>
    </r>
  </si>
  <si>
    <t>Compra 1 bulto AZUCAR</t>
  </si>
  <si>
    <t>23- Al  30-Sept-23</t>
  </si>
  <si>
    <t>23--al 30-SEPT-23</t>
  </si>
  <si>
    <t xml:space="preserve">DEL 19 AGOSTO   AL     31  AGOSTO </t>
  </si>
  <si>
    <t>DEL 1 SEPT   al   30-Sept-2023</t>
  </si>
  <si>
    <t>del       07--- al  13    OCTUBRE-2023</t>
  </si>
  <si>
    <t>Queso-Chuleta Ahum--Espaldilla-Gouda-Tostadas-pollo-Jamon-Milanesa pollo</t>
  </si>
  <si>
    <t>Jitomate-Chicharo-Chayote-Zanahoria-Calabaza-Cebolla-Tampico-Poblano-Ajo-Papa-Serrano-Tomate-Lechuga --Nopales-Pepeinos</t>
  </si>
  <si>
    <t>Melon-Guayaba-Manzana</t>
  </si>
  <si>
    <t>Yogurt-Chipotle-Rajas-Atun-Elote-Café clasico-Galletitas-Leche-Philadelphia</t>
  </si>
  <si>
    <t>Pan molido-Tamarindo-Ajonjoli-Cacahuate-Comino-Canela-Jamaica-Frijol</t>
  </si>
  <si>
    <t>Cilantro-Epazote-Thelimon-Manzanilla-Hoja Aguacate-Laurel</t>
  </si>
  <si>
    <t>07---al    13  -OCTUBRE 23</t>
  </si>
  <si>
    <t>Chuleta Ahu-Tostadas-Queso Panela-Espaldilla-Jamon-Pollo-Milanesa Pollo</t>
  </si>
  <si>
    <t>Jitomate-Calabaza-Chayote-Ejote-Chicharo-Zanahoria-Papa-Cebolla-Poblano-Tomate-Limon-Brocoli-Poro-Epazote-Nopales-Aguacate-Lechuga-Pepino</t>
  </si>
  <si>
    <t>Melon-Piña-Papaya-sandia -Manzana-Maracuya-</t>
  </si>
  <si>
    <t>Cacahuate-Sal</t>
  </si>
  <si>
    <t>Mayonesa-Atun-Elote-Leche-Knorzuisa-Sal- Crema-Galletitas-Philadelphia</t>
  </si>
  <si>
    <t>AGUA</t>
  </si>
  <si>
    <t># 05</t>
  </si>
  <si>
    <t>del       14--- al  20    OCTUBRE-2023</t>
  </si>
  <si>
    <t>14--AL---20--Octubre-23</t>
  </si>
  <si>
    <t>Jamon-pechuga-pollo-queso-mole-gouda-crema lala-tostadas-salchicha-chicharron-tocino-brocheta</t>
  </si>
  <si>
    <t>papa-calabaza-chayote-zanahoria-poblano-chicharo-cebolla-tampico-serrano-ajo-pimiento-champiñones-pepinos-limon-tomate-jitomate</t>
  </si>
  <si>
    <t>brocoli-cilantro-epazote-telimon-poro-romana-laurel-hojas aguacate-perejil</t>
  </si>
  <si>
    <t>Leche-Knorzuisa-yogurt-arroz servilletas-limpiador estufa</t>
  </si>
  <si>
    <t>jamaica -costeño-tamarindo-guajillo</t>
  </si>
  <si>
    <t>sandias--guayaba--piñas-limon--papaya</t>
  </si>
  <si>
    <t>Tortillas</t>
  </si>
  <si>
    <t>Pollo-Mole-quesos-jamon-Salchicha-Pechuga-crema -tostadas-chicharron--tocino-brocheta</t>
  </si>
  <si>
    <t>Tomate-papa-chayote-calabaza-ejote-cebolla-ajo-poblano-pepino-melon-sandia-papaya-pimineto-champiñones--jitomate--aguacate</t>
  </si>
  <si>
    <t>Sandias--Limon--Papaya</t>
  </si>
  <si>
    <t>Perejil-Epazote--Romanas--Brocolis</t>
  </si>
  <si>
    <t>Elote--Leche Lala--Italpasatas--Arroz --Crema Alpura--</t>
  </si>
  <si>
    <t>Chiles  Morita--Costeño--Chile Ancho-Pulla-Jamaica-frijol</t>
  </si>
  <si>
    <t>21--AL---27--Octubre-23</t>
  </si>
  <si>
    <t>del       21--- al  27    OCTUBRE-2023</t>
  </si>
  <si>
    <t>Pechuga--Bistec pco --pollo-jamon--chicharron-gouda</t>
  </si>
  <si>
    <t>Papaya --Manzana--maracuya--sandia --guayaba</t>
  </si>
  <si>
    <t>Poblano--zanahoria --calabaza--chayote--chicharo--serrano--tampico--ejote--pápá-cebolla--ajo--tomate--jitomate-Limon-Eloe</t>
  </si>
  <si>
    <t>29-Sept-23  1 BULTO AZUCAR 50 K</t>
  </si>
  <si>
    <r>
      <t>Yogurt-----21-Oct-23  ----Azucar bulto 50K-</t>
    </r>
    <r>
      <rPr>
        <b/>
        <sz val="10"/>
        <color theme="7" tint="-0.499984740745262"/>
        <rFont val="Calibri"/>
        <family val="2"/>
        <scheme val="minor"/>
      </rPr>
      <t>-29-Sept-23 se combo 1 Bulto AZUCAR--Chiopotle-rajas-Elote-Café Legal--Leche--Italpasta-</t>
    </r>
  </si>
  <si>
    <t>Papel Mixiote--Hilo mixiote--guajillo--pulla-ciruela--almendras-canela</t>
  </si>
  <si>
    <t>Bistec pco--pechugas--queso panela--pollo--chicharron</t>
  </si>
  <si>
    <t>Chicharo--calabaza--zanahoria--chayote--jalapeño--serrano--cebolla--Papa--Limon-Elote--Jitomate</t>
  </si>
  <si>
    <t>Melon-Sandia--Guayaba--Manzana--maracuya</t>
  </si>
  <si>
    <t>Tomillo-oregano-pipicha-Hierbabuena-poro-Cilantro</t>
  </si>
  <si>
    <t>HUEV O</t>
  </si>
  <si>
    <t>Yogurt--Chipotle--Elote--ACEITE--CREMA ALPURA</t>
  </si>
  <si>
    <t>Almendras--Ciruela Pasa--</t>
  </si>
  <si>
    <t>PAN DE DULCE</t>
  </si>
  <si>
    <t>21--AL---27--Octubre-24</t>
  </si>
  <si>
    <t>28--AL---31--Octubre-23</t>
  </si>
  <si>
    <t>del       28--- al  31    OCTUBRE-2023</t>
  </si>
  <si>
    <t>Jamon--Tocino-QUESO--FAJITAS-</t>
  </si>
  <si>
    <t>PAPA-CEBOLLA-JALAPEÑO-TOMATE-CALABAZA-TAMPICO-POBLANO-AJO-ZANAHORIA-BROCOLI-HUAZONTLE-JITOMATE</t>
  </si>
  <si>
    <t>MELON-PAPAYA-PAPAYA--LIMON</t>
  </si>
  <si>
    <t>CHIPOTLE-ELOTE-KNOR ZUIZA-ARROZ-CREMA ALPURA-BIMBO INTEGRAL</t>
  </si>
  <si>
    <t>FRIJOL-JAMAICA</t>
  </si>
  <si>
    <t>del   01- al  3   NOVIEMBRE  2023</t>
  </si>
  <si>
    <t>01--AL---03--Nov-23</t>
  </si>
  <si>
    <t>SALCHICHA--MOLIDA MIXTA-QUESOS--JAMON-POLLO-</t>
  </si>
  <si>
    <t>PAPAYAS</t>
  </si>
  <si>
    <t>PORO-HIERBABUENA-EPAZOTE- AGUACATE</t>
  </si>
  <si>
    <t>MAYONESA-ELOTE-GALLETAS P-CREMA--MANTEQUILLA</t>
  </si>
  <si>
    <t>CHILE ANCHO-COSTEÑO-GUAJILLO</t>
  </si>
  <si>
    <t>JAMON-TOCINO-FAJITAS RES-QEUSOS-PECHUGA-MOLIDA MIXTA-CREMA-TOTOPOS-SALCHICHA-POLLO</t>
  </si>
  <si>
    <t>PAPA-CEBOLLA-JALAPEÑO-TOMATE-CALABAZA-TAMPICO-AJO-SERRANO-CHICHARO--HUAZONTLE-JIOTOMATE-BROCOLI-</t>
  </si>
  <si>
    <t>PECHUGA-MOLIDA MIXTA-CREMA-TOTOPOS-SALCHICHA-QUESO-JAMON-POLLO</t>
  </si>
  <si>
    <t>TOMATE-LIMON-AJO-ZANAHORIA</t>
  </si>
  <si>
    <t>YOGURT</t>
  </si>
  <si>
    <t>YOGHURT</t>
  </si>
  <si>
    <t>COMINOS</t>
  </si>
  <si>
    <t>PORO-HIERBABUENA-BROCOLI-CILANTRO-MANZANILLA-OREGANO--HOJAS DE AGUACATE</t>
  </si>
  <si>
    <t>lechuga-rabanos-jitomate--elote-romanas</t>
  </si>
  <si>
    <t>papaya</t>
  </si>
  <si>
    <t>Lechugas-Elotes-Tomate-Jitomate-- Berenjena-Lechuga</t>
  </si>
  <si>
    <t>melon-sandia-papaya-limon</t>
  </si>
  <si>
    <t>DEL 1 OCT   al   31--OCT--2023</t>
  </si>
  <si>
    <t>2--al  -6-Oct-23</t>
  </si>
  <si>
    <t>7---13 Oct-2023</t>
  </si>
  <si>
    <t>14---20--Oct-23</t>
  </si>
  <si>
    <t>semana  # 05</t>
  </si>
  <si>
    <t>21--al   27-Oct-23</t>
  </si>
  <si>
    <t>28--al  31-Oct-23</t>
  </si>
  <si>
    <t xml:space="preserve">  AZUCAR------- 21--Oct---antes  9-Sept</t>
  </si>
  <si>
    <t>del   04- al  10   NOVIEMBRE  2023</t>
  </si>
  <si>
    <t>04--AL---10--Nov-23</t>
  </si>
  <si>
    <t>Harian-avena-italpasta--crema--desengransante--</t>
  </si>
  <si>
    <t>AZUCAR 1 BULTO 50 KG            8-Nov-23</t>
  </si>
  <si>
    <t>Melon-papaya-sandia-guanavana--manzana--Nopal -aguacate</t>
  </si>
  <si>
    <t>Epazote-tomillo-oregano</t>
  </si>
  <si>
    <t>Guajillo--FRIJOL--Ajonjoli--sal Roche azul</t>
  </si>
  <si>
    <t>Yoguth-mayonesa-rajas-Arroz-Elote-café legal-leche-knorzuisa-italpasta-spaguetti-ajax-fibra-limpiador horno-harina trigo-Hilaza cono</t>
  </si>
  <si>
    <t>Sandia--Naranja--Manzana-Maracuya</t>
  </si>
  <si>
    <t>Chile costeño--Ancho-Guajillo-Pulla-Jamaica-Tamarindo-Pimienta</t>
  </si>
  <si>
    <t>Epazote-Telimon-Cilantro-Hojas de aguacate</t>
  </si>
  <si>
    <t>Pechuga pollo--Totopos--crema--costilla-mole convento-Jamon americano-gouda-maiz-alon-</t>
  </si>
  <si>
    <t>Poblano--cebolla-papa-zanahoria--chayote--calabaza-tomate-chicharo-tampico-serrano-ajo-jitomate--limon--lechuga-rabanos</t>
  </si>
  <si>
    <t>QUESO-Norteño-Pechuga pollo-crema-gouda-totpos-condimento-añejo-costilla-mole convento--maiz-tostadas-jamon americano</t>
  </si>
  <si>
    <t>Poblano-cebolla-papa-zanahoria-tomate-chicharo-tampico-serrano-ajo-aguacate-jitomate-tomate-limon-lechuga-rabanos-tomillo</t>
  </si>
  <si>
    <t>del   11- al  17   NOVIEMBRE  2023</t>
  </si>
  <si>
    <t>11--AL---17--Nov-23</t>
  </si>
  <si>
    <t>Papa--Jalapeño--Cebolla-Calabaza-Ajo--Tomate--Zanahoria -elotes-pepino--Jitomate</t>
  </si>
  <si>
    <t>sandia--Guanabana--papaya</t>
  </si>
  <si>
    <t>Chipotle-Elote--Café legal--Aceite--Arroz-Yogurt--mayonesa--leche</t>
  </si>
  <si>
    <t>Jamaica--costeño--arbol--canela</t>
  </si>
  <si>
    <t>Papa--Jalapeño--cebolla-Ajo--Tomate--Zanahoria--Tampico--Serrano--Jitomate--Calabaza---elotes</t>
  </si>
  <si>
    <t xml:space="preserve"> Maracuya--Naranja--Guayaba--Sandias--Papaya</t>
  </si>
  <si>
    <t>Lechugas-oregano-tomillo-manzanilla-telimon--laurel</t>
  </si>
  <si>
    <t>AZUCAR 11-Nov-23</t>
  </si>
  <si>
    <t>AZUCAR 21-Oct-23</t>
  </si>
  <si>
    <t>Tamarindo--Chile costeño--ancho--pulla--guajillo--Frijol</t>
  </si>
  <si>
    <t>Rajas--elote--Norzuisa 13-Kg--Italpasta--aceite-cucharas--aceite oliva-- Yigurt--Papel mixiote</t>
  </si>
  <si>
    <t>Jamon--Bistec pco--quesos-crema--retazo-salchicha-jamon-quesillo-milanesa pollo--papa francesa-condimento--pollo--Trozos limpios --maiz abuela--centro codillo</t>
  </si>
  <si>
    <t xml:space="preserve">Queso--bisteck cdo--salchicha-jamon-crema-retazi-quesillo-milanesa pollo-papa francesa-pollo--centro de codillo-trozo limpio--maiz </t>
  </si>
  <si>
    <t>lechuga-cilantro-epazote-oregano-tomillo--Rabano</t>
  </si>
  <si>
    <t>del   18- al  24   NOVIEMBRE  2023</t>
  </si>
  <si>
    <t>18--AL---24--Nov-23</t>
  </si>
  <si>
    <t>Tostadas--queso panela--chuleta ahum--costilla--jamon-pollo-tostadas</t>
  </si>
  <si>
    <t>Sandia-Melon--Manzana--</t>
  </si>
  <si>
    <t>Epazote--poro--espinacas</t>
  </si>
  <si>
    <t>Atun--elote--leche--harina--italpasta-fibra--crema alpura--galleta bombitos</t>
  </si>
  <si>
    <t>guajillo--cacahuate--ajonjoli--Jamaica</t>
  </si>
  <si>
    <t>Calabaza-Jitomate-Chayote-Papa-Ejote-Zanahoria-Serrano-Cebolla-Ajo-Pepino-Limon-Tampico-Aguacate-Brocoli--Chicharo-Nopales--Lechugas--</t>
  </si>
  <si>
    <t>AZUCAR -----21-Oct-23--11-Nov-23</t>
  </si>
  <si>
    <t>Tostadas Delicias--Chuleta Ahum--crema--queso--costilla--jamon--pollo-</t>
  </si>
  <si>
    <t>Chicharo--chayote-Zanahoria-Calabaza-Tampico-Poblano-ajo-serrano-papa--tomate-calabaza--Jitomate-brocoli--aguacate--oeoubi-limon</t>
  </si>
  <si>
    <t>Guayaba--melon--sandia--Limon</t>
  </si>
  <si>
    <t>Tomillo-oregano--laurel--hoja de aguacate--Romana-china-cilantro-Epazote--30</t>
  </si>
  <si>
    <t>Mayonesa-rajas-chipotles-yogurth--nescafe--Italpasta--atun-galleta bombita</t>
  </si>
  <si>
    <t>Hilaza--cacahuate-puya--costeño--ancho--jamaica</t>
  </si>
  <si>
    <t>del   25- al  30   NOVIEMBRE  2023</t>
  </si>
  <si>
    <t>25--AL---30--Nov-23</t>
  </si>
  <si>
    <t>JAMON-QUESOS-POLLO-MOLE--PECHUGA --SALCHICHA-TOSTADAS--CREMA--CHICHARRON--BROCHETA--TOCINO--</t>
  </si>
  <si>
    <t>Romana-brocoli-epazote-cilantro-menta</t>
  </si>
  <si>
    <t>Jitomate --Poblano-P-Morron-Tomate-papa-calabaza-ejote-chicharo-cebolla-tampico-zanahoria-limon-Guayaba-- Champiñon</t>
  </si>
  <si>
    <t>Melon --Piña --Maracuya-Papayas--</t>
  </si>
  <si>
    <t>Tortillinas--chipotle-Catsup--elote--nescafe--leche--Italpasta--arroz--Mantequilla--Pelador--galletas bombitos</t>
  </si>
  <si>
    <t>firjol michigan</t>
  </si>
  <si>
    <t>Crema-quesos-Jamon--pollo-mole-pechugas-tostadas-´Pechuga--tocino-brocheta-chicharron</t>
  </si>
  <si>
    <t>Jitomate--Papa-poblano-calabaza-zanahoria--Chicharo--cebolla-Ajo-Tomate-Serrano-Tampico--Champiñon--Pimiento--Tampico</t>
  </si>
  <si>
    <t>Guayaba--Sandia --Naranja--Papaya</t>
  </si>
  <si>
    <t>romanas--Hojas de aguacatet--brocoli--epazote--laurel--Hiervabuena --thelimon</t>
  </si>
  <si>
    <t>Ajonjoli--Chile pulla--Guajillo--costeño--pimienta gorda-Jamaica--Canela--ARROS</t>
  </si>
  <si>
    <t>Pelador--abrelatas-Rajas-elote--mayonesa--café legal--Italpasta--ajax--Mantequilla-togurt--galletas bombito</t>
  </si>
  <si>
    <t>Crema-quesos-Jamon--pollo-mole-pechugas-tostadas-´Pechuga--tocino-brocheta-chicharron--salchicha</t>
  </si>
  <si>
    <t>RELACION DE GASTOS   COMEDOR   CENTRAL    NOVIEMBRE</t>
  </si>
  <si>
    <t>01--al  -03--Nov-23</t>
  </si>
  <si>
    <t>04--al  -10--Nov-23</t>
  </si>
  <si>
    <t>11--al  -17--Nov-23</t>
  </si>
  <si>
    <t>18--al  -24--Nov-23</t>
  </si>
  <si>
    <t>25--al  -30--Nov-23</t>
  </si>
  <si>
    <t>AZUKAR  BULTO 50kg  8-Nov-23</t>
  </si>
  <si>
    <t xml:space="preserve">RELACION DE GASTOS   COMEDOR   O B R A D O R    Noviembre </t>
  </si>
  <si>
    <t xml:space="preserve">  AZUCAR-----11-Nov-23   y  antes-- 21--Oct-23</t>
  </si>
  <si>
    <t>DEL 1 Nov   al   30--Nov--2023</t>
  </si>
  <si>
    <t>01-Dic-23.,</t>
  </si>
  <si>
    <t>del   - al  01  DICIEMBRE    2023</t>
  </si>
  <si>
    <t>SALCHICHA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</si>
</sst>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;\-&quot;$&quot;#,##0.00"/>
    <numFmt numFmtId="44" formatCode="_-&quot;$&quot;* #,##0.00_-;\-&quot;$&quot;* #,##0.00_-;_-&quot;$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0"/>
      <color theme="7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/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4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44" fontId="2" fillId="0" borderId="0" xfId="1" applyFont="1"/>
    <xf numFmtId="15" fontId="5" fillId="0" borderId="2" xfId="0" applyNumberFormat="1" applyFont="1" applyBorder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0" fillId="2" borderId="8" xfId="0" applyFill="1" applyBorder="1"/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0" fontId="0" fillId="2" borderId="0" xfId="0" applyFill="1" applyBorder="1"/>
    <xf numFmtId="44" fontId="2" fillId="0" borderId="9" xfId="1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44" fontId="2" fillId="0" borderId="17" xfId="1" applyFont="1" applyBorder="1"/>
    <xf numFmtId="44" fontId="2" fillId="0" borderId="18" xfId="1" applyFont="1" applyBorder="1" applyAlignment="1">
      <alignment vertical="center"/>
    </xf>
    <xf numFmtId="44" fontId="2" fillId="0" borderId="19" xfId="1" applyFont="1" applyBorder="1" applyAlignment="1">
      <alignment vertical="center"/>
    </xf>
    <xf numFmtId="44" fontId="2" fillId="0" borderId="20" xfId="1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vertical="center"/>
    </xf>
    <xf numFmtId="0" fontId="5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vertical="center"/>
    </xf>
    <xf numFmtId="44" fontId="3" fillId="0" borderId="18" xfId="1" applyFont="1" applyBorder="1" applyAlignment="1">
      <alignment vertical="center"/>
    </xf>
    <xf numFmtId="44" fontId="3" fillId="0" borderId="19" xfId="1" applyFont="1" applyBorder="1" applyAlignment="1">
      <alignment vertical="center"/>
    </xf>
    <xf numFmtId="44" fontId="3" fillId="0" borderId="20" xfId="1" applyFont="1" applyBorder="1" applyAlignment="1">
      <alignment vertical="center"/>
    </xf>
    <xf numFmtId="0" fontId="8" fillId="4" borderId="21" xfId="0" applyFont="1" applyFill="1" applyBorder="1" applyAlignment="1">
      <alignment horizontal="right" vertical="center"/>
    </xf>
    <xf numFmtId="0" fontId="2" fillId="0" borderId="17" xfId="0" applyFont="1" applyBorder="1"/>
    <xf numFmtId="0" fontId="8" fillId="3" borderId="2" xfId="0" applyFont="1" applyFill="1" applyBorder="1" applyAlignment="1">
      <alignment horizontal="right" vertical="center"/>
    </xf>
    <xf numFmtId="15" fontId="5" fillId="0" borderId="5" xfId="0" applyNumberFormat="1" applyFont="1" applyBorder="1" applyAlignment="1">
      <alignment horizontal="center" vertical="center"/>
    </xf>
    <xf numFmtId="0" fontId="0" fillId="2" borderId="22" xfId="0" applyFill="1" applyBorder="1"/>
    <xf numFmtId="0" fontId="5" fillId="2" borderId="23" xfId="0" applyFont="1" applyFill="1" applyBorder="1" applyAlignment="1">
      <alignment vertical="center"/>
    </xf>
    <xf numFmtId="0" fontId="4" fillId="2" borderId="24" xfId="0" applyFont="1" applyFill="1" applyBorder="1" applyAlignment="1"/>
    <xf numFmtId="15" fontId="6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5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0" applyFont="1" applyBorder="1"/>
    <xf numFmtId="0" fontId="11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2" fillId="0" borderId="1" xfId="0" applyFont="1" applyBorder="1"/>
    <xf numFmtId="15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wrapText="1"/>
    </xf>
    <xf numFmtId="0" fontId="5" fillId="0" borderId="14" xfId="0" applyFont="1" applyBorder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vertical="center"/>
    </xf>
    <xf numFmtId="0" fontId="0" fillId="2" borderId="27" xfId="0" applyFill="1" applyBorder="1"/>
    <xf numFmtId="0" fontId="5" fillId="5" borderId="28" xfId="0" applyFont="1" applyFill="1" applyBorder="1" applyAlignment="1">
      <alignment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44" fontId="2" fillId="0" borderId="29" xfId="1" applyFont="1" applyFill="1" applyBorder="1"/>
    <xf numFmtId="0" fontId="14" fillId="0" borderId="1" xfId="0" applyFont="1" applyBorder="1" applyAlignment="1">
      <alignment wrapText="1"/>
    </xf>
    <xf numFmtId="44" fontId="2" fillId="0" borderId="1" xfId="1" applyFont="1" applyFill="1" applyBorder="1"/>
    <xf numFmtId="0" fontId="13" fillId="0" borderId="0" xfId="0" applyFont="1" applyBorder="1" applyAlignment="1">
      <alignment horizontal="center"/>
    </xf>
    <xf numFmtId="0" fontId="5" fillId="5" borderId="31" xfId="0" applyFont="1" applyFill="1" applyBorder="1" applyAlignment="1">
      <alignment vertical="center"/>
    </xf>
    <xf numFmtId="44" fontId="2" fillId="0" borderId="0" xfId="1" applyFont="1" applyBorder="1"/>
    <xf numFmtId="44" fontId="2" fillId="0" borderId="0" xfId="1" applyFont="1" applyFill="1" applyBorder="1"/>
    <xf numFmtId="44" fontId="2" fillId="0" borderId="9" xfId="1" applyFont="1" applyFill="1" applyBorder="1"/>
    <xf numFmtId="44" fontId="2" fillId="0" borderId="17" xfId="1" applyFont="1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6" xfId="0" applyFill="1" applyBorder="1"/>
    <xf numFmtId="44" fontId="3" fillId="0" borderId="8" xfId="1" applyFont="1" applyFill="1" applyBorder="1" applyAlignment="1">
      <alignment vertical="center"/>
    </xf>
    <xf numFmtId="44" fontId="2" fillId="0" borderId="0" xfId="1" applyFont="1" applyFill="1"/>
    <xf numFmtId="0" fontId="0" fillId="0" borderId="7" xfId="0" applyFill="1" applyBorder="1"/>
    <xf numFmtId="0" fontId="0" fillId="0" borderId="0" xfId="0" applyFill="1"/>
    <xf numFmtId="0" fontId="4" fillId="0" borderId="30" xfId="0" applyFont="1" applyFill="1" applyBorder="1" applyAlignment="1"/>
    <xf numFmtId="0" fontId="5" fillId="0" borderId="32" xfId="0" applyFont="1" applyFill="1" applyBorder="1" applyAlignment="1">
      <alignment vertical="center"/>
    </xf>
    <xf numFmtId="0" fontId="4" fillId="2" borderId="33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1" fillId="0" borderId="35" xfId="0" applyFont="1" applyBorder="1" applyAlignment="1">
      <alignment wrapText="1"/>
    </xf>
    <xf numFmtId="0" fontId="9" fillId="0" borderId="36" xfId="0" applyFont="1" applyBorder="1" applyAlignment="1">
      <alignment wrapText="1"/>
    </xf>
    <xf numFmtId="0" fontId="9" fillId="0" borderId="36" xfId="0" applyFont="1" applyBorder="1"/>
    <xf numFmtId="0" fontId="11" fillId="0" borderId="36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2" fillId="0" borderId="36" xfId="0" applyFont="1" applyBorder="1"/>
    <xf numFmtId="15" fontId="9" fillId="0" borderId="37" xfId="0" applyNumberFormat="1" applyFont="1" applyBorder="1" applyAlignment="1">
      <alignment horizontal="center"/>
    </xf>
    <xf numFmtId="15" fontId="6" fillId="0" borderId="9" xfId="0" applyNumberFormat="1" applyFont="1" applyBorder="1" applyAlignment="1">
      <alignment horizontal="center" vertical="center" wrapText="1"/>
    </xf>
    <xf numFmtId="44" fontId="15" fillId="0" borderId="1" xfId="1" applyFont="1" applyFill="1" applyBorder="1"/>
    <xf numFmtId="0" fontId="2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15" fontId="11" fillId="0" borderId="34" xfId="0" applyNumberFormat="1" applyFont="1" applyBorder="1" applyAlignment="1">
      <alignment horizontal="center" vertical="center" wrapText="1"/>
    </xf>
    <xf numFmtId="0" fontId="9" fillId="0" borderId="36" xfId="0" applyFont="1" applyBorder="1" applyAlignment="1">
      <alignment vertical="center" wrapText="1"/>
    </xf>
    <xf numFmtId="0" fontId="3" fillId="5" borderId="31" xfId="0" applyFont="1" applyFill="1" applyBorder="1" applyAlignment="1">
      <alignment vertical="center" wrapText="1"/>
    </xf>
    <xf numFmtId="44" fontId="3" fillId="0" borderId="2" xfId="1" applyFont="1" applyBorder="1" applyAlignment="1">
      <alignment vertical="center"/>
    </xf>
    <xf numFmtId="0" fontId="4" fillId="3" borderId="30" xfId="0" applyFont="1" applyFill="1" applyBorder="1" applyAlignment="1">
      <alignment horizontal="center"/>
    </xf>
    <xf numFmtId="0" fontId="5" fillId="2" borderId="38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44" fontId="2" fillId="6" borderId="9" xfId="1" applyFont="1" applyFill="1" applyBorder="1"/>
    <xf numFmtId="44" fontId="2" fillId="6" borderId="1" xfId="1" applyFont="1" applyFill="1" applyBorder="1"/>
    <xf numFmtId="0" fontId="16" fillId="0" borderId="1" xfId="0" applyFont="1" applyBorder="1" applyAlignment="1">
      <alignment wrapText="1"/>
    </xf>
    <xf numFmtId="0" fontId="2" fillId="0" borderId="9" xfId="0" applyFont="1" applyBorder="1" applyAlignment="1">
      <alignment vertical="center" wrapText="1"/>
    </xf>
    <xf numFmtId="15" fontId="15" fillId="0" borderId="1" xfId="0" applyNumberFormat="1" applyFont="1" applyBorder="1" applyAlignment="1">
      <alignment horizontal="center"/>
    </xf>
    <xf numFmtId="0" fontId="2" fillId="6" borderId="0" xfId="0" applyFont="1" applyFill="1"/>
    <xf numFmtId="0" fontId="0" fillId="6" borderId="0" xfId="0" applyFill="1"/>
    <xf numFmtId="0" fontId="16" fillId="0" borderId="39" xfId="0" applyFont="1" applyBorder="1" applyAlignment="1">
      <alignment wrapText="1"/>
    </xf>
    <xf numFmtId="0" fontId="9" fillId="0" borderId="39" xfId="0" applyFont="1" applyBorder="1"/>
    <xf numFmtId="0" fontId="11" fillId="0" borderId="39" xfId="0" applyFont="1" applyBorder="1" applyAlignment="1">
      <alignment wrapText="1"/>
    </xf>
    <xf numFmtId="0" fontId="9" fillId="0" borderId="39" xfId="0" applyFont="1" applyBorder="1" applyAlignment="1">
      <alignment vertical="center"/>
    </xf>
    <xf numFmtId="44" fontId="2" fillId="0" borderId="35" xfId="1" applyFont="1" applyFill="1" applyBorder="1"/>
    <xf numFmtId="44" fontId="2" fillId="0" borderId="40" xfId="1" applyFont="1" applyFill="1" applyBorder="1"/>
    <xf numFmtId="44" fontId="2" fillId="0" borderId="37" xfId="1" applyFont="1" applyFill="1" applyBorder="1"/>
    <xf numFmtId="15" fontId="9" fillId="0" borderId="9" xfId="0" applyNumberFormat="1" applyFont="1" applyBorder="1" applyAlignment="1">
      <alignment horizontal="center"/>
    </xf>
    <xf numFmtId="15" fontId="11" fillId="0" borderId="41" xfId="0" applyNumberFormat="1" applyFont="1" applyBorder="1" applyAlignment="1">
      <alignment horizontal="center" vertical="center" wrapText="1"/>
    </xf>
    <xf numFmtId="15" fontId="11" fillId="0" borderId="42" xfId="0" applyNumberFormat="1" applyFont="1" applyBorder="1" applyAlignment="1">
      <alignment horizontal="center" vertical="center" wrapText="1"/>
    </xf>
    <xf numFmtId="15" fontId="11" fillId="0" borderId="43" xfId="0" applyNumberFormat="1" applyFont="1" applyBorder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Border="1"/>
    <xf numFmtId="0" fontId="0" fillId="8" borderId="0" xfId="0" applyFill="1" applyBorder="1"/>
    <xf numFmtId="0" fontId="0" fillId="8" borderId="8" xfId="0" applyFill="1" applyBorder="1"/>
    <xf numFmtId="0" fontId="4" fillId="8" borderId="33" xfId="0" applyFont="1" applyFill="1" applyBorder="1" applyAlignment="1"/>
    <xf numFmtId="0" fontId="0" fillId="8" borderId="27" xfId="0" applyFill="1" applyBorder="1"/>
    <xf numFmtId="0" fontId="5" fillId="8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vertical="center" wrapText="1"/>
    </xf>
    <xf numFmtId="0" fontId="5" fillId="5" borderId="14" xfId="0" applyFont="1" applyFill="1" applyBorder="1" applyAlignment="1">
      <alignment vertical="center"/>
    </xf>
    <xf numFmtId="0" fontId="6" fillId="5" borderId="16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/>
    </xf>
    <xf numFmtId="0" fontId="2" fillId="5" borderId="25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vertical="center"/>
    </xf>
    <xf numFmtId="0" fontId="4" fillId="0" borderId="33" xfId="0" applyFont="1" applyFill="1" applyBorder="1" applyAlignment="1"/>
    <xf numFmtId="0" fontId="0" fillId="0" borderId="27" xfId="0" applyFill="1" applyBorder="1"/>
    <xf numFmtId="0" fontId="2" fillId="0" borderId="0" xfId="0" applyFont="1" applyBorder="1" applyAlignment="1">
      <alignment vertical="center"/>
    </xf>
    <xf numFmtId="0" fontId="17" fillId="0" borderId="0" xfId="0" applyFont="1" applyFill="1" applyAlignment="1">
      <alignment wrapText="1"/>
    </xf>
    <xf numFmtId="7" fontId="4" fillId="0" borderId="0" xfId="1" applyNumberFormat="1" applyFont="1" applyFill="1" applyBorder="1" applyAlignment="1"/>
    <xf numFmtId="44" fontId="0" fillId="0" borderId="8" xfId="1" applyFont="1" applyFill="1" applyBorder="1"/>
    <xf numFmtId="44" fontId="3" fillId="0" borderId="45" xfId="1" applyFont="1" applyBorder="1" applyAlignment="1">
      <alignment vertical="center"/>
    </xf>
    <xf numFmtId="15" fontId="2" fillId="3" borderId="46" xfId="0" applyNumberFormat="1" applyFont="1" applyFill="1" applyBorder="1" applyAlignment="1">
      <alignment horizontal="center"/>
    </xf>
    <xf numFmtId="0" fontId="8" fillId="3" borderId="47" xfId="0" applyFont="1" applyFill="1" applyBorder="1" applyAlignment="1">
      <alignment horizontal="right" vertical="center"/>
    </xf>
    <xf numFmtId="44" fontId="5" fillId="3" borderId="48" xfId="0" applyNumberFormat="1" applyFont="1" applyFill="1" applyBorder="1"/>
    <xf numFmtId="0" fontId="3" fillId="3" borderId="2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15" fontId="5" fillId="0" borderId="44" xfId="0" applyNumberFormat="1" applyFont="1" applyBorder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44" fontId="2" fillId="0" borderId="2" xfId="1" applyFont="1" applyBorder="1"/>
    <xf numFmtId="44" fontId="3" fillId="0" borderId="2" xfId="0" applyNumberFormat="1" applyFont="1" applyFill="1" applyBorder="1" applyAlignment="1">
      <alignment vertical="center"/>
    </xf>
    <xf numFmtId="15" fontId="2" fillId="0" borderId="19" xfId="0" applyNumberFormat="1" applyFont="1" applyBorder="1" applyAlignment="1">
      <alignment horizontal="center" vertical="center" wrapText="1"/>
    </xf>
    <xf numFmtId="15" fontId="6" fillId="0" borderId="19" xfId="0" applyNumberFormat="1" applyFont="1" applyBorder="1" applyAlignment="1">
      <alignment horizontal="center" vertical="center" wrapText="1"/>
    </xf>
    <xf numFmtId="44" fontId="3" fillId="0" borderId="0" xfId="1" applyFont="1"/>
    <xf numFmtId="0" fontId="4" fillId="9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15" fontId="2" fillId="9" borderId="46" xfId="0" applyNumberFormat="1" applyFont="1" applyFill="1" applyBorder="1" applyAlignment="1">
      <alignment horizontal="center"/>
    </xf>
    <xf numFmtId="0" fontId="8" fillId="9" borderId="47" xfId="0" applyFont="1" applyFill="1" applyBorder="1" applyAlignment="1">
      <alignment horizontal="right" vertical="center"/>
    </xf>
    <xf numFmtId="44" fontId="5" fillId="9" borderId="48" xfId="0" applyNumberFormat="1" applyFont="1" applyFill="1" applyBorder="1"/>
    <xf numFmtId="0" fontId="2" fillId="5" borderId="1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4" fontId="3" fillId="0" borderId="50" xfId="1" applyFont="1" applyBorder="1" applyAlignment="1">
      <alignment vertical="center"/>
    </xf>
    <xf numFmtId="44" fontId="2" fillId="0" borderId="7" xfId="1" applyFont="1" applyBorder="1"/>
    <xf numFmtId="0" fontId="2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wrapText="1"/>
    </xf>
    <xf numFmtId="0" fontId="5" fillId="5" borderId="25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9" fillId="6" borderId="36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horizontal="center"/>
    </xf>
    <xf numFmtId="15" fontId="2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4" fillId="3" borderId="7" xfId="0" applyFont="1" applyFill="1" applyBorder="1" applyAlignment="1">
      <alignment horizontal="center"/>
    </xf>
    <xf numFmtId="15" fontId="6" fillId="0" borderId="9" xfId="0" applyNumberFormat="1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vertical="center" wrapText="1"/>
    </xf>
    <xf numFmtId="0" fontId="9" fillId="0" borderId="36" xfId="0" applyFont="1" applyFill="1" applyBorder="1"/>
    <xf numFmtId="0" fontId="10" fillId="0" borderId="36" xfId="0" applyFont="1" applyBorder="1" applyAlignment="1">
      <alignment wrapText="1"/>
    </xf>
    <xf numFmtId="0" fontId="10" fillId="0" borderId="36" xfId="0" applyFont="1" applyBorder="1" applyAlignment="1">
      <alignment vertical="center" wrapText="1"/>
    </xf>
    <xf numFmtId="0" fontId="13" fillId="0" borderId="49" xfId="0" applyFont="1" applyBorder="1" applyAlignment="1">
      <alignment horizontal="center"/>
    </xf>
    <xf numFmtId="0" fontId="17" fillId="0" borderId="1" xfId="0" applyFont="1" applyFill="1" applyBorder="1" applyAlignment="1">
      <alignment horizontal="center" wrapText="1"/>
    </xf>
    <xf numFmtId="0" fontId="17" fillId="7" borderId="1" xfId="0" applyFont="1" applyFill="1" applyBorder="1" applyAlignment="1">
      <alignment horizontal="center" wrapText="1"/>
    </xf>
    <xf numFmtId="0" fontId="17" fillId="12" borderId="1" xfId="0" applyFont="1" applyFill="1" applyBorder="1" applyAlignment="1">
      <alignment horizontal="center" wrapText="1"/>
    </xf>
    <xf numFmtId="0" fontId="2" fillId="5" borderId="28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vertical="center"/>
    </xf>
    <xf numFmtId="0" fontId="13" fillId="0" borderId="53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 vertical="center"/>
    </xf>
    <xf numFmtId="44" fontId="5" fillId="0" borderId="0" xfId="0" applyNumberFormat="1" applyFont="1" applyFill="1" applyBorder="1"/>
    <xf numFmtId="44" fontId="3" fillId="0" borderId="19" xfId="1" applyFont="1" applyFill="1" applyBorder="1" applyAlignment="1">
      <alignment vertical="center"/>
    </xf>
    <xf numFmtId="44" fontId="2" fillId="0" borderId="19" xfId="1" applyFont="1" applyFill="1" applyBorder="1" applyAlignment="1">
      <alignment vertical="center"/>
    </xf>
    <xf numFmtId="44" fontId="3" fillId="0" borderId="18" xfId="1" applyFont="1" applyFill="1" applyBorder="1" applyAlignment="1">
      <alignment vertical="center"/>
    </xf>
    <xf numFmtId="44" fontId="3" fillId="0" borderId="20" xfId="1" applyFont="1" applyFill="1" applyBorder="1" applyAlignment="1">
      <alignment vertical="center"/>
    </xf>
    <xf numFmtId="44" fontId="2" fillId="0" borderId="2" xfId="1" applyFont="1" applyFill="1" applyBorder="1"/>
    <xf numFmtId="44" fontId="3" fillId="0" borderId="44" xfId="0" applyNumberFormat="1" applyFont="1" applyFill="1" applyBorder="1" applyAlignment="1">
      <alignment vertical="center"/>
    </xf>
    <xf numFmtId="15" fontId="2" fillId="3" borderId="57" xfId="0" applyNumberFormat="1" applyFont="1" applyFill="1" applyBorder="1" applyAlignment="1">
      <alignment horizontal="center"/>
    </xf>
    <xf numFmtId="0" fontId="8" fillId="3" borderId="58" xfId="0" applyFont="1" applyFill="1" applyBorder="1" applyAlignment="1">
      <alignment horizontal="right" vertical="center"/>
    </xf>
    <xf numFmtId="44" fontId="3" fillId="11" borderId="0" xfId="1" applyFont="1" applyFill="1" applyBorder="1" applyAlignment="1">
      <alignment vertical="center"/>
    </xf>
    <xf numFmtId="44" fontId="2" fillId="11" borderId="0" xfId="1" applyFont="1" applyFill="1" applyBorder="1" applyAlignment="1">
      <alignment vertical="center"/>
    </xf>
    <xf numFmtId="0" fontId="17" fillId="6" borderId="17" xfId="0" applyFont="1" applyFill="1" applyBorder="1" applyAlignment="1">
      <alignment horizontal="center" wrapText="1"/>
    </xf>
    <xf numFmtId="15" fontId="6" fillId="0" borderId="56" xfId="0" applyNumberFormat="1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wrapText="1"/>
    </xf>
    <xf numFmtId="15" fontId="2" fillId="0" borderId="0" xfId="0" applyNumberFormat="1" applyFont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44" fontId="3" fillId="0" borderId="32" xfId="1" applyFont="1" applyBorder="1" applyAlignment="1">
      <alignment vertical="center"/>
    </xf>
    <xf numFmtId="44" fontId="2" fillId="0" borderId="32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44" fontId="2" fillId="0" borderId="32" xfId="1" applyFont="1" applyBorder="1"/>
    <xf numFmtId="44" fontId="3" fillId="0" borderId="1" xfId="0" applyNumberFormat="1" applyFont="1" applyFill="1" applyBorder="1" applyAlignment="1">
      <alignment vertical="center"/>
    </xf>
    <xf numFmtId="44" fontId="2" fillId="11" borderId="0" xfId="1" applyFont="1" applyFill="1"/>
    <xf numFmtId="44" fontId="17" fillId="3" borderId="59" xfId="0" applyNumberFormat="1" applyFont="1" applyFill="1" applyBorder="1"/>
    <xf numFmtId="44" fontId="3" fillId="11" borderId="30" xfId="1" applyFont="1" applyFill="1" applyBorder="1" applyAlignment="1">
      <alignment vertical="center"/>
    </xf>
    <xf numFmtId="44" fontId="0" fillId="11" borderId="30" xfId="1" applyFont="1" applyFill="1" applyBorder="1"/>
    <xf numFmtId="0" fontId="15" fillId="0" borderId="9" xfId="0" applyFont="1" applyBorder="1" applyAlignment="1">
      <alignment vertical="center" wrapText="1"/>
    </xf>
    <xf numFmtId="15" fontId="2" fillId="0" borderId="0" xfId="0" applyNumberFormat="1" applyFont="1" applyFill="1" applyAlignment="1">
      <alignment horizontal="center"/>
    </xf>
    <xf numFmtId="44" fontId="4" fillId="0" borderId="0" xfId="1" applyNumberFormat="1" applyFont="1" applyFill="1" applyBorder="1" applyAlignment="1">
      <alignment horizontal="center"/>
    </xf>
    <xf numFmtId="7" fontId="4" fillId="0" borderId="0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7" fillId="6" borderId="0" xfId="0" applyFont="1" applyFill="1" applyAlignment="1">
      <alignment wrapText="1"/>
    </xf>
    <xf numFmtId="0" fontId="14" fillId="0" borderId="36" xfId="0" applyFont="1" applyBorder="1" applyAlignment="1">
      <alignment vertical="center" wrapText="1"/>
    </xf>
    <xf numFmtId="0" fontId="7" fillId="0" borderId="0" xfId="0" applyFont="1" applyFill="1" applyAlignment="1">
      <alignment wrapText="1"/>
    </xf>
    <xf numFmtId="44" fontId="2" fillId="7" borderId="9" xfId="1" applyFont="1" applyFill="1" applyBorder="1"/>
    <xf numFmtId="44" fontId="2" fillId="7" borderId="1" xfId="1" applyFont="1" applyFill="1" applyBorder="1"/>
    <xf numFmtId="0" fontId="11" fillId="0" borderId="36" xfId="0" applyFont="1" applyBorder="1" applyAlignment="1">
      <alignment vertical="center" wrapText="1"/>
    </xf>
    <xf numFmtId="0" fontId="0" fillId="12" borderId="0" xfId="0" applyFill="1"/>
    <xf numFmtId="44" fontId="2" fillId="0" borderId="2" xfId="1" applyFont="1" applyBorder="1" applyAlignment="1">
      <alignment vertical="center"/>
    </xf>
    <xf numFmtId="44" fontId="2" fillId="0" borderId="2" xfId="1" applyFont="1" applyFill="1" applyBorder="1" applyAlignment="1">
      <alignment vertical="center"/>
    </xf>
    <xf numFmtId="0" fontId="15" fillId="0" borderId="2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17" fillId="13" borderId="1" xfId="0" applyFont="1" applyFill="1" applyBorder="1" applyAlignment="1">
      <alignment horizontal="center" wrapText="1"/>
    </xf>
    <xf numFmtId="44" fontId="3" fillId="0" borderId="0" xfId="1" applyFont="1" applyFill="1"/>
    <xf numFmtId="0" fontId="3" fillId="6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44" fontId="2" fillId="0" borderId="60" xfId="1" applyFont="1" applyFill="1" applyBorder="1"/>
    <xf numFmtId="15" fontId="2" fillId="6" borderId="2" xfId="0" applyNumberFormat="1" applyFont="1" applyFill="1" applyBorder="1" applyAlignment="1">
      <alignment wrapText="1"/>
    </xf>
    <xf numFmtId="0" fontId="13" fillId="0" borderId="49" xfId="0" applyFont="1" applyBorder="1" applyAlignment="1">
      <alignment horizontal="center"/>
    </xf>
    <xf numFmtId="15" fontId="2" fillId="6" borderId="2" xfId="0" applyNumberFormat="1" applyFont="1" applyFill="1" applyBorder="1" applyAlignment="1">
      <alignment horizontal="center" wrapText="1"/>
    </xf>
    <xf numFmtId="0" fontId="2" fillId="0" borderId="36" xfId="0" applyFont="1" applyBorder="1" applyAlignment="1">
      <alignment vertical="center" wrapText="1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4" fontId="4" fillId="3" borderId="3" xfId="1" applyNumberFormat="1" applyFont="1" applyFill="1" applyBorder="1" applyAlignment="1">
      <alignment horizontal="center"/>
    </xf>
    <xf numFmtId="7" fontId="4" fillId="3" borderId="4" xfId="1" applyNumberFormat="1" applyFont="1" applyFill="1" applyBorder="1" applyAlignment="1">
      <alignment horizontal="center"/>
    </xf>
    <xf numFmtId="7" fontId="4" fillId="3" borderId="5" xfId="1" applyNumberFormat="1" applyFont="1" applyFill="1" applyBorder="1" applyAlignment="1">
      <alignment horizontal="center"/>
    </xf>
    <xf numFmtId="44" fontId="4" fillId="4" borderId="3" xfId="1" applyNumberFormat="1" applyFont="1" applyFill="1" applyBorder="1" applyAlignment="1">
      <alignment horizontal="center"/>
    </xf>
    <xf numFmtId="7" fontId="4" fillId="4" borderId="4" xfId="1" applyNumberFormat="1" applyFont="1" applyFill="1" applyBorder="1" applyAlignment="1">
      <alignment horizontal="center"/>
    </xf>
    <xf numFmtId="7" fontId="4" fillId="4" borderId="5" xfId="1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7" fontId="4" fillId="3" borderId="3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44" fontId="4" fillId="6" borderId="54" xfId="1" applyFont="1" applyFill="1" applyBorder="1" applyAlignment="1">
      <alignment horizontal="center" vertical="center"/>
    </xf>
    <xf numFmtId="44" fontId="4" fillId="6" borderId="4" xfId="1" applyFont="1" applyFill="1" applyBorder="1" applyAlignment="1">
      <alignment horizontal="center" vertical="center"/>
    </xf>
    <xf numFmtId="44" fontId="4" fillId="6" borderId="55" xfId="1" applyFont="1" applyFill="1" applyBorder="1" applyAlignment="1">
      <alignment horizontal="center" vertical="center"/>
    </xf>
    <xf numFmtId="44" fontId="19" fillId="6" borderId="4" xfId="1" applyFont="1" applyFill="1" applyBorder="1" applyAlignment="1">
      <alignment horizontal="center" vertical="center"/>
    </xf>
    <xf numFmtId="44" fontId="19" fillId="6" borderId="5" xfId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44" fontId="19" fillId="5" borderId="4" xfId="1" applyFont="1" applyFill="1" applyBorder="1" applyAlignment="1">
      <alignment horizontal="center" vertical="center"/>
    </xf>
    <xf numFmtId="44" fontId="19" fillId="5" borderId="5" xfId="1" applyFont="1" applyFill="1" applyBorder="1" applyAlignment="1">
      <alignment horizontal="center" vertical="center"/>
    </xf>
    <xf numFmtId="44" fontId="4" fillId="5" borderId="54" xfId="1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44" fontId="4" fillId="5" borderId="55" xfId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36" xfId="0" applyFont="1" applyBorder="1" applyAlignment="1">
      <alignment wrapText="1"/>
    </xf>
    <xf numFmtId="44" fontId="17" fillId="3" borderId="48" xfId="0" applyNumberFormat="1" applyFont="1" applyFill="1" applyBorder="1"/>
    <xf numFmtId="0" fontId="4" fillId="0" borderId="2" xfId="0" applyFont="1" applyFill="1" applyBorder="1" applyAlignment="1">
      <alignment horizontal="center"/>
    </xf>
    <xf numFmtId="15" fontId="3" fillId="0" borderId="19" xfId="0" applyNumberFormat="1" applyFont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wrapText="1"/>
    </xf>
    <xf numFmtId="0" fontId="15" fillId="0" borderId="51" xfId="0" applyFont="1" applyFill="1" applyBorder="1" applyAlignment="1">
      <alignment horizontal="center" wrapText="1"/>
    </xf>
    <xf numFmtId="0" fontId="2" fillId="0" borderId="53" xfId="0" applyFont="1" applyFill="1" applyBorder="1" applyAlignment="1">
      <alignment horizontal="center" wrapText="1"/>
    </xf>
    <xf numFmtId="44" fontId="17" fillId="9" borderId="48" xfId="0" applyNumberFormat="1" applyFont="1" applyFill="1" applyBorder="1"/>
    <xf numFmtId="44" fontId="10" fillId="7" borderId="3" xfId="1" applyFont="1" applyFill="1" applyBorder="1" applyAlignment="1">
      <alignment horizontal="center" vertical="center"/>
    </xf>
    <xf numFmtId="44" fontId="10" fillId="7" borderId="4" xfId="1" applyFont="1" applyFill="1" applyBorder="1" applyAlignment="1">
      <alignment horizontal="center" vertical="center"/>
    </xf>
    <xf numFmtId="44" fontId="10" fillId="7" borderId="5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FF"/>
      <color rgb="FFFFCCFF"/>
      <color rgb="FF0000FF"/>
      <color rgb="FFCC99FF"/>
      <color rgb="FFFFCC66"/>
      <color rgb="FFFFCCCC"/>
      <color rgb="FF99CCFF"/>
      <color rgb="FF00FF00"/>
      <color rgb="FF00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B1:AA24"/>
  <sheetViews>
    <sheetView topLeftCell="A7" workbookViewId="0">
      <selection activeCell="D27" sqref="D27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14" style="80" customWidth="1"/>
    <col min="16" max="16" width="23.710937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13.5703125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7" ht="22.5" thickTop="1" thickBot="1" x14ac:dyDescent="0.4">
      <c r="C1" s="260" t="s">
        <v>36</v>
      </c>
      <c r="D1" s="261"/>
      <c r="E1" s="261"/>
      <c r="F1" s="261"/>
      <c r="G1" s="261"/>
      <c r="H1" s="261"/>
      <c r="I1" s="261"/>
      <c r="J1" s="261"/>
      <c r="K1" s="261"/>
      <c r="L1" s="127" t="s">
        <v>41</v>
      </c>
      <c r="M1" s="133"/>
      <c r="N1" s="81"/>
      <c r="O1" s="273" t="s">
        <v>19</v>
      </c>
      <c r="P1" s="274"/>
      <c r="Q1" s="274"/>
      <c r="R1" s="274"/>
      <c r="S1" s="274"/>
      <c r="T1" s="274"/>
      <c r="U1" s="274"/>
      <c r="V1" s="274"/>
      <c r="W1" s="274"/>
      <c r="X1" s="128" t="s">
        <v>41</v>
      </c>
    </row>
    <row r="2" spans="2:27" ht="16.5" thickBot="1" x14ac:dyDescent="0.3">
      <c r="I2" s="264" t="s">
        <v>129</v>
      </c>
      <c r="J2" s="265"/>
      <c r="K2" s="266"/>
      <c r="L2" s="68"/>
      <c r="M2" s="134"/>
      <c r="N2" s="74"/>
      <c r="O2" s="7"/>
      <c r="P2"/>
      <c r="V2" s="264" t="s">
        <v>107</v>
      </c>
      <c r="W2" s="265"/>
      <c r="X2" s="266"/>
    </row>
    <row r="3" spans="2:27" ht="64.5" thickTop="1" thickBot="1" x14ac:dyDescent="0.3">
      <c r="B3" s="6" t="s">
        <v>0</v>
      </c>
      <c r="C3" s="24" t="s">
        <v>1</v>
      </c>
      <c r="D3" s="25" t="s">
        <v>2</v>
      </c>
      <c r="E3" s="26" t="s">
        <v>7</v>
      </c>
      <c r="F3" s="56" t="s">
        <v>38</v>
      </c>
      <c r="G3" s="25" t="s">
        <v>3</v>
      </c>
      <c r="H3" s="27" t="s">
        <v>22</v>
      </c>
      <c r="I3" s="60" t="s">
        <v>4</v>
      </c>
      <c r="J3" s="61" t="s">
        <v>8</v>
      </c>
      <c r="K3" s="62" t="s">
        <v>5</v>
      </c>
      <c r="L3" s="99" t="s">
        <v>46</v>
      </c>
      <c r="M3" s="135"/>
      <c r="N3" s="82"/>
      <c r="O3" s="36" t="s">
        <v>0</v>
      </c>
      <c r="P3" s="143" t="s">
        <v>1</v>
      </c>
      <c r="Q3" s="137" t="s">
        <v>2</v>
      </c>
      <c r="R3" s="138" t="s">
        <v>16</v>
      </c>
      <c r="S3" s="139" t="s">
        <v>38</v>
      </c>
      <c r="T3" s="140" t="s">
        <v>3</v>
      </c>
      <c r="U3" s="140" t="s">
        <v>4</v>
      </c>
      <c r="V3" s="141" t="s">
        <v>25</v>
      </c>
      <c r="W3" s="136" t="s">
        <v>8</v>
      </c>
      <c r="X3" s="142" t="s">
        <v>5</v>
      </c>
    </row>
    <row r="4" spans="2:27" ht="75" x14ac:dyDescent="0.25">
      <c r="B4" s="93" t="s">
        <v>123</v>
      </c>
      <c r="C4" s="107" t="s">
        <v>130</v>
      </c>
      <c r="D4" s="72"/>
      <c r="E4" s="72"/>
      <c r="F4" s="72"/>
      <c r="G4" s="72"/>
      <c r="H4" s="72"/>
      <c r="I4" s="72"/>
      <c r="J4" s="72"/>
      <c r="K4" s="72">
        <f>2361+1550+386+1883+642+964</f>
        <v>7786</v>
      </c>
      <c r="L4" s="70"/>
      <c r="M4" s="131"/>
      <c r="N4" s="74"/>
      <c r="O4" s="93" t="s">
        <v>133</v>
      </c>
      <c r="P4" s="86" t="s">
        <v>134</v>
      </c>
      <c r="Q4" s="72"/>
      <c r="R4" s="72"/>
      <c r="S4" s="72"/>
      <c r="T4" s="72"/>
      <c r="U4" s="72"/>
      <c r="V4" s="72"/>
      <c r="W4" s="72"/>
      <c r="X4" s="72">
        <f>2377+2781+1874+429+754</f>
        <v>8215</v>
      </c>
    </row>
    <row r="5" spans="2:27" ht="61.5" customHeight="1" x14ac:dyDescent="0.25">
      <c r="B5" s="93" t="s">
        <v>123</v>
      </c>
      <c r="C5" s="44" t="s">
        <v>131</v>
      </c>
      <c r="D5" s="67"/>
      <c r="E5" s="67"/>
      <c r="F5" s="67">
        <f>1380+370+88+238</f>
        <v>2076</v>
      </c>
      <c r="G5" s="67"/>
      <c r="H5" s="67"/>
      <c r="I5" s="67"/>
      <c r="J5" s="67"/>
      <c r="K5" s="67"/>
      <c r="L5" s="67"/>
      <c r="M5" s="131"/>
      <c r="N5" s="74"/>
      <c r="O5" s="93" t="s">
        <v>133</v>
      </c>
      <c r="P5" s="89" t="s">
        <v>136</v>
      </c>
      <c r="Q5" s="72"/>
      <c r="R5" s="72"/>
      <c r="S5" s="72">
        <f>180+148+36+2475</f>
        <v>2839</v>
      </c>
      <c r="T5" s="72"/>
      <c r="U5" s="72"/>
      <c r="V5" s="72"/>
      <c r="W5" s="72"/>
      <c r="X5" s="67"/>
    </row>
    <row r="6" spans="2:27" ht="29.25" customHeight="1" x14ac:dyDescent="0.25">
      <c r="B6" s="93" t="s">
        <v>123</v>
      </c>
      <c r="C6" s="43" t="s">
        <v>124</v>
      </c>
      <c r="D6" s="67">
        <f>47+72.5+247+54+245</f>
        <v>665.5</v>
      </c>
      <c r="E6" s="67"/>
      <c r="F6" s="67"/>
      <c r="G6" s="67"/>
      <c r="H6" s="67"/>
      <c r="I6" s="67"/>
      <c r="J6" s="67"/>
      <c r="K6" s="67"/>
      <c r="L6" s="11"/>
      <c r="M6" s="131"/>
      <c r="N6" s="74"/>
      <c r="O6" s="93" t="s">
        <v>133</v>
      </c>
      <c r="P6" s="89" t="s">
        <v>137</v>
      </c>
      <c r="Q6" s="72">
        <f>330+158+288+87</f>
        <v>863</v>
      </c>
      <c r="R6" s="72"/>
      <c r="S6" s="72"/>
      <c r="T6" s="72"/>
      <c r="U6" s="72"/>
      <c r="V6" s="72"/>
      <c r="W6" s="72"/>
      <c r="X6" s="67"/>
    </row>
    <row r="7" spans="2:27" ht="66.75" customHeight="1" x14ac:dyDescent="0.25">
      <c r="B7" s="93" t="s">
        <v>123</v>
      </c>
      <c r="C7" s="96" t="s">
        <v>125</v>
      </c>
      <c r="D7" s="67"/>
      <c r="E7" s="67"/>
      <c r="F7" s="67"/>
      <c r="G7" s="67">
        <v>140</v>
      </c>
      <c r="H7" s="67"/>
      <c r="I7" s="67"/>
      <c r="J7" s="67"/>
      <c r="K7" s="67"/>
      <c r="L7" s="11"/>
      <c r="M7" s="131"/>
      <c r="N7" s="74"/>
      <c r="O7" s="93" t="s">
        <v>133</v>
      </c>
      <c r="P7" s="87" t="s">
        <v>135</v>
      </c>
      <c r="Q7" s="72"/>
      <c r="R7" s="72"/>
      <c r="S7" s="72"/>
      <c r="T7" s="72">
        <v>145</v>
      </c>
      <c r="U7" s="72"/>
      <c r="V7" s="72"/>
      <c r="W7" s="72"/>
      <c r="X7" s="67"/>
    </row>
    <row r="8" spans="2:27" ht="36" customHeight="1" x14ac:dyDescent="0.25">
      <c r="B8" s="93" t="s">
        <v>123</v>
      </c>
      <c r="C8" s="44" t="s">
        <v>46</v>
      </c>
      <c r="D8" s="67"/>
      <c r="E8" s="67"/>
      <c r="F8" s="67"/>
      <c r="G8" s="67"/>
      <c r="H8" s="67"/>
      <c r="I8" s="67"/>
      <c r="J8" s="67"/>
      <c r="K8" s="67"/>
      <c r="L8" s="11">
        <v>500</v>
      </c>
      <c r="M8" s="131"/>
      <c r="N8" s="74"/>
      <c r="O8" s="93" t="s">
        <v>133</v>
      </c>
      <c r="P8" s="89" t="s">
        <v>138</v>
      </c>
      <c r="Q8" s="72"/>
      <c r="R8" s="72">
        <v>1081</v>
      </c>
      <c r="S8" s="72"/>
      <c r="T8" s="72"/>
      <c r="U8" s="72"/>
      <c r="V8" s="72"/>
      <c r="W8" s="72"/>
      <c r="X8" s="67"/>
    </row>
    <row r="9" spans="2:27" ht="28.5" customHeight="1" x14ac:dyDescent="0.25">
      <c r="B9" s="93" t="s">
        <v>123</v>
      </c>
      <c r="C9" s="44" t="s">
        <v>126</v>
      </c>
      <c r="D9" s="67"/>
      <c r="E9" s="67">
        <v>68</v>
      </c>
      <c r="F9" s="67"/>
      <c r="G9" s="67"/>
      <c r="H9" s="67"/>
      <c r="I9" s="67"/>
      <c r="J9" s="67"/>
      <c r="K9" s="67"/>
      <c r="L9" s="11"/>
      <c r="M9" s="131"/>
      <c r="N9" s="74"/>
      <c r="O9" s="93" t="s">
        <v>133</v>
      </c>
      <c r="P9" s="89"/>
      <c r="Q9" s="72"/>
      <c r="R9" s="72"/>
      <c r="S9" s="72"/>
      <c r="T9" s="72"/>
      <c r="U9" s="72"/>
      <c r="V9" s="72"/>
      <c r="W9" s="72"/>
      <c r="X9" s="67"/>
    </row>
    <row r="10" spans="2:27" ht="31.5" customHeight="1" x14ac:dyDescent="0.25">
      <c r="B10" s="93" t="s">
        <v>123</v>
      </c>
      <c r="C10" s="44" t="s">
        <v>128</v>
      </c>
      <c r="D10" s="67"/>
      <c r="E10" s="67"/>
      <c r="F10" s="67"/>
      <c r="G10" s="67"/>
      <c r="H10" s="67"/>
      <c r="I10" s="67"/>
      <c r="J10" s="94">
        <f>155+626</f>
        <v>781</v>
      </c>
      <c r="K10" s="67"/>
      <c r="L10" s="11"/>
      <c r="M10" s="131"/>
      <c r="N10" s="74"/>
      <c r="O10" s="93" t="s">
        <v>133</v>
      </c>
      <c r="P10" s="87" t="s">
        <v>139</v>
      </c>
      <c r="Q10" s="72"/>
      <c r="R10" s="72"/>
      <c r="S10" s="72"/>
      <c r="T10" s="72"/>
      <c r="U10" s="72"/>
      <c r="V10" s="72"/>
      <c r="W10" s="72">
        <f>900+345</f>
        <v>1245</v>
      </c>
      <c r="X10" s="67"/>
      <c r="Y10" s="129"/>
      <c r="Z10" s="80"/>
      <c r="AA10" s="80"/>
    </row>
    <row r="11" spans="2:27" ht="48" x14ac:dyDescent="0.25">
      <c r="B11" s="93" t="s">
        <v>123</v>
      </c>
      <c r="C11" s="42" t="s">
        <v>127</v>
      </c>
      <c r="D11" s="67"/>
      <c r="E11" s="67"/>
      <c r="F11" s="67"/>
      <c r="G11" s="67"/>
      <c r="H11" s="67"/>
      <c r="I11" s="67">
        <v>850</v>
      </c>
      <c r="J11" s="67"/>
      <c r="K11" s="67"/>
      <c r="L11" s="11"/>
      <c r="M11" s="131"/>
      <c r="N11" s="74"/>
      <c r="O11" s="93" t="s">
        <v>133</v>
      </c>
      <c r="P11" s="90" t="s">
        <v>4</v>
      </c>
      <c r="Q11" s="72"/>
      <c r="R11" s="72"/>
      <c r="S11" s="72"/>
      <c r="T11" s="72"/>
      <c r="U11" s="72">
        <v>729</v>
      </c>
      <c r="V11" s="72"/>
      <c r="W11" s="72"/>
      <c r="X11" s="67"/>
    </row>
    <row r="12" spans="2:27" ht="22.5" customHeight="1" x14ac:dyDescent="0.25">
      <c r="B12" s="93" t="s">
        <v>123</v>
      </c>
      <c r="C12" s="95" t="s">
        <v>96</v>
      </c>
      <c r="D12" s="67"/>
      <c r="E12" s="67"/>
      <c r="F12" s="67"/>
      <c r="G12" s="67"/>
      <c r="H12" s="67">
        <f>119+51+68+68+102+68</f>
        <v>476</v>
      </c>
      <c r="I12" s="67"/>
      <c r="J12" s="67"/>
      <c r="K12" s="67"/>
      <c r="L12" s="11"/>
      <c r="M12" s="131"/>
      <c r="N12" s="74"/>
      <c r="O12" s="93" t="s">
        <v>133</v>
      </c>
      <c r="P12" s="98" t="s">
        <v>132</v>
      </c>
      <c r="Q12" s="72"/>
      <c r="R12" s="72"/>
      <c r="S12" s="72"/>
      <c r="T12" s="72"/>
      <c r="U12" s="72"/>
      <c r="V12" s="72">
        <f>270+153+170+204+170+204</f>
        <v>1171</v>
      </c>
      <c r="W12" s="72"/>
      <c r="X12" s="67"/>
    </row>
    <row r="13" spans="2:27" ht="18.75" customHeight="1" x14ac:dyDescent="0.25">
      <c r="B13" s="93" t="s">
        <v>123</v>
      </c>
      <c r="C13" s="42" t="s">
        <v>11</v>
      </c>
      <c r="D13" s="67"/>
      <c r="E13" s="67"/>
      <c r="F13" s="67"/>
      <c r="G13" s="67"/>
      <c r="H13" s="67">
        <f>380+380+470</f>
        <v>1230</v>
      </c>
      <c r="I13" s="67"/>
      <c r="J13" s="67"/>
      <c r="K13" s="67"/>
      <c r="L13" s="11"/>
      <c r="M13" s="131"/>
      <c r="N13" s="74"/>
      <c r="O13" s="93"/>
      <c r="P13" s="88" t="s">
        <v>140</v>
      </c>
      <c r="Q13" s="72"/>
      <c r="R13" s="72"/>
      <c r="S13" s="72"/>
      <c r="T13" s="72"/>
      <c r="U13" s="72"/>
      <c r="V13" s="72">
        <f>700+700+710+2566+310</f>
        <v>4986</v>
      </c>
      <c r="W13" s="72"/>
      <c r="X13" s="67"/>
    </row>
    <row r="14" spans="2:27" ht="18.75" customHeight="1" x14ac:dyDescent="0.25">
      <c r="B14" s="93" t="s">
        <v>123</v>
      </c>
      <c r="C14" s="95"/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/>
      <c r="P14" s="88"/>
      <c r="Q14" s="72"/>
      <c r="R14" s="72"/>
      <c r="S14" s="72"/>
      <c r="T14" s="72"/>
      <c r="U14" s="72"/>
      <c r="V14" s="72"/>
      <c r="W14" s="72"/>
      <c r="X14" s="67"/>
    </row>
    <row r="15" spans="2:27" ht="18.75" customHeight="1" x14ac:dyDescent="0.25">
      <c r="B15" s="93"/>
      <c r="C15" s="10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91"/>
      <c r="Q15" s="67"/>
      <c r="R15" s="67"/>
      <c r="S15" s="67"/>
      <c r="T15" s="67"/>
      <c r="U15" s="67"/>
      <c r="V15" s="67"/>
      <c r="W15" s="67"/>
      <c r="X15" s="67"/>
    </row>
    <row r="16" spans="2:27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thickBot="1" x14ac:dyDescent="0.3">
      <c r="B17" s="9"/>
      <c r="C17" s="34"/>
      <c r="D17" s="73">
        <v>0</v>
      </c>
      <c r="E17" s="73"/>
      <c r="F17" s="73"/>
      <c r="G17" s="73"/>
      <c r="H17" s="73"/>
      <c r="I17" s="73"/>
      <c r="J17" s="73"/>
      <c r="K17" s="73"/>
      <c r="L17" s="20"/>
      <c r="M17" s="131"/>
      <c r="N17" s="74"/>
      <c r="O17" s="46"/>
      <c r="P17" s="51"/>
      <c r="Q17" s="73">
        <v>0</v>
      </c>
      <c r="R17" s="73"/>
      <c r="S17" s="73"/>
      <c r="T17" s="73"/>
      <c r="U17" s="73"/>
      <c r="V17" s="73"/>
      <c r="W17" s="73"/>
      <c r="X17" s="73"/>
    </row>
    <row r="18" spans="2:24" ht="24" thickBot="1" x14ac:dyDescent="0.3">
      <c r="C18" s="35" t="s">
        <v>18</v>
      </c>
      <c r="D18" s="30">
        <f t="shared" ref="D18" si="0">SUM(D4:D17)</f>
        <v>665.5</v>
      </c>
      <c r="E18" s="31">
        <f t="shared" ref="E18:L18" si="1">SUM(E4:E17)</f>
        <v>68</v>
      </c>
      <c r="F18" s="31">
        <f t="shared" si="1"/>
        <v>2076</v>
      </c>
      <c r="G18" s="31">
        <f t="shared" si="1"/>
        <v>140</v>
      </c>
      <c r="H18" s="31">
        <f t="shared" si="1"/>
        <v>1706</v>
      </c>
      <c r="I18" s="31">
        <f t="shared" si="1"/>
        <v>850</v>
      </c>
      <c r="J18" s="22">
        <f t="shared" si="1"/>
        <v>781</v>
      </c>
      <c r="K18" s="32">
        <f t="shared" si="1"/>
        <v>7786</v>
      </c>
      <c r="L18" s="100">
        <f t="shared" si="1"/>
        <v>500</v>
      </c>
      <c r="M18" s="132"/>
      <c r="N18" s="74"/>
      <c r="O18" s="7"/>
      <c r="P18" s="33" t="s">
        <v>18</v>
      </c>
      <c r="Q18" s="21">
        <f t="shared" ref="Q18:X18" si="2">SUM(Q4:Q17)</f>
        <v>863</v>
      </c>
      <c r="R18" s="21">
        <f t="shared" si="2"/>
        <v>1081</v>
      </c>
      <c r="S18" s="21">
        <f t="shared" si="2"/>
        <v>2839</v>
      </c>
      <c r="T18" s="21">
        <f t="shared" si="2"/>
        <v>145</v>
      </c>
      <c r="U18" s="21">
        <f t="shared" si="2"/>
        <v>729</v>
      </c>
      <c r="V18" s="21">
        <f t="shared" si="2"/>
        <v>6157</v>
      </c>
      <c r="W18" s="21">
        <f t="shared" si="2"/>
        <v>1245</v>
      </c>
      <c r="X18" s="21">
        <f t="shared" si="2"/>
        <v>8215</v>
      </c>
    </row>
    <row r="19" spans="2:24" ht="15.75" thickBot="1" x14ac:dyDescent="0.3">
      <c r="D19" s="5"/>
      <c r="E19" s="5"/>
      <c r="F19" s="5"/>
      <c r="G19" s="5"/>
      <c r="H19" s="5"/>
      <c r="I19" s="5"/>
      <c r="J19" s="5"/>
      <c r="K19" s="5"/>
      <c r="L19" s="78"/>
      <c r="M19" s="76"/>
      <c r="N19" s="74"/>
      <c r="O19" s="7"/>
      <c r="P19"/>
      <c r="Q19" s="5"/>
      <c r="R19" s="5"/>
      <c r="S19" s="5"/>
      <c r="T19" s="5"/>
      <c r="U19" s="5"/>
      <c r="V19" s="5"/>
      <c r="W19" s="5"/>
      <c r="X19" s="5"/>
    </row>
    <row r="20" spans="2:24" ht="21.75" thickBot="1" x14ac:dyDescent="0.4">
      <c r="D20" s="5"/>
      <c r="E20" s="5"/>
      <c r="F20" s="267">
        <f>K18+J18+I18+H18+G18+F18+E18+D18+L18</f>
        <v>14572.5</v>
      </c>
      <c r="G20" s="268"/>
      <c r="H20" s="269"/>
      <c r="I20" s="5"/>
      <c r="J20" s="5"/>
      <c r="K20" s="5"/>
      <c r="L20" s="71"/>
      <c r="M20" s="74"/>
      <c r="N20" s="74"/>
      <c r="O20" s="7"/>
      <c r="P20"/>
      <c r="Q20" s="5"/>
      <c r="R20" s="5"/>
      <c r="S20" s="270">
        <f>Q18+R18+S18+T18+U18+V18+W18+X18</f>
        <v>21274</v>
      </c>
      <c r="T20" s="271"/>
      <c r="U20" s="272"/>
      <c r="V20" s="5"/>
      <c r="W20" s="5"/>
      <c r="X20" s="5"/>
    </row>
    <row r="21" spans="2:24" x14ac:dyDescent="0.25">
      <c r="D21" s="5"/>
      <c r="E21" s="5"/>
      <c r="F21" s="5"/>
      <c r="G21" s="5"/>
      <c r="H21" s="5"/>
      <c r="J21" s="5"/>
      <c r="K21" s="5"/>
      <c r="L21" s="71"/>
      <c r="M21" s="74"/>
      <c r="N21" s="74"/>
      <c r="O21" s="7"/>
      <c r="P21"/>
      <c r="Q21" s="5"/>
      <c r="R21" s="5"/>
      <c r="S21" s="5"/>
      <c r="T21" s="5"/>
      <c r="U21" s="5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I22" s="5"/>
      <c r="J22" s="5"/>
      <c r="K22" s="5"/>
      <c r="L22" s="71"/>
      <c r="M22" s="74"/>
      <c r="N22" s="74"/>
      <c r="O22" s="7"/>
      <c r="P22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  <c r="O23" s="7"/>
      <c r="P23"/>
    </row>
    <row r="24" spans="2:24" x14ac:dyDescent="0.25">
      <c r="L24" s="130"/>
      <c r="M24" s="130"/>
      <c r="N24" s="74"/>
      <c r="O24" s="7"/>
      <c r="P24"/>
    </row>
  </sheetData>
  <mergeCells count="6">
    <mergeCell ref="F20:H20"/>
    <mergeCell ref="S20:U20"/>
    <mergeCell ref="C1:K1"/>
    <mergeCell ref="O1:W1"/>
    <mergeCell ref="I2:K2"/>
    <mergeCell ref="V2:X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Z22"/>
  <sheetViews>
    <sheetView zoomScale="85" zoomScaleNormal="85" workbookViewId="0">
      <selection activeCell="N10" sqref="N10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4.140625" style="80" customWidth="1"/>
    <col min="16" max="16" width="13.570312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8.7109375" bestFit="1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6" ht="11.25" customHeight="1" thickBot="1" x14ac:dyDescent="0.3"/>
    <row r="2" spans="2:26" s="126" customFormat="1" ht="30" customHeight="1" thickTop="1" thickBot="1" x14ac:dyDescent="0.3">
      <c r="B2" s="122"/>
      <c r="C2" s="288" t="s">
        <v>121</v>
      </c>
      <c r="D2" s="289"/>
      <c r="E2" s="289"/>
      <c r="F2" s="289"/>
      <c r="G2" s="289"/>
      <c r="H2" s="289"/>
      <c r="I2" s="289"/>
      <c r="J2" s="289"/>
      <c r="K2" s="289"/>
      <c r="L2" s="123"/>
      <c r="M2" s="124"/>
      <c r="N2" s="125"/>
      <c r="O2" s="125"/>
      <c r="P2" s="290" t="s">
        <v>122</v>
      </c>
      <c r="Q2" s="291"/>
      <c r="R2" s="291"/>
      <c r="S2" s="291"/>
      <c r="T2" s="291"/>
      <c r="U2" s="291"/>
      <c r="V2" s="291"/>
      <c r="W2" s="291"/>
      <c r="X2" s="291"/>
      <c r="Y2" s="291"/>
      <c r="Z2" s="292"/>
    </row>
    <row r="3" spans="2:26" ht="15.75" thickBot="1" x14ac:dyDescent="0.3">
      <c r="M3" s="37"/>
      <c r="N3" s="74"/>
      <c r="O3" s="74"/>
    </row>
    <row r="4" spans="2:26" s="2" customFormat="1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25" t="s">
        <v>4</v>
      </c>
      <c r="J4" s="28" t="s">
        <v>8</v>
      </c>
      <c r="K4" s="29" t="s">
        <v>5</v>
      </c>
      <c r="L4" s="103" t="s">
        <v>46</v>
      </c>
      <c r="M4" s="102"/>
      <c r="N4" s="82"/>
      <c r="O4" s="82"/>
      <c r="P4" s="36" t="s">
        <v>0</v>
      </c>
      <c r="Q4" s="18" t="s">
        <v>1</v>
      </c>
      <c r="R4" s="14" t="s">
        <v>2</v>
      </c>
      <c r="S4" s="19" t="s">
        <v>16</v>
      </c>
      <c r="T4" s="54" t="s">
        <v>24</v>
      </c>
      <c r="U4" s="14" t="s">
        <v>3</v>
      </c>
      <c r="V4" s="14" t="s">
        <v>4</v>
      </c>
      <c r="W4" s="55" t="s">
        <v>25</v>
      </c>
      <c r="X4" s="16" t="s">
        <v>4</v>
      </c>
      <c r="Y4" s="17" t="s">
        <v>8</v>
      </c>
      <c r="Z4" s="15" t="s">
        <v>5</v>
      </c>
    </row>
    <row r="5" spans="2:26" ht="81" thickTop="1" thickBot="1" x14ac:dyDescent="0.3">
      <c r="B5" s="93" t="s">
        <v>120</v>
      </c>
      <c r="C5" s="107" t="s">
        <v>110</v>
      </c>
      <c r="D5" s="72">
        <f>160+60+170+469+352+242+180</f>
        <v>1633</v>
      </c>
      <c r="E5" s="72">
        <v>0</v>
      </c>
      <c r="F5" s="72">
        <v>0</v>
      </c>
      <c r="G5" s="72">
        <v>0</v>
      </c>
      <c r="H5" s="72">
        <v>0</v>
      </c>
      <c r="I5" s="72">
        <v>0</v>
      </c>
      <c r="J5" s="72"/>
      <c r="K5" s="72">
        <v>0</v>
      </c>
      <c r="L5" s="72"/>
      <c r="M5" s="12"/>
      <c r="N5" s="74"/>
      <c r="O5" s="74"/>
      <c r="P5" s="119" t="s">
        <v>120</v>
      </c>
      <c r="Q5" s="111" t="s">
        <v>113</v>
      </c>
      <c r="R5" s="115">
        <v>0</v>
      </c>
      <c r="S5" s="72">
        <v>0</v>
      </c>
      <c r="T5" s="72">
        <v>0</v>
      </c>
      <c r="U5" s="72">
        <v>0</v>
      </c>
      <c r="V5" s="72">
        <v>0</v>
      </c>
      <c r="W5" s="72">
        <v>0</v>
      </c>
      <c r="X5" s="72">
        <v>0</v>
      </c>
      <c r="Y5" s="72">
        <v>0</v>
      </c>
      <c r="Z5" s="116">
        <f>6779+5143+6403+2659</f>
        <v>20984</v>
      </c>
    </row>
    <row r="6" spans="2:26" ht="75" customHeight="1" thickTop="1" thickBot="1" x14ac:dyDescent="0.3">
      <c r="B6" s="93" t="s">
        <v>120</v>
      </c>
      <c r="C6" s="44" t="s">
        <v>108</v>
      </c>
      <c r="D6" s="67">
        <v>0</v>
      </c>
      <c r="E6" s="67">
        <v>0</v>
      </c>
      <c r="F6" s="67">
        <v>0</v>
      </c>
      <c r="G6" s="67">
        <v>0</v>
      </c>
      <c r="H6" s="67">
        <v>0</v>
      </c>
      <c r="I6" s="67">
        <v>0</v>
      </c>
      <c r="J6" s="67"/>
      <c r="K6" s="67">
        <f>6086+4783+6236+2689</f>
        <v>19794</v>
      </c>
      <c r="L6" s="67"/>
      <c r="M6" s="12"/>
      <c r="N6" s="74"/>
      <c r="O6" s="74"/>
      <c r="P6" s="120" t="s">
        <v>120</v>
      </c>
      <c r="Q6" s="111" t="s">
        <v>118</v>
      </c>
      <c r="R6" s="115">
        <v>0</v>
      </c>
      <c r="S6" s="72">
        <v>0</v>
      </c>
      <c r="T6" s="72">
        <v>0</v>
      </c>
      <c r="U6" s="72">
        <v>0</v>
      </c>
      <c r="V6" s="72">
        <v>0</v>
      </c>
      <c r="W6" s="72">
        <v>0</v>
      </c>
      <c r="X6" s="72">
        <v>0</v>
      </c>
      <c r="Y6" s="72">
        <f>1123+4449.5+1880+2740.5+400</f>
        <v>10593</v>
      </c>
      <c r="Z6" s="117">
        <v>0</v>
      </c>
    </row>
    <row r="7" spans="2:26" ht="37.5" customHeight="1" thickTop="1" thickBot="1" x14ac:dyDescent="0.3">
      <c r="B7" s="93" t="s">
        <v>120</v>
      </c>
      <c r="C7" s="43" t="s">
        <v>21</v>
      </c>
      <c r="D7" s="67">
        <v>0</v>
      </c>
      <c r="E7" s="67">
        <v>0</v>
      </c>
      <c r="F7" s="67">
        <v>0</v>
      </c>
      <c r="G7" s="67">
        <v>0</v>
      </c>
      <c r="H7" s="67">
        <f>518+569+651+408</f>
        <v>2146</v>
      </c>
      <c r="I7" s="67">
        <v>0</v>
      </c>
      <c r="J7" s="67"/>
      <c r="K7" s="67">
        <v>0</v>
      </c>
      <c r="L7" s="67"/>
      <c r="M7" s="12"/>
      <c r="N7" s="74"/>
      <c r="O7" s="74"/>
      <c r="P7" s="120" t="s">
        <v>120</v>
      </c>
      <c r="Q7" s="111" t="s">
        <v>114</v>
      </c>
      <c r="R7" s="115">
        <f>611+907+1055+770</f>
        <v>3343</v>
      </c>
      <c r="S7" s="72">
        <v>0</v>
      </c>
      <c r="T7" s="72">
        <v>0</v>
      </c>
      <c r="U7" s="72">
        <v>0</v>
      </c>
      <c r="V7" s="72">
        <v>0</v>
      </c>
      <c r="W7" s="72">
        <v>0</v>
      </c>
      <c r="X7" s="72">
        <v>0</v>
      </c>
      <c r="Y7" s="72">
        <v>0</v>
      </c>
      <c r="Z7" s="117">
        <v>0</v>
      </c>
    </row>
    <row r="8" spans="2:26" ht="32.25" customHeight="1" thickTop="1" thickBot="1" x14ac:dyDescent="0.3">
      <c r="B8" s="93" t="s">
        <v>120</v>
      </c>
      <c r="C8" s="42" t="s">
        <v>10</v>
      </c>
      <c r="D8" s="67">
        <v>0</v>
      </c>
      <c r="E8" s="67">
        <f>123+369+188+180</f>
        <v>860</v>
      </c>
      <c r="F8" s="67">
        <v>0</v>
      </c>
      <c r="G8" s="67">
        <v>0</v>
      </c>
      <c r="H8" s="67">
        <v>0</v>
      </c>
      <c r="I8" s="67">
        <f>472+403+829+381</f>
        <v>2085</v>
      </c>
      <c r="J8" s="67"/>
      <c r="K8" s="67">
        <v>0</v>
      </c>
      <c r="L8" s="67"/>
      <c r="M8" s="12"/>
      <c r="N8" s="74"/>
      <c r="O8" s="74"/>
      <c r="P8" s="120" t="s">
        <v>120</v>
      </c>
      <c r="Q8" s="112" t="s">
        <v>12</v>
      </c>
      <c r="R8" s="115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f>779+403+400+728</f>
        <v>2310</v>
      </c>
      <c r="Y8" s="72">
        <v>0</v>
      </c>
      <c r="Z8" s="117">
        <v>0</v>
      </c>
    </row>
    <row r="9" spans="2:26" ht="22.5" customHeight="1" thickTop="1" thickBot="1" x14ac:dyDescent="0.3">
      <c r="B9" s="93" t="s">
        <v>120</v>
      </c>
      <c r="C9" s="43"/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/>
      <c r="K9" s="67">
        <v>0</v>
      </c>
      <c r="L9" s="67"/>
      <c r="M9" s="12"/>
      <c r="N9" s="74"/>
      <c r="O9" s="74"/>
      <c r="P9" s="120" t="s">
        <v>120</v>
      </c>
      <c r="Q9" s="112" t="s">
        <v>13</v>
      </c>
      <c r="R9" s="115">
        <v>0</v>
      </c>
      <c r="S9" s="72">
        <v>0</v>
      </c>
      <c r="T9" s="72">
        <v>0</v>
      </c>
      <c r="U9" s="72">
        <v>0</v>
      </c>
      <c r="V9" s="72">
        <v>0</v>
      </c>
      <c r="W9" s="72">
        <v>0</v>
      </c>
      <c r="X9" s="72">
        <v>0</v>
      </c>
      <c r="Y9" s="72">
        <f>387</f>
        <v>387</v>
      </c>
      <c r="Z9" s="117">
        <v>0</v>
      </c>
    </row>
    <row r="10" spans="2:26" ht="50.25" thickTop="1" thickBot="1" x14ac:dyDescent="0.3">
      <c r="B10" s="93" t="s">
        <v>120</v>
      </c>
      <c r="C10" s="45" t="s">
        <v>109</v>
      </c>
      <c r="D10" s="67">
        <v>0</v>
      </c>
      <c r="E10" s="67">
        <v>0</v>
      </c>
      <c r="F10" s="67">
        <v>0</v>
      </c>
      <c r="G10" s="67">
        <f>40+45+45</f>
        <v>130</v>
      </c>
      <c r="H10" s="67">
        <v>0</v>
      </c>
      <c r="I10" s="67">
        <v>0</v>
      </c>
      <c r="J10" s="67"/>
      <c r="K10" s="67">
        <v>0</v>
      </c>
      <c r="L10" s="67"/>
      <c r="M10" s="12"/>
      <c r="N10" s="74"/>
      <c r="O10" s="74"/>
      <c r="P10" s="120" t="s">
        <v>120</v>
      </c>
      <c r="Q10" s="113" t="s">
        <v>115</v>
      </c>
      <c r="R10" s="115">
        <v>0</v>
      </c>
      <c r="S10" s="72">
        <v>0</v>
      </c>
      <c r="T10" s="72">
        <v>0</v>
      </c>
      <c r="U10" s="72">
        <f>334+58+40+125</f>
        <v>557</v>
      </c>
      <c r="V10" s="72">
        <v>0</v>
      </c>
      <c r="W10" s="72">
        <v>0</v>
      </c>
      <c r="X10" s="72">
        <v>0</v>
      </c>
      <c r="Y10" s="72">
        <v>0</v>
      </c>
      <c r="Z10" s="117">
        <v>0</v>
      </c>
    </row>
    <row r="11" spans="2:26" ht="69.75" thickTop="1" thickBot="1" x14ac:dyDescent="0.3">
      <c r="B11" s="93" t="s">
        <v>120</v>
      </c>
      <c r="C11" s="44" t="s">
        <v>112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f>2714+2524.5+624+565+151.5+1223+127</f>
        <v>7929</v>
      </c>
      <c r="K11" s="67">
        <v>0</v>
      </c>
      <c r="L11" s="67"/>
      <c r="M11" s="12"/>
      <c r="N11" s="74"/>
      <c r="O11" s="74"/>
      <c r="P11" s="120" t="s">
        <v>120</v>
      </c>
      <c r="Q11" s="111" t="s">
        <v>116</v>
      </c>
      <c r="R11" s="115">
        <v>0</v>
      </c>
      <c r="S11" s="72">
        <v>0</v>
      </c>
      <c r="T11" s="72">
        <f>2804+2444+3027+3659</f>
        <v>11934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117">
        <v>0</v>
      </c>
    </row>
    <row r="12" spans="2:26" ht="57.75" thickTop="1" thickBot="1" x14ac:dyDescent="0.3">
      <c r="B12" s="93" t="s">
        <v>120</v>
      </c>
      <c r="C12" s="45" t="s">
        <v>111</v>
      </c>
      <c r="D12" s="67">
        <v>0</v>
      </c>
      <c r="E12" s="67">
        <v>0</v>
      </c>
      <c r="F12" s="67">
        <f>1719+2264+2259+2776</f>
        <v>9018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/>
      <c r="M12" s="12"/>
      <c r="N12" s="74"/>
      <c r="O12" s="74"/>
      <c r="P12" s="120" t="s">
        <v>120</v>
      </c>
      <c r="Q12" s="113" t="s">
        <v>117</v>
      </c>
      <c r="R12" s="115">
        <v>0</v>
      </c>
      <c r="S12" s="72">
        <f>1221+89+776+1462</f>
        <v>3548</v>
      </c>
      <c r="T12" s="72" t="s">
        <v>26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117">
        <v>0</v>
      </c>
    </row>
    <row r="13" spans="2:26" ht="25.5" thickTop="1" thickBot="1" x14ac:dyDescent="0.3">
      <c r="B13" s="93" t="s">
        <v>120</v>
      </c>
      <c r="C13" s="42" t="s">
        <v>11</v>
      </c>
      <c r="D13" s="67">
        <v>0</v>
      </c>
      <c r="E13" s="67">
        <v>0</v>
      </c>
      <c r="F13" s="67">
        <v>0</v>
      </c>
      <c r="G13" s="67">
        <v>0</v>
      </c>
      <c r="H13" s="67">
        <f>1220+1230+1230+1230</f>
        <v>4910</v>
      </c>
      <c r="I13" s="67">
        <v>0</v>
      </c>
      <c r="J13" s="67">
        <v>0</v>
      </c>
      <c r="K13" s="67">
        <v>0</v>
      </c>
      <c r="L13" s="67"/>
      <c r="M13" s="12"/>
      <c r="N13" s="74"/>
      <c r="O13" s="74"/>
      <c r="P13" s="120" t="s">
        <v>120</v>
      </c>
      <c r="Q13" s="114" t="s">
        <v>32</v>
      </c>
      <c r="R13" s="115">
        <v>0</v>
      </c>
      <c r="S13" s="72">
        <v>0</v>
      </c>
      <c r="T13" s="72">
        <v>0</v>
      </c>
      <c r="U13" s="72">
        <v>0</v>
      </c>
      <c r="V13" s="72">
        <v>0</v>
      </c>
      <c r="W13" s="72">
        <f>5177+4508+4324+4533</f>
        <v>18542</v>
      </c>
      <c r="X13" s="72">
        <v>0</v>
      </c>
      <c r="Y13" s="72">
        <v>0</v>
      </c>
      <c r="Z13" s="117">
        <v>0</v>
      </c>
    </row>
    <row r="14" spans="2:26" ht="28.5" customHeight="1" thickTop="1" thickBot="1" x14ac:dyDescent="0.3">
      <c r="B14" s="93" t="s">
        <v>120</v>
      </c>
      <c r="C14" s="95" t="s">
        <v>50</v>
      </c>
      <c r="D14" s="67">
        <v>0</v>
      </c>
      <c r="E14" s="67"/>
      <c r="F14" s="67"/>
      <c r="G14" s="67"/>
      <c r="H14" s="67"/>
      <c r="I14" s="67"/>
      <c r="J14" s="67"/>
      <c r="K14" s="67"/>
      <c r="L14" s="67">
        <f>1008+500+500</f>
        <v>2008</v>
      </c>
      <c r="M14" s="12"/>
      <c r="N14" s="74"/>
      <c r="O14" s="74"/>
      <c r="P14" s="120" t="s">
        <v>120</v>
      </c>
      <c r="Q14" s="112" t="s">
        <v>34</v>
      </c>
      <c r="R14" s="115">
        <v>0</v>
      </c>
      <c r="S14" s="72">
        <v>0</v>
      </c>
      <c r="T14" s="72">
        <v>0</v>
      </c>
      <c r="U14" s="72">
        <v>0</v>
      </c>
      <c r="V14" s="72">
        <v>0</v>
      </c>
      <c r="W14" s="72">
        <f>1237+1079+1278+918</f>
        <v>4512</v>
      </c>
      <c r="X14" s="72">
        <v>0</v>
      </c>
      <c r="Y14" s="72">
        <v>0</v>
      </c>
      <c r="Z14" s="117">
        <v>0</v>
      </c>
    </row>
    <row r="15" spans="2:26" ht="29.25" customHeight="1" thickTop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67"/>
      <c r="M15" s="12"/>
      <c r="N15" s="74"/>
      <c r="O15" s="74"/>
      <c r="P15" s="121" t="s">
        <v>120</v>
      </c>
      <c r="Q15" s="113" t="s">
        <v>119</v>
      </c>
      <c r="R15" s="115">
        <v>0</v>
      </c>
      <c r="S15" s="72">
        <v>0</v>
      </c>
      <c r="T15" s="72">
        <v>0</v>
      </c>
      <c r="U15" s="72">
        <v>0</v>
      </c>
      <c r="V15" s="72">
        <v>0</v>
      </c>
      <c r="W15" s="72">
        <v>0</v>
      </c>
      <c r="X15" s="72">
        <v>0</v>
      </c>
      <c r="Y15" s="72">
        <v>1390</v>
      </c>
      <c r="Z15" s="117">
        <v>0</v>
      </c>
    </row>
    <row r="16" spans="2:26" ht="6" customHeight="1" thickTop="1" thickBot="1" x14ac:dyDescent="0.3">
      <c r="B16" s="9"/>
      <c r="C16" s="34"/>
      <c r="D16" s="20">
        <v>0</v>
      </c>
      <c r="E16" s="20"/>
      <c r="F16" s="20"/>
      <c r="G16" s="20"/>
      <c r="H16" s="20"/>
      <c r="I16" s="20"/>
      <c r="J16" s="20"/>
      <c r="K16" s="20"/>
      <c r="L16" s="20"/>
      <c r="M16" s="12"/>
      <c r="N16" s="74"/>
      <c r="O16" s="74"/>
      <c r="P16" s="118"/>
      <c r="Q16" s="51"/>
      <c r="R16" s="20">
        <v>0</v>
      </c>
      <c r="S16" s="20"/>
      <c r="T16" s="20"/>
      <c r="U16" s="20"/>
      <c r="V16" s="20"/>
      <c r="W16" s="20"/>
      <c r="X16" s="20"/>
      <c r="Y16" s="20"/>
      <c r="Z16" s="20"/>
    </row>
    <row r="17" spans="3:26" ht="31.5" customHeight="1" thickBot="1" x14ac:dyDescent="0.3">
      <c r="C17" s="35" t="s">
        <v>18</v>
      </c>
      <c r="D17" s="30">
        <f t="shared" ref="D17:L17" si="0">SUM(D5:D16)</f>
        <v>1633</v>
      </c>
      <c r="E17" s="31">
        <f t="shared" si="0"/>
        <v>860</v>
      </c>
      <c r="F17" s="31">
        <f t="shared" si="0"/>
        <v>9018</v>
      </c>
      <c r="G17" s="31">
        <f t="shared" si="0"/>
        <v>130</v>
      </c>
      <c r="H17" s="31">
        <f t="shared" si="0"/>
        <v>7056</v>
      </c>
      <c r="I17" s="31">
        <f t="shared" si="0"/>
        <v>2085</v>
      </c>
      <c r="J17" s="22">
        <f t="shared" si="0"/>
        <v>7929</v>
      </c>
      <c r="K17" s="32">
        <f t="shared" si="0"/>
        <v>19794</v>
      </c>
      <c r="L17" s="32">
        <f t="shared" si="0"/>
        <v>2008</v>
      </c>
      <c r="M17" s="8"/>
      <c r="N17" s="74"/>
      <c r="O17" s="74"/>
      <c r="Q17" s="33" t="s">
        <v>18</v>
      </c>
      <c r="R17" s="21">
        <f t="shared" ref="R17:Z17" si="1">SUM(R5:R16)</f>
        <v>3343</v>
      </c>
      <c r="S17" s="22">
        <f t="shared" si="1"/>
        <v>3548</v>
      </c>
      <c r="T17" s="22">
        <f t="shared" si="1"/>
        <v>11934</v>
      </c>
      <c r="U17" s="22">
        <f t="shared" si="1"/>
        <v>557</v>
      </c>
      <c r="V17" s="22">
        <f t="shared" si="1"/>
        <v>0</v>
      </c>
      <c r="W17" s="22">
        <f t="shared" si="1"/>
        <v>23054</v>
      </c>
      <c r="X17" s="22">
        <f t="shared" si="1"/>
        <v>2310</v>
      </c>
      <c r="Y17" s="22">
        <f t="shared" si="1"/>
        <v>12370</v>
      </c>
      <c r="Z17" s="23">
        <f t="shared" si="1"/>
        <v>20984</v>
      </c>
    </row>
    <row r="18" spans="3:26" ht="22.5" customHeight="1" thickBot="1" x14ac:dyDescent="0.3">
      <c r="D18" s="5"/>
      <c r="E18" s="5"/>
      <c r="F18" s="5"/>
      <c r="G18" s="5"/>
      <c r="H18" s="5"/>
      <c r="I18" s="5"/>
      <c r="J18" s="5"/>
      <c r="K18" s="5"/>
      <c r="L18" s="5"/>
      <c r="M18" s="3"/>
      <c r="N18" s="74"/>
      <c r="O18" s="74"/>
      <c r="R18" s="5"/>
      <c r="S18" s="5"/>
      <c r="T18" s="5"/>
      <c r="U18" s="5"/>
      <c r="V18" s="5"/>
      <c r="W18" s="5"/>
      <c r="X18" s="5"/>
      <c r="Y18" s="5"/>
      <c r="Z18" s="5"/>
    </row>
    <row r="19" spans="3:26" ht="22.5" customHeight="1" thickBot="1" x14ac:dyDescent="0.4">
      <c r="D19" s="5"/>
      <c r="E19" s="5"/>
      <c r="F19" s="267">
        <f>K17+J17+I17+H17+G17+F17+E17+D17+L17</f>
        <v>50513</v>
      </c>
      <c r="G19" s="268"/>
      <c r="H19" s="269"/>
      <c r="I19" s="5"/>
      <c r="J19" s="5"/>
      <c r="K19" s="5"/>
      <c r="L19" s="5"/>
      <c r="M19" s="74"/>
      <c r="N19" s="74"/>
      <c r="O19" s="74"/>
      <c r="R19" s="5"/>
      <c r="S19" s="5"/>
      <c r="T19" s="270">
        <f>R17+S17+T17+U17+W17+X17+Y17+Z17</f>
        <v>78100</v>
      </c>
      <c r="U19" s="271"/>
      <c r="V19" s="272"/>
      <c r="W19" s="5"/>
      <c r="X19" s="5"/>
      <c r="Y19" s="5"/>
      <c r="Z19" s="5"/>
    </row>
    <row r="20" spans="3:26" ht="22.5" customHeight="1" x14ac:dyDescent="0.25">
      <c r="D20" s="5"/>
      <c r="E20" s="5"/>
      <c r="F20" s="5"/>
      <c r="G20" s="5"/>
      <c r="H20" s="5"/>
      <c r="I20" s="5"/>
      <c r="J20" s="5"/>
      <c r="K20" s="5"/>
      <c r="L20" s="5"/>
      <c r="M20" s="74"/>
      <c r="N20" s="74"/>
      <c r="O20" s="74"/>
      <c r="R20" s="5"/>
      <c r="S20" s="5"/>
      <c r="T20" s="5"/>
      <c r="U20" s="5"/>
      <c r="V20" s="5"/>
      <c r="W20" s="5"/>
      <c r="X20" s="5"/>
      <c r="Y20" s="5"/>
      <c r="Z20" s="5"/>
    </row>
    <row r="21" spans="3:26" x14ac:dyDescent="0.25">
      <c r="D21" s="5"/>
      <c r="E21" s="5"/>
      <c r="F21" s="5"/>
      <c r="G21" s="5"/>
      <c r="H21" s="5"/>
      <c r="I21" s="5"/>
      <c r="J21" s="5"/>
      <c r="K21" s="5"/>
      <c r="L21" s="5"/>
      <c r="M21" s="74"/>
      <c r="N21" s="74"/>
      <c r="O21" s="74"/>
      <c r="R21" s="5"/>
      <c r="S21" s="5"/>
      <c r="T21" s="5"/>
      <c r="U21" s="5"/>
      <c r="V21" s="5"/>
      <c r="W21" s="5"/>
      <c r="X21" s="5"/>
      <c r="Y21" s="5"/>
      <c r="Z21" s="5"/>
    </row>
    <row r="22" spans="3:26" x14ac:dyDescent="0.25">
      <c r="D22" s="5"/>
      <c r="E22" s="5"/>
      <c r="F22" s="5"/>
      <c r="G22" s="5"/>
      <c r="H22" s="5"/>
      <c r="I22" s="5"/>
      <c r="J22" s="5"/>
      <c r="K22" s="5"/>
      <c r="L22" s="5"/>
      <c r="M22" s="74"/>
      <c r="N22" s="74"/>
      <c r="O22" s="74"/>
      <c r="R22" s="5"/>
      <c r="S22" s="5"/>
      <c r="T22" s="5"/>
      <c r="U22" s="5"/>
      <c r="V22" s="5"/>
      <c r="W22" s="5"/>
      <c r="X22" s="5"/>
      <c r="Y22" s="5"/>
      <c r="Z22" s="5"/>
    </row>
  </sheetData>
  <mergeCells count="4">
    <mergeCell ref="C2:K2"/>
    <mergeCell ref="P2:Z2"/>
    <mergeCell ref="F19:H19"/>
    <mergeCell ref="T19:V19"/>
  </mergeCells>
  <pageMargins left="0.23622047244094491" right="0.23622047244094491" top="0.35433070866141736" bottom="0.15748031496062992" header="0.31496062992125984" footer="0.16"/>
  <pageSetup scale="78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F10" sqref="F10"/>
    </sheetView>
  </sheetViews>
  <sheetFormatPr baseColWidth="10" defaultRowHeight="15" x14ac:dyDescent="0.25"/>
  <cols>
    <col min="1" max="1" width="13.7109375" style="7" customWidth="1"/>
    <col min="2" max="2" width="25" style="1" customWidth="1"/>
    <col min="3" max="3" width="12.85546875" customWidth="1"/>
    <col min="4" max="4" width="11.7109375" bestFit="1" customWidth="1"/>
    <col min="5" max="5" width="12.5703125" bestFit="1" customWidth="1"/>
    <col min="6" max="6" width="10.28515625" bestFit="1" customWidth="1"/>
    <col min="7" max="7" width="11.42578125" customWidth="1"/>
    <col min="8" max="8" width="11.7109375" bestFit="1" customWidth="1"/>
    <col min="9" max="9" width="11.28515625" bestFit="1" customWidth="1"/>
    <col min="10" max="10" width="12.85546875" bestFit="1" customWidth="1"/>
    <col min="11" max="11" width="12" customWidth="1"/>
    <col min="12" max="12" width="5.140625" customWidth="1"/>
    <col min="13" max="13" width="13.5703125" style="7" customWidth="1"/>
    <col min="14" max="14" width="25" customWidth="1"/>
    <col min="15" max="15" width="13.28515625" customWidth="1"/>
    <col min="16" max="16" width="11.5703125" bestFit="1" customWidth="1"/>
    <col min="17" max="17" width="12.42578125" bestFit="1" customWidth="1"/>
    <col min="18" max="18" width="10.140625" bestFit="1" customWidth="1"/>
    <col min="19" max="19" width="8.7109375" bestFit="1" customWidth="1"/>
    <col min="20" max="20" width="12.85546875" customWidth="1"/>
    <col min="21" max="22" width="11.28515625" bestFit="1" customWidth="1"/>
    <col min="23" max="23" width="12.42578125" bestFit="1" customWidth="1"/>
  </cols>
  <sheetData>
    <row r="1" spans="1:23" ht="15.75" thickBot="1" x14ac:dyDescent="0.3"/>
    <row r="2" spans="1:23" ht="22.5" thickTop="1" thickBot="1" x14ac:dyDescent="0.4">
      <c r="B2" s="260" t="s">
        <v>17</v>
      </c>
      <c r="C2" s="261"/>
      <c r="D2" s="261"/>
      <c r="E2" s="261"/>
      <c r="F2" s="261"/>
      <c r="G2" s="261"/>
      <c r="H2" s="261"/>
      <c r="I2" s="261"/>
      <c r="J2" s="261"/>
      <c r="K2" s="101"/>
      <c r="L2" s="39"/>
      <c r="M2" s="273" t="s">
        <v>19</v>
      </c>
      <c r="N2" s="274"/>
      <c r="O2" s="274"/>
      <c r="P2" s="274"/>
      <c r="Q2" s="274"/>
      <c r="R2" s="274"/>
      <c r="S2" s="274"/>
      <c r="T2" s="274"/>
      <c r="U2" s="274"/>
      <c r="V2" s="274"/>
      <c r="W2" s="282"/>
    </row>
    <row r="3" spans="1:23" ht="15.75" thickBot="1" x14ac:dyDescent="0.3">
      <c r="L3" s="37"/>
    </row>
    <row r="4" spans="1:23" s="2" customFormat="1" ht="64.5" thickTop="1" thickBot="1" x14ac:dyDescent="0.3">
      <c r="A4" s="6" t="s">
        <v>0</v>
      </c>
      <c r="B4" s="24" t="s">
        <v>1</v>
      </c>
      <c r="C4" s="25" t="s">
        <v>2</v>
      </c>
      <c r="D4" s="26" t="s">
        <v>7</v>
      </c>
      <c r="E4" s="56" t="s">
        <v>38</v>
      </c>
      <c r="F4" s="25" t="s">
        <v>3</v>
      </c>
      <c r="G4" s="27" t="s">
        <v>22</v>
      </c>
      <c r="H4" s="25" t="s">
        <v>4</v>
      </c>
      <c r="I4" s="28" t="s">
        <v>8</v>
      </c>
      <c r="J4" s="29" t="s">
        <v>5</v>
      </c>
      <c r="K4" s="103" t="s">
        <v>46</v>
      </c>
      <c r="L4" s="102"/>
      <c r="M4" s="36" t="s">
        <v>0</v>
      </c>
      <c r="N4" s="18" t="s">
        <v>1</v>
      </c>
      <c r="O4" s="14" t="s">
        <v>2</v>
      </c>
      <c r="P4" s="19" t="s">
        <v>16</v>
      </c>
      <c r="Q4" s="54" t="s">
        <v>24</v>
      </c>
      <c r="R4" s="14" t="s">
        <v>3</v>
      </c>
      <c r="S4" s="14" t="s">
        <v>4</v>
      </c>
      <c r="T4" s="55" t="s">
        <v>25</v>
      </c>
      <c r="U4" s="16" t="s">
        <v>4</v>
      </c>
      <c r="V4" s="17" t="s">
        <v>8</v>
      </c>
      <c r="W4" s="15" t="s">
        <v>5</v>
      </c>
    </row>
    <row r="5" spans="1:23" ht="48.75" x14ac:dyDescent="0.25">
      <c r="A5" s="40" t="s">
        <v>20</v>
      </c>
      <c r="B5" s="41" t="s">
        <v>6</v>
      </c>
      <c r="C5" s="104">
        <f>160+'GASTOS POR SEMANA  SEPT-23 '!D133</f>
        <v>330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/>
      <c r="J5" s="13">
        <v>0</v>
      </c>
      <c r="K5" s="13"/>
      <c r="L5" s="12"/>
      <c r="M5" s="52" t="s">
        <v>20</v>
      </c>
      <c r="N5" s="53" t="s">
        <v>52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04">
        <f>109+1973+1400+1641+70+756+830+'GASTOS POR SEMANA  SEPT-23 '!X133</f>
        <v>11922</v>
      </c>
    </row>
    <row r="6" spans="1:23" ht="51.75" customHeight="1" x14ac:dyDescent="0.25">
      <c r="A6" s="40" t="s">
        <v>20</v>
      </c>
      <c r="B6" s="44" t="s">
        <v>61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/>
      <c r="J6" s="105">
        <f>542+680+1493+1388+806+1177+'GASTOS POR SEMANA  SEPT-23 '!K134</f>
        <v>10869</v>
      </c>
      <c r="K6" s="11"/>
      <c r="L6" s="12"/>
      <c r="M6" s="52" t="s">
        <v>20</v>
      </c>
      <c r="N6" s="106" t="s">
        <v>53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04">
        <f>127+896+100+'GASTOS POR SEMANA  SEPT-23 '!W134</f>
        <v>5572.5</v>
      </c>
      <c r="W6" s="67">
        <v>0</v>
      </c>
    </row>
    <row r="7" spans="1:23" ht="22.5" customHeight="1" x14ac:dyDescent="0.25">
      <c r="A7" s="40" t="s">
        <v>20</v>
      </c>
      <c r="B7" s="43" t="s">
        <v>21</v>
      </c>
      <c r="C7" s="11">
        <v>0</v>
      </c>
      <c r="D7" s="11">
        <v>0</v>
      </c>
      <c r="E7" s="11">
        <v>0</v>
      </c>
      <c r="F7" s="11">
        <v>0</v>
      </c>
      <c r="G7" s="105">
        <f>78+66+102+68+102+51+51+'GASTOS POR SEMANA  SEPT-23 '!H135</f>
        <v>1087</v>
      </c>
      <c r="H7" s="11">
        <v>0</v>
      </c>
      <c r="I7" s="11"/>
      <c r="J7" s="11">
        <v>0</v>
      </c>
      <c r="K7" s="11"/>
      <c r="L7" s="12"/>
      <c r="M7" s="52" t="s">
        <v>20</v>
      </c>
      <c r="N7" s="48" t="s">
        <v>14</v>
      </c>
      <c r="O7" s="104">
        <f>144+287+180+'GASTOS POR SEMANA  SEPT-23 '!Q135</f>
        <v>1518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1">
        <v>0</v>
      </c>
    </row>
    <row r="8" spans="1:23" ht="22.5" customHeight="1" x14ac:dyDescent="0.25">
      <c r="A8" s="40" t="s">
        <v>20</v>
      </c>
      <c r="B8" s="42" t="s">
        <v>10</v>
      </c>
      <c r="C8" s="11">
        <v>0</v>
      </c>
      <c r="D8" s="105">
        <f>123+'GASTOS POR SEMANA  SEPT-23 '!E136</f>
        <v>492</v>
      </c>
      <c r="E8" s="11">
        <v>0</v>
      </c>
      <c r="F8" s="11">
        <v>0</v>
      </c>
      <c r="G8" s="11">
        <v>0</v>
      </c>
      <c r="H8" s="105">
        <f>391+81+'GASTOS POR SEMANA  SEPT-23 '!I136</f>
        <v>875</v>
      </c>
      <c r="I8" s="11"/>
      <c r="J8" s="11">
        <v>0</v>
      </c>
      <c r="K8" s="11"/>
      <c r="L8" s="12"/>
      <c r="M8" s="52" t="s">
        <v>20</v>
      </c>
      <c r="N8" s="48" t="s">
        <v>12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04">
        <f>779+'GASTOS POR SEMANA  SEPT-23 '!U136</f>
        <v>1182</v>
      </c>
      <c r="V8" s="13">
        <v>0</v>
      </c>
      <c r="W8" s="11">
        <v>0</v>
      </c>
    </row>
    <row r="9" spans="1:23" ht="22.5" customHeight="1" x14ac:dyDescent="0.25">
      <c r="A9" s="40" t="s">
        <v>20</v>
      </c>
      <c r="B9" s="43" t="s">
        <v>27</v>
      </c>
      <c r="C9" s="105">
        <f>242</f>
        <v>242</v>
      </c>
      <c r="D9" s="11">
        <v>0</v>
      </c>
      <c r="E9" s="105">
        <v>60</v>
      </c>
      <c r="F9" s="11">
        <v>0</v>
      </c>
      <c r="G9" s="11">
        <v>0</v>
      </c>
      <c r="H9" s="11">
        <v>0</v>
      </c>
      <c r="I9" s="11"/>
      <c r="J9" s="11">
        <v>0</v>
      </c>
      <c r="K9" s="11"/>
      <c r="L9" s="12"/>
      <c r="M9" s="52" t="s">
        <v>20</v>
      </c>
      <c r="N9" s="48" t="s">
        <v>13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04">
        <f>327+60</f>
        <v>387</v>
      </c>
      <c r="W9" s="11">
        <v>0</v>
      </c>
    </row>
    <row r="10" spans="1:23" ht="36.75" x14ac:dyDescent="0.25">
      <c r="A10" s="40" t="s">
        <v>20</v>
      </c>
      <c r="B10" s="44" t="s">
        <v>31</v>
      </c>
      <c r="C10" s="11">
        <v>0</v>
      </c>
      <c r="D10" s="11">
        <v>0</v>
      </c>
      <c r="E10" s="11">
        <v>0</v>
      </c>
      <c r="F10" s="105">
        <f>40+45</f>
        <v>85</v>
      </c>
      <c r="G10" s="11">
        <v>0</v>
      </c>
      <c r="H10" s="11">
        <v>0</v>
      </c>
      <c r="I10" s="11"/>
      <c r="J10" s="11">
        <v>0</v>
      </c>
      <c r="K10" s="11"/>
      <c r="L10" s="12"/>
      <c r="M10" s="52" t="s">
        <v>20</v>
      </c>
      <c r="N10" s="49" t="s">
        <v>54</v>
      </c>
      <c r="O10" s="13">
        <v>0</v>
      </c>
      <c r="P10" s="13">
        <v>0</v>
      </c>
      <c r="Q10" s="13">
        <v>0</v>
      </c>
      <c r="R10" s="104">
        <f>90+10+234+'GASTOS POR SEMANA  SEPT-23 '!T138</f>
        <v>392</v>
      </c>
      <c r="S10" s="13">
        <v>0</v>
      </c>
      <c r="T10" s="13">
        <v>0</v>
      </c>
      <c r="U10" s="13">
        <v>0</v>
      </c>
      <c r="V10" s="13">
        <v>0</v>
      </c>
      <c r="W10" s="11">
        <v>0</v>
      </c>
    </row>
    <row r="11" spans="1:23" ht="57" x14ac:dyDescent="0.25">
      <c r="A11" s="40" t="s">
        <v>20</v>
      </c>
      <c r="B11" s="44" t="s">
        <v>60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05">
        <f>1013+1701+'GASTOS POR SEMANA  SEPT-23 '!J139+'GASTOS POR SEMANA  SEPT-23 '!J140</f>
        <v>5365.5</v>
      </c>
      <c r="J11" s="11">
        <v>0</v>
      </c>
      <c r="K11" s="11"/>
      <c r="L11" s="12"/>
      <c r="M11" s="52" t="s">
        <v>20</v>
      </c>
      <c r="N11" s="106" t="s">
        <v>55</v>
      </c>
      <c r="O11" s="13">
        <v>0</v>
      </c>
      <c r="P11" s="13">
        <v>0</v>
      </c>
      <c r="Q11" s="104">
        <f>2200+118+338+30+82+36+'GASTOS POR SEMANA  SEPT-23 '!S139</f>
        <v>5248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1">
        <v>0</v>
      </c>
    </row>
    <row r="12" spans="1:23" ht="32.25" customHeight="1" x14ac:dyDescent="0.25">
      <c r="A12" s="40" t="s">
        <v>20</v>
      </c>
      <c r="B12" s="42" t="s">
        <v>9</v>
      </c>
      <c r="C12" s="11">
        <v>0</v>
      </c>
      <c r="D12" s="105">
        <v>180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/>
      <c r="L12" s="12"/>
      <c r="M12" s="52" t="s">
        <v>20</v>
      </c>
      <c r="N12" s="50" t="s">
        <v>15</v>
      </c>
      <c r="O12" s="13">
        <v>0</v>
      </c>
      <c r="P12" s="104">
        <f>1221+'GASTOS POR SEMANA  SEPT-23 '!R137</f>
        <v>1310</v>
      </c>
      <c r="Q12" s="13" t="s">
        <v>26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1">
        <v>0</v>
      </c>
    </row>
    <row r="13" spans="1:23" ht="56.25" x14ac:dyDescent="0.25">
      <c r="A13" s="40" t="s">
        <v>20</v>
      </c>
      <c r="B13" s="45" t="s">
        <v>51</v>
      </c>
      <c r="C13" s="11">
        <v>0</v>
      </c>
      <c r="D13" s="11">
        <v>0</v>
      </c>
      <c r="E13" s="105">
        <f>1638+45+36+'GASTOS POR SEMANA  SEPT-23 '!F141</f>
        <v>3983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/>
      <c r="L13" s="12"/>
      <c r="M13" s="52" t="s">
        <v>20</v>
      </c>
      <c r="N13" s="48" t="s">
        <v>32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04">
        <f>700+700+710+3067+'GASTOS POR SEMANA  SEPT-23 '!V141</f>
        <v>9685</v>
      </c>
      <c r="U13" s="13">
        <v>0</v>
      </c>
      <c r="V13" s="13">
        <v>0</v>
      </c>
      <c r="W13" s="11">
        <v>0</v>
      </c>
    </row>
    <row r="14" spans="1:23" ht="22.5" customHeight="1" x14ac:dyDescent="0.25">
      <c r="A14" s="40" t="s">
        <v>20</v>
      </c>
      <c r="B14" s="42" t="s">
        <v>11</v>
      </c>
      <c r="C14" s="11">
        <v>0</v>
      </c>
      <c r="D14" s="11">
        <v>0</v>
      </c>
      <c r="E14" s="11">
        <v>0</v>
      </c>
      <c r="F14" s="11">
        <v>0</v>
      </c>
      <c r="G14" s="105">
        <f>380+380+460+'GASTOS POR SEMANA  SEPT-23 '!H142</f>
        <v>2450</v>
      </c>
      <c r="H14" s="11">
        <v>0</v>
      </c>
      <c r="I14" s="11">
        <v>0</v>
      </c>
      <c r="J14" s="11">
        <v>0</v>
      </c>
      <c r="K14" s="11"/>
      <c r="L14" s="12"/>
      <c r="M14" s="52" t="s">
        <v>20</v>
      </c>
      <c r="N14" s="48" t="s">
        <v>34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04">
        <f>170+238+170+153+170+336+'GASTOS POR SEMANA  SEPT-23 '!V142</f>
        <v>2316</v>
      </c>
      <c r="U14" s="13">
        <v>0</v>
      </c>
      <c r="V14" s="13">
        <v>0</v>
      </c>
      <c r="W14" s="11">
        <v>0</v>
      </c>
    </row>
    <row r="15" spans="1:23" ht="22.5" customHeight="1" x14ac:dyDescent="0.25">
      <c r="A15" s="40" t="s">
        <v>20</v>
      </c>
      <c r="B15" s="95" t="s">
        <v>50</v>
      </c>
      <c r="C15" s="11">
        <v>0</v>
      </c>
      <c r="D15" s="11"/>
      <c r="E15" s="11"/>
      <c r="F15" s="11"/>
      <c r="G15" s="11"/>
      <c r="H15" s="11"/>
      <c r="I15" s="11"/>
      <c r="J15" s="11"/>
      <c r="K15" s="105">
        <f>'GASTOS POR SEMANA  SEPT-23 '!L143</f>
        <v>1008</v>
      </c>
      <c r="L15" s="12"/>
      <c r="M15" s="52" t="s">
        <v>20</v>
      </c>
      <c r="N15" s="48"/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1">
        <v>0</v>
      </c>
    </row>
    <row r="16" spans="1:23" ht="22.5" hidden="1" customHeight="1" x14ac:dyDescent="0.25">
      <c r="A16" s="9"/>
      <c r="B16" s="10"/>
      <c r="C16" s="11">
        <v>0</v>
      </c>
      <c r="D16" s="11"/>
      <c r="E16" s="11"/>
      <c r="F16" s="11"/>
      <c r="G16" s="11"/>
      <c r="H16" s="11"/>
      <c r="I16" s="11"/>
      <c r="J16" s="11"/>
      <c r="K16" s="11"/>
      <c r="L16" s="12"/>
      <c r="M16" s="46"/>
      <c r="N16" s="51"/>
      <c r="O16" s="11">
        <v>0</v>
      </c>
      <c r="P16" s="11"/>
      <c r="Q16" s="11"/>
      <c r="R16" s="11"/>
      <c r="S16" s="11"/>
      <c r="T16" s="11"/>
      <c r="U16" s="11"/>
      <c r="V16" s="11"/>
      <c r="W16" s="11"/>
    </row>
    <row r="17" spans="1:23" ht="22.5" hidden="1" customHeight="1" x14ac:dyDescent="0.25">
      <c r="A17" s="9"/>
      <c r="B17" s="10"/>
      <c r="C17" s="11">
        <v>0</v>
      </c>
      <c r="D17" s="11"/>
      <c r="E17" s="11"/>
      <c r="F17" s="11"/>
      <c r="G17" s="11"/>
      <c r="H17" s="11"/>
      <c r="I17" s="11"/>
      <c r="J17" s="11"/>
      <c r="K17" s="11"/>
      <c r="L17" s="12"/>
      <c r="M17" s="46"/>
      <c r="N17" s="51"/>
      <c r="O17" s="11">
        <v>0</v>
      </c>
      <c r="P17" s="11"/>
      <c r="Q17" s="11"/>
      <c r="R17" s="11"/>
      <c r="S17" s="11"/>
      <c r="T17" s="11"/>
      <c r="U17" s="11"/>
      <c r="V17" s="11"/>
      <c r="W17" s="11"/>
    </row>
    <row r="18" spans="1:23" ht="22.5" hidden="1" customHeight="1" x14ac:dyDescent="0.25">
      <c r="A18" s="9"/>
      <c r="B18" s="10"/>
      <c r="C18" s="11">
        <v>0</v>
      </c>
      <c r="D18" s="11"/>
      <c r="E18" s="11"/>
      <c r="F18" s="11"/>
      <c r="G18" s="11"/>
      <c r="H18" s="11"/>
      <c r="I18" s="11"/>
      <c r="J18" s="11"/>
      <c r="K18" s="11"/>
      <c r="L18" s="12"/>
      <c r="M18" s="46"/>
      <c r="N18" s="51"/>
      <c r="O18" s="11">
        <v>0</v>
      </c>
      <c r="P18" s="11"/>
      <c r="Q18" s="11"/>
      <c r="R18" s="11"/>
      <c r="S18" s="11"/>
      <c r="T18" s="11"/>
      <c r="U18" s="11"/>
      <c r="V18" s="11"/>
      <c r="W18" s="11"/>
    </row>
    <row r="19" spans="1:23" ht="22.5" hidden="1" customHeight="1" x14ac:dyDescent="0.25">
      <c r="A19" s="9"/>
      <c r="B19" s="10"/>
      <c r="C19" s="11">
        <v>0</v>
      </c>
      <c r="D19" s="11"/>
      <c r="E19" s="11"/>
      <c r="F19" s="11"/>
      <c r="G19" s="11"/>
      <c r="H19" s="11"/>
      <c r="I19" s="11"/>
      <c r="J19" s="11"/>
      <c r="K19" s="11"/>
      <c r="L19" s="12"/>
      <c r="M19" s="46"/>
      <c r="N19" s="51"/>
      <c r="O19" s="11">
        <v>0</v>
      </c>
      <c r="P19" s="11"/>
      <c r="Q19" s="11"/>
      <c r="R19" s="11"/>
      <c r="S19" s="11"/>
      <c r="T19" s="11"/>
      <c r="U19" s="11"/>
      <c r="V19" s="11"/>
      <c r="W19" s="11"/>
    </row>
    <row r="20" spans="1:23" ht="22.5" hidden="1" customHeight="1" x14ac:dyDescent="0.25">
      <c r="A20" s="9"/>
      <c r="B20" s="10"/>
      <c r="C20" s="11">
        <v>0</v>
      </c>
      <c r="D20" s="11"/>
      <c r="E20" s="11"/>
      <c r="F20" s="11"/>
      <c r="G20" s="11"/>
      <c r="H20" s="11"/>
      <c r="I20" s="11"/>
      <c r="J20" s="11"/>
      <c r="K20" s="11"/>
      <c r="L20" s="12"/>
      <c r="M20" s="46"/>
      <c r="N20" s="51"/>
      <c r="O20" s="11">
        <v>0</v>
      </c>
      <c r="P20" s="11"/>
      <c r="Q20" s="11"/>
      <c r="R20" s="11"/>
      <c r="S20" s="11"/>
      <c r="T20" s="11"/>
      <c r="U20" s="11"/>
      <c r="V20" s="11"/>
      <c r="W20" s="11"/>
    </row>
    <row r="21" spans="1:23" ht="22.5" hidden="1" customHeight="1" x14ac:dyDescent="0.25">
      <c r="A21" s="9"/>
      <c r="B21" s="10"/>
      <c r="C21" s="11">
        <v>0</v>
      </c>
      <c r="D21" s="11"/>
      <c r="E21" s="11"/>
      <c r="F21" s="11"/>
      <c r="G21" s="11"/>
      <c r="H21" s="11"/>
      <c r="I21" s="11"/>
      <c r="J21" s="11"/>
      <c r="K21" s="11"/>
      <c r="L21" s="12"/>
      <c r="M21" s="46"/>
      <c r="N21" s="51"/>
      <c r="O21" s="11">
        <v>0</v>
      </c>
      <c r="P21" s="11"/>
      <c r="Q21" s="11"/>
      <c r="R21" s="11"/>
      <c r="S21" s="11"/>
      <c r="T21" s="11"/>
      <c r="U21" s="11"/>
      <c r="V21" s="11"/>
      <c r="W21" s="11"/>
    </row>
    <row r="22" spans="1:23" ht="22.5" hidden="1" customHeight="1" x14ac:dyDescent="0.25">
      <c r="A22" s="9"/>
      <c r="B22" s="10"/>
      <c r="C22" s="11">
        <v>0</v>
      </c>
      <c r="D22" s="11"/>
      <c r="E22" s="11"/>
      <c r="F22" s="11"/>
      <c r="G22" s="11"/>
      <c r="H22" s="11"/>
      <c r="I22" s="11"/>
      <c r="J22" s="11"/>
      <c r="K22" s="11"/>
      <c r="L22" s="12"/>
      <c r="M22" s="46"/>
      <c r="N22" s="51"/>
      <c r="O22" s="11">
        <v>0</v>
      </c>
      <c r="P22" s="11"/>
      <c r="Q22" s="11"/>
      <c r="R22" s="11"/>
      <c r="S22" s="11"/>
      <c r="T22" s="11"/>
      <c r="U22" s="11"/>
      <c r="V22" s="11"/>
      <c r="W22" s="11"/>
    </row>
    <row r="23" spans="1:23" ht="22.5" hidden="1" customHeight="1" x14ac:dyDescent="0.25">
      <c r="A23" s="9"/>
      <c r="B23" s="10"/>
      <c r="C23" s="11">
        <v>0</v>
      </c>
      <c r="D23" s="11"/>
      <c r="E23" s="11"/>
      <c r="F23" s="11"/>
      <c r="G23" s="11"/>
      <c r="H23" s="11"/>
      <c r="I23" s="11"/>
      <c r="J23" s="11"/>
      <c r="K23" s="11"/>
      <c r="L23" s="12"/>
      <c r="M23" s="46"/>
      <c r="N23" s="51"/>
      <c r="O23" s="11">
        <v>0</v>
      </c>
      <c r="P23" s="11"/>
      <c r="Q23" s="11"/>
      <c r="R23" s="11"/>
      <c r="S23" s="11"/>
      <c r="T23" s="11"/>
      <c r="U23" s="11"/>
      <c r="V23" s="11"/>
      <c r="W23" s="11"/>
    </row>
    <row r="24" spans="1:23" ht="22.5" hidden="1" customHeight="1" x14ac:dyDescent="0.25">
      <c r="A24" s="9"/>
      <c r="B24" s="10"/>
      <c r="C24" s="11">
        <v>0</v>
      </c>
      <c r="D24" s="11"/>
      <c r="E24" s="11"/>
      <c r="F24" s="11"/>
      <c r="G24" s="11"/>
      <c r="H24" s="11"/>
      <c r="I24" s="11"/>
      <c r="J24" s="11"/>
      <c r="K24" s="11"/>
      <c r="L24" s="12"/>
      <c r="M24" s="46"/>
      <c r="N24" s="51"/>
      <c r="O24" s="11">
        <v>0</v>
      </c>
      <c r="P24" s="11"/>
      <c r="Q24" s="11"/>
      <c r="R24" s="11"/>
      <c r="S24" s="11"/>
      <c r="T24" s="11"/>
      <c r="U24" s="11"/>
      <c r="V24" s="11"/>
      <c r="W24" s="11"/>
    </row>
    <row r="25" spans="1:23" ht="22.5" hidden="1" customHeight="1" x14ac:dyDescent="0.25">
      <c r="A25" s="9"/>
      <c r="B25" s="10"/>
      <c r="C25" s="11">
        <v>0</v>
      </c>
      <c r="D25" s="11"/>
      <c r="E25" s="11"/>
      <c r="F25" s="11"/>
      <c r="G25" s="11"/>
      <c r="H25" s="11"/>
      <c r="I25" s="11"/>
      <c r="J25" s="11"/>
      <c r="K25" s="11"/>
      <c r="L25" s="12"/>
      <c r="M25" s="46"/>
      <c r="N25" s="51"/>
      <c r="O25" s="11">
        <v>0</v>
      </c>
      <c r="P25" s="11"/>
      <c r="Q25" s="11"/>
      <c r="R25" s="11"/>
      <c r="S25" s="11"/>
      <c r="T25" s="11"/>
      <c r="U25" s="11"/>
      <c r="V25" s="11"/>
      <c r="W25" s="11"/>
    </row>
    <row r="26" spans="1:23" ht="22.5" hidden="1" customHeight="1" x14ac:dyDescent="0.25">
      <c r="A26" s="9"/>
      <c r="B26" s="10"/>
      <c r="C26" s="11">
        <v>0</v>
      </c>
      <c r="D26" s="11"/>
      <c r="E26" s="11"/>
      <c r="F26" s="11"/>
      <c r="G26" s="11"/>
      <c r="H26" s="11"/>
      <c r="I26" s="11"/>
      <c r="J26" s="11"/>
      <c r="K26" s="11"/>
      <c r="L26" s="12"/>
      <c r="M26" s="46"/>
      <c r="N26" s="51"/>
      <c r="O26" s="11">
        <v>0</v>
      </c>
      <c r="P26" s="11"/>
      <c r="Q26" s="11"/>
      <c r="R26" s="11"/>
      <c r="S26" s="11"/>
      <c r="T26" s="11"/>
      <c r="U26" s="11"/>
      <c r="V26" s="11"/>
      <c r="W26" s="11"/>
    </row>
    <row r="27" spans="1:23" ht="22.5" customHeight="1" thickBot="1" x14ac:dyDescent="0.3">
      <c r="A27" s="9"/>
      <c r="B27" s="34"/>
      <c r="C27" s="20">
        <v>0</v>
      </c>
      <c r="D27" s="20"/>
      <c r="E27" s="20"/>
      <c r="F27" s="20"/>
      <c r="G27" s="20"/>
      <c r="H27" s="20"/>
      <c r="I27" s="20"/>
      <c r="J27" s="20"/>
      <c r="K27" s="20"/>
      <c r="L27" s="12"/>
      <c r="M27" s="46"/>
      <c r="N27" s="51"/>
      <c r="O27" s="20">
        <v>0</v>
      </c>
      <c r="P27" s="20"/>
      <c r="Q27" s="20"/>
      <c r="R27" s="20"/>
      <c r="S27" s="20"/>
      <c r="T27" s="20"/>
      <c r="U27" s="20"/>
      <c r="V27" s="20"/>
      <c r="W27" s="20"/>
    </row>
    <row r="28" spans="1:23" ht="31.5" customHeight="1" thickBot="1" x14ac:dyDescent="0.3">
      <c r="B28" s="35" t="s">
        <v>18</v>
      </c>
      <c r="C28" s="30">
        <f t="shared" ref="C28:K28" si="0">SUM(C5:C27)</f>
        <v>572</v>
      </c>
      <c r="D28" s="31">
        <f t="shared" si="0"/>
        <v>672</v>
      </c>
      <c r="E28" s="31">
        <f t="shared" si="0"/>
        <v>4043</v>
      </c>
      <c r="F28" s="31">
        <f t="shared" si="0"/>
        <v>85</v>
      </c>
      <c r="G28" s="31">
        <f t="shared" si="0"/>
        <v>3537</v>
      </c>
      <c r="H28" s="31">
        <f t="shared" si="0"/>
        <v>875</v>
      </c>
      <c r="I28" s="22">
        <f t="shared" si="0"/>
        <v>5365.5</v>
      </c>
      <c r="J28" s="32">
        <f t="shared" si="0"/>
        <v>10869</v>
      </c>
      <c r="K28" s="32">
        <f t="shared" si="0"/>
        <v>1008</v>
      </c>
      <c r="L28" s="8"/>
      <c r="N28" s="33" t="s">
        <v>18</v>
      </c>
      <c r="O28" s="21">
        <f>SUM(O5:O27)</f>
        <v>1518</v>
      </c>
      <c r="P28" s="22">
        <f t="shared" ref="P28:W28" si="1">SUM(P5:P27)</f>
        <v>1310</v>
      </c>
      <c r="Q28" s="22">
        <f t="shared" si="1"/>
        <v>5248</v>
      </c>
      <c r="R28" s="22">
        <f t="shared" si="1"/>
        <v>392</v>
      </c>
      <c r="S28" s="22">
        <f t="shared" si="1"/>
        <v>0</v>
      </c>
      <c r="T28" s="22">
        <f t="shared" si="1"/>
        <v>12001</v>
      </c>
      <c r="U28" s="22">
        <f t="shared" si="1"/>
        <v>1182</v>
      </c>
      <c r="V28" s="22">
        <f t="shared" si="1"/>
        <v>5959.5</v>
      </c>
      <c r="W28" s="23">
        <f t="shared" si="1"/>
        <v>11922</v>
      </c>
    </row>
    <row r="29" spans="1:23" ht="22.5" customHeight="1" thickBot="1" x14ac:dyDescent="0.3">
      <c r="C29" s="5"/>
      <c r="D29" s="5"/>
      <c r="E29" s="5"/>
      <c r="F29" s="5"/>
      <c r="G29" s="5"/>
      <c r="H29" s="5"/>
      <c r="I29" s="5"/>
      <c r="J29" s="5"/>
      <c r="K29" s="5"/>
      <c r="L29" s="3"/>
      <c r="O29" s="5"/>
      <c r="P29" s="5"/>
      <c r="Q29" s="5"/>
      <c r="R29" s="5"/>
      <c r="S29" s="5"/>
      <c r="T29" s="5"/>
      <c r="U29" s="5"/>
      <c r="V29" s="5"/>
      <c r="W29" s="5"/>
    </row>
    <row r="30" spans="1:23" ht="22.5" customHeight="1" thickBot="1" x14ac:dyDescent="0.4">
      <c r="C30" s="5"/>
      <c r="D30" s="5"/>
      <c r="E30" s="267">
        <f>J28+I28+H28+G28+F28+E28+D28+C28+K28</f>
        <v>27026.5</v>
      </c>
      <c r="F30" s="268"/>
      <c r="G30" s="269"/>
      <c r="H30" s="5"/>
      <c r="I30" s="5"/>
      <c r="J30" s="5"/>
      <c r="K30" s="5"/>
      <c r="L30" s="3"/>
      <c r="O30" s="5"/>
      <c r="P30" s="5"/>
      <c r="Q30" s="270">
        <f>O28+P28+Q28+R28+T28+U28+V28+W28</f>
        <v>39532.5</v>
      </c>
      <c r="R30" s="271"/>
      <c r="S30" s="272"/>
      <c r="T30" s="5"/>
      <c r="U30" s="5"/>
      <c r="V30" s="5"/>
      <c r="W30" s="5"/>
    </row>
    <row r="31" spans="1:23" ht="22.5" customHeight="1" x14ac:dyDescent="0.25">
      <c r="C31" s="5"/>
      <c r="D31" s="5"/>
      <c r="E31" s="5"/>
      <c r="F31" s="5"/>
      <c r="G31" s="5"/>
      <c r="H31" s="5"/>
      <c r="I31" s="5"/>
      <c r="J31" s="5"/>
      <c r="K31" s="5"/>
      <c r="L31" s="3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C32" s="5"/>
      <c r="D32" s="5"/>
      <c r="E32" s="5"/>
      <c r="F32" s="5"/>
      <c r="G32" s="5"/>
      <c r="H32" s="5"/>
      <c r="I32" s="5"/>
      <c r="J32" s="5"/>
      <c r="K32" s="5"/>
      <c r="L32" s="3"/>
      <c r="O32" s="5"/>
      <c r="P32" s="5"/>
      <c r="Q32" s="5"/>
      <c r="R32" s="5"/>
      <c r="S32" s="5"/>
      <c r="T32" s="5"/>
      <c r="U32" s="5"/>
      <c r="V32" s="5"/>
      <c r="W32" s="5"/>
    </row>
    <row r="33" spans="3:23" ht="15.75" thickBot="1" x14ac:dyDescent="0.3">
      <c r="C33" s="5"/>
      <c r="D33" s="5"/>
      <c r="E33" s="5"/>
      <c r="F33" s="5"/>
      <c r="G33" s="5"/>
      <c r="H33" s="5"/>
      <c r="I33" s="5"/>
      <c r="J33" s="5"/>
      <c r="K33" s="5"/>
      <c r="L33" s="4"/>
      <c r="O33" s="5"/>
      <c r="P33" s="5"/>
      <c r="Q33" s="5"/>
      <c r="R33" s="5"/>
      <c r="S33" s="5"/>
      <c r="T33" s="5"/>
      <c r="U33" s="5"/>
      <c r="V33" s="5"/>
      <c r="W33" s="5"/>
    </row>
  </sheetData>
  <mergeCells count="4">
    <mergeCell ref="B2:J2"/>
    <mergeCell ref="M2:W2"/>
    <mergeCell ref="E30:G30"/>
    <mergeCell ref="Q30:S3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7" sqref="D37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2:AA23"/>
  <sheetViews>
    <sheetView tabSelected="1" topLeftCell="A7" workbookViewId="0">
      <selection activeCell="F23" sqref="F23"/>
    </sheetView>
  </sheetViews>
  <sheetFormatPr baseColWidth="10" defaultRowHeight="15" x14ac:dyDescent="0.25"/>
  <cols>
    <col min="1" max="1" width="4.7109375" customWidth="1"/>
    <col min="3" max="3" width="23" customWidth="1"/>
    <col min="6" max="6" width="13.7109375" customWidth="1"/>
    <col min="10" max="10" width="15.140625" customWidth="1"/>
    <col min="12" max="12" width="12.7109375" customWidth="1"/>
    <col min="13" max="13" width="5.42578125" customWidth="1"/>
    <col min="16" max="16" width="23.42578125" customWidth="1"/>
    <col min="19" max="19" width="13" customWidth="1"/>
    <col min="22" max="22" width="12.42578125" customWidth="1"/>
    <col min="23" max="23" width="13.28515625" customWidth="1"/>
  </cols>
  <sheetData>
    <row r="2" spans="2:27" ht="15.75" thickBot="1" x14ac:dyDescent="0.3"/>
    <row r="3" spans="2:27" ht="22.5" thickTop="1" thickBot="1" x14ac:dyDescent="0.4">
      <c r="B3" s="7"/>
      <c r="C3" s="260" t="s">
        <v>36</v>
      </c>
      <c r="D3" s="261"/>
      <c r="E3" s="261"/>
      <c r="F3" s="261"/>
      <c r="G3" s="261"/>
      <c r="H3" s="261"/>
      <c r="I3" s="261"/>
      <c r="J3" s="261"/>
      <c r="K3" s="261"/>
      <c r="L3" s="128" t="s">
        <v>41</v>
      </c>
      <c r="M3" s="133"/>
      <c r="N3" s="81"/>
      <c r="O3" s="262" t="s">
        <v>19</v>
      </c>
      <c r="P3" s="263"/>
      <c r="Q3" s="263"/>
      <c r="R3" s="263"/>
      <c r="S3" s="263"/>
      <c r="T3" s="263"/>
      <c r="U3" s="263"/>
      <c r="V3" s="263"/>
      <c r="W3" s="263"/>
      <c r="X3" s="190" t="str">
        <f>L3</f>
        <v># 01</v>
      </c>
    </row>
    <row r="4" spans="2:27" ht="16.5" thickBot="1" x14ac:dyDescent="0.3">
      <c r="B4" s="7"/>
      <c r="C4" s="1"/>
      <c r="I4" s="264" t="s">
        <v>347</v>
      </c>
      <c r="J4" s="265"/>
      <c r="K4" s="266"/>
      <c r="L4" s="68"/>
      <c r="M4" s="134"/>
      <c r="N4" s="74"/>
      <c r="O4" s="7"/>
      <c r="V4" s="264" t="str">
        <f>I4</f>
        <v>del   - al  01  DICIEMBRE    2023</v>
      </c>
      <c r="W4" s="265"/>
      <c r="X4" s="266"/>
    </row>
    <row r="5" spans="2:27" ht="64.5" thickTop="1" thickBot="1" x14ac:dyDescent="0.3">
      <c r="B5" s="6" t="s">
        <v>0</v>
      </c>
      <c r="C5" s="24" t="s">
        <v>1</v>
      </c>
      <c r="D5" s="25" t="s">
        <v>2</v>
      </c>
      <c r="E5" s="26" t="s">
        <v>7</v>
      </c>
      <c r="F5" s="56" t="s">
        <v>38</v>
      </c>
      <c r="G5" s="25" t="s">
        <v>3</v>
      </c>
      <c r="H5" s="27" t="s">
        <v>22</v>
      </c>
      <c r="I5" s="184" t="s">
        <v>4</v>
      </c>
      <c r="J5" s="61" t="s">
        <v>8</v>
      </c>
      <c r="K5" s="183" t="s">
        <v>5</v>
      </c>
      <c r="L5" s="99" t="s">
        <v>46</v>
      </c>
      <c r="M5" s="135"/>
      <c r="N5" s="82"/>
      <c r="O5" s="36" t="s">
        <v>0</v>
      </c>
      <c r="P5" s="143" t="s">
        <v>1</v>
      </c>
      <c r="Q5" s="137" t="s">
        <v>2</v>
      </c>
      <c r="R5" s="138" t="s">
        <v>16</v>
      </c>
      <c r="S5" s="138" t="s">
        <v>38</v>
      </c>
      <c r="T5" s="137" t="s">
        <v>3</v>
      </c>
      <c r="U5" s="137" t="s">
        <v>4</v>
      </c>
      <c r="V5" s="141" t="s">
        <v>25</v>
      </c>
      <c r="W5" s="136" t="s">
        <v>8</v>
      </c>
      <c r="X5" s="142" t="s">
        <v>5</v>
      </c>
    </row>
    <row r="6" spans="2:27" ht="68.25" customHeight="1" x14ac:dyDescent="0.25">
      <c r="B6" s="93" t="s">
        <v>346</v>
      </c>
      <c r="C6" s="234" t="s">
        <v>323</v>
      </c>
      <c r="D6" s="72"/>
      <c r="E6" s="72"/>
      <c r="F6" s="72"/>
      <c r="G6" s="72"/>
      <c r="H6" s="72"/>
      <c r="I6" s="72"/>
      <c r="J6" s="72"/>
      <c r="K6" s="72"/>
      <c r="L6" s="71"/>
      <c r="M6" s="131"/>
      <c r="N6" s="74"/>
      <c r="O6" s="93" t="s">
        <v>346</v>
      </c>
      <c r="P6" s="234" t="s">
        <v>348</v>
      </c>
      <c r="Q6" s="72"/>
      <c r="R6" s="72"/>
      <c r="S6" s="72"/>
      <c r="T6" s="72"/>
      <c r="U6" s="72"/>
      <c r="V6" s="72"/>
      <c r="W6" s="72"/>
      <c r="X6" s="72">
        <v>280</v>
      </c>
      <c r="AA6" t="s">
        <v>26</v>
      </c>
    </row>
    <row r="7" spans="2:27" ht="67.5" customHeight="1" x14ac:dyDescent="0.25">
      <c r="B7" s="93" t="s">
        <v>346</v>
      </c>
      <c r="C7" s="44" t="s">
        <v>325</v>
      </c>
      <c r="D7" s="67"/>
      <c r="E7" s="67"/>
      <c r="F7" s="67"/>
      <c r="G7" s="67"/>
      <c r="H7" s="67"/>
      <c r="I7" s="67"/>
      <c r="J7" s="67"/>
      <c r="K7" s="67"/>
      <c r="L7" s="67"/>
      <c r="M7" s="131"/>
      <c r="N7" s="74"/>
      <c r="O7" s="93" t="s">
        <v>346</v>
      </c>
      <c r="P7" s="44" t="s">
        <v>330</v>
      </c>
      <c r="Q7" s="67"/>
      <c r="R7" s="67"/>
      <c r="S7" s="67"/>
      <c r="T7" s="67"/>
      <c r="U7" s="67"/>
      <c r="V7" s="67"/>
      <c r="W7" s="67"/>
      <c r="X7" s="67"/>
    </row>
    <row r="8" spans="2:27" ht="42" customHeight="1" x14ac:dyDescent="0.25">
      <c r="B8" s="93" t="s">
        <v>346</v>
      </c>
      <c r="C8" s="44" t="s">
        <v>324</v>
      </c>
      <c r="D8" s="67"/>
      <c r="E8" s="67"/>
      <c r="F8" s="67"/>
      <c r="G8" s="67"/>
      <c r="H8" s="67"/>
      <c r="I8" s="67"/>
      <c r="J8" s="67"/>
      <c r="K8" s="67"/>
      <c r="L8" s="67"/>
      <c r="M8" s="131"/>
      <c r="N8" s="74"/>
      <c r="O8" s="93" t="s">
        <v>346</v>
      </c>
      <c r="P8" s="44" t="s">
        <v>331</v>
      </c>
      <c r="Q8" s="67"/>
      <c r="R8" s="67"/>
      <c r="S8" s="67"/>
      <c r="T8" s="67"/>
      <c r="U8" s="67"/>
      <c r="V8" s="67"/>
      <c r="W8" s="67"/>
      <c r="X8" s="67"/>
    </row>
    <row r="9" spans="2:27" ht="54" customHeight="1" x14ac:dyDescent="0.25">
      <c r="B9" s="93" t="s">
        <v>346</v>
      </c>
      <c r="C9" s="96" t="s">
        <v>326</v>
      </c>
      <c r="D9" s="67"/>
      <c r="E9" s="67"/>
      <c r="F9" s="67"/>
      <c r="G9" s="67"/>
      <c r="H9" s="67"/>
      <c r="I9" s="67"/>
      <c r="J9" s="67"/>
      <c r="K9" s="67"/>
      <c r="L9" s="67"/>
      <c r="M9" s="131"/>
      <c r="N9" s="74"/>
      <c r="O9" s="93" t="s">
        <v>346</v>
      </c>
      <c r="P9" s="95" t="s">
        <v>332</v>
      </c>
      <c r="Q9" s="67"/>
      <c r="R9" s="67"/>
      <c r="S9" s="67"/>
      <c r="T9" s="67"/>
      <c r="U9" s="67"/>
      <c r="V9" s="67"/>
      <c r="W9" s="67"/>
      <c r="X9" s="67"/>
    </row>
    <row r="10" spans="2:27" ht="48.75" thickBot="1" x14ac:dyDescent="0.3">
      <c r="B10" s="93" t="s">
        <v>346</v>
      </c>
      <c r="C10" s="44" t="s">
        <v>327</v>
      </c>
      <c r="D10" s="67"/>
      <c r="E10" s="67"/>
      <c r="F10" s="67"/>
      <c r="G10" s="67"/>
      <c r="H10" s="67"/>
      <c r="I10" s="67"/>
      <c r="J10" s="67"/>
      <c r="K10" s="67"/>
      <c r="L10" s="67"/>
      <c r="M10" s="131"/>
      <c r="N10" s="74"/>
      <c r="O10" s="93" t="s">
        <v>346</v>
      </c>
      <c r="P10" s="95" t="s">
        <v>4</v>
      </c>
      <c r="Q10" s="67"/>
      <c r="R10" s="67"/>
      <c r="S10" s="67"/>
      <c r="T10" s="67"/>
      <c r="U10" s="67"/>
      <c r="V10" s="67"/>
      <c r="W10" s="67"/>
      <c r="X10" s="67"/>
      <c r="Y10" s="242"/>
    </row>
    <row r="11" spans="2:27" ht="32.25" customHeight="1" thickBot="1" x14ac:dyDescent="0.3">
      <c r="B11" s="93" t="s">
        <v>346</v>
      </c>
      <c r="C11" s="254" t="s">
        <v>12</v>
      </c>
      <c r="D11" s="67"/>
      <c r="E11" s="67"/>
      <c r="F11" s="67"/>
      <c r="G11" s="67"/>
      <c r="H11" s="67"/>
      <c r="I11" s="67"/>
      <c r="J11" s="67"/>
      <c r="K11" s="67"/>
      <c r="L11" s="67"/>
      <c r="M11" s="131"/>
      <c r="N11" s="74"/>
      <c r="O11" s="93" t="s">
        <v>346</v>
      </c>
      <c r="P11" s="259" t="s">
        <v>333</v>
      </c>
      <c r="Q11" s="72"/>
      <c r="R11" s="72"/>
      <c r="S11" s="72"/>
      <c r="T11" s="72"/>
      <c r="U11" s="72"/>
      <c r="V11" s="72"/>
      <c r="W11" s="72"/>
      <c r="X11" s="255"/>
      <c r="Y11" s="258" t="s">
        <v>314</v>
      </c>
    </row>
    <row r="12" spans="2:27" ht="32.25" customHeight="1" x14ac:dyDescent="0.25">
      <c r="B12" s="93" t="s">
        <v>346</v>
      </c>
      <c r="C12" s="44" t="s">
        <v>328</v>
      </c>
      <c r="D12" s="67"/>
      <c r="E12" s="67"/>
      <c r="F12" s="67"/>
      <c r="G12" s="67"/>
      <c r="H12" s="67"/>
      <c r="I12" s="67"/>
      <c r="J12" s="94"/>
      <c r="K12" s="67"/>
      <c r="L12" s="67"/>
      <c r="M12" s="131"/>
      <c r="N12" s="74"/>
      <c r="O12" s="93" t="s">
        <v>346</v>
      </c>
      <c r="P12" s="293" t="s">
        <v>334</v>
      </c>
      <c r="Q12" s="72"/>
      <c r="R12" s="72"/>
      <c r="S12" s="72"/>
      <c r="T12" s="72"/>
      <c r="U12" s="72"/>
      <c r="V12" s="72"/>
      <c r="W12" s="72"/>
      <c r="X12" s="67"/>
      <c r="Y12" s="129"/>
    </row>
    <row r="13" spans="2:27" ht="33.75" customHeight="1" x14ac:dyDescent="0.25">
      <c r="B13" s="93" t="s">
        <v>346</v>
      </c>
      <c r="C13" s="95" t="s">
        <v>96</v>
      </c>
      <c r="D13" s="67"/>
      <c r="E13" s="67"/>
      <c r="F13" s="67"/>
      <c r="G13" s="67"/>
      <c r="H13" s="67"/>
      <c r="I13" s="67"/>
      <c r="J13" s="67"/>
      <c r="K13" s="67"/>
      <c r="L13" s="67"/>
      <c r="M13" s="131"/>
      <c r="N13" s="74"/>
      <c r="O13" s="93" t="s">
        <v>346</v>
      </c>
      <c r="P13" s="195" t="s">
        <v>140</v>
      </c>
      <c r="Q13" s="72"/>
      <c r="R13" s="72"/>
      <c r="S13" s="72"/>
      <c r="T13" s="72"/>
      <c r="U13" s="72"/>
      <c r="V13" s="72">
        <f>800+2935</f>
        <v>3735</v>
      </c>
      <c r="W13" s="72"/>
      <c r="X13" s="67"/>
    </row>
    <row r="14" spans="2:27" ht="34.5" customHeight="1" x14ac:dyDescent="0.25">
      <c r="B14" s="93" t="s">
        <v>346</v>
      </c>
      <c r="C14" s="95" t="s">
        <v>239</v>
      </c>
      <c r="D14" s="67"/>
      <c r="E14" s="67"/>
      <c r="F14" s="67"/>
      <c r="G14" s="67"/>
      <c r="H14" s="67">
        <v>420</v>
      </c>
      <c r="I14" s="67"/>
      <c r="J14" s="67"/>
      <c r="K14" s="67"/>
      <c r="L14" s="67"/>
      <c r="M14" s="131"/>
      <c r="N14" s="74"/>
      <c r="O14" s="93" t="s">
        <v>346</v>
      </c>
      <c r="P14" s="192" t="s">
        <v>217</v>
      </c>
      <c r="Q14" s="72"/>
      <c r="R14" s="72"/>
      <c r="S14" s="72"/>
      <c r="T14" s="72"/>
      <c r="U14" s="72"/>
      <c r="V14" s="72"/>
      <c r="W14" s="72"/>
      <c r="X14" s="67"/>
    </row>
    <row r="15" spans="2:27" ht="25.5" customHeight="1" thickBot="1" x14ac:dyDescent="0.3">
      <c r="B15" s="93" t="s">
        <v>346</v>
      </c>
      <c r="C15" s="42" t="s">
        <v>146</v>
      </c>
      <c r="D15" s="67"/>
      <c r="E15" s="67"/>
      <c r="F15" s="67"/>
      <c r="G15" s="67"/>
      <c r="H15" s="67"/>
      <c r="I15" s="67"/>
      <c r="J15" s="67"/>
      <c r="K15" s="67"/>
      <c r="L15" s="67">
        <v>500</v>
      </c>
      <c r="M15" s="131"/>
      <c r="N15" s="74"/>
      <c r="O15" s="93" t="s">
        <v>346</v>
      </c>
      <c r="P15" s="194"/>
      <c r="Q15" s="72"/>
      <c r="R15" s="72"/>
      <c r="S15" s="72"/>
      <c r="T15" s="72"/>
      <c r="U15" s="72"/>
      <c r="V15" s="72"/>
      <c r="W15" s="72"/>
      <c r="X15" s="67"/>
    </row>
    <row r="16" spans="2:27" ht="15.75" hidden="1" thickBot="1" x14ac:dyDescent="0.3">
      <c r="B16" s="93"/>
      <c r="C16" s="95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88"/>
      <c r="Q16" s="72"/>
      <c r="R16" s="72"/>
      <c r="S16" s="72"/>
      <c r="T16" s="72"/>
      <c r="U16" s="72"/>
      <c r="V16" s="72"/>
      <c r="W16" s="72"/>
      <c r="X16" s="67"/>
    </row>
    <row r="17" spans="1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1:24" ht="15.75" hidden="1" thickBot="1" x14ac:dyDescent="0.3">
      <c r="B18" s="93"/>
      <c r="C18" s="10"/>
      <c r="D18" s="67"/>
      <c r="E18" s="67"/>
      <c r="F18" s="67"/>
      <c r="G18" s="67"/>
      <c r="H18" s="67"/>
      <c r="I18" s="67"/>
      <c r="J18" s="67"/>
      <c r="K18" s="67"/>
      <c r="L18" s="11"/>
      <c r="M18" s="131"/>
      <c r="N18" s="74"/>
      <c r="O18" s="93"/>
      <c r="P18" s="91"/>
      <c r="Q18" s="67"/>
      <c r="R18" s="67"/>
      <c r="S18" s="67"/>
      <c r="T18" s="67"/>
      <c r="U18" s="67"/>
      <c r="V18" s="67"/>
      <c r="W18" s="67"/>
      <c r="X18" s="67"/>
    </row>
    <row r="19" spans="1:24" ht="15.75" hidden="1" thickBot="1" x14ac:dyDescent="0.3">
      <c r="B19" s="9"/>
      <c r="C19" s="34"/>
      <c r="D19" s="73"/>
      <c r="E19" s="73"/>
      <c r="F19" s="73"/>
      <c r="G19" s="73"/>
      <c r="H19" s="73"/>
      <c r="I19" s="73"/>
      <c r="J19" s="73"/>
      <c r="K19" s="73"/>
      <c r="L19" s="20"/>
      <c r="M19" s="131"/>
      <c r="N19" s="74"/>
      <c r="O19" s="46"/>
      <c r="P19" s="51"/>
      <c r="Q19" s="73">
        <v>0</v>
      </c>
      <c r="R19" s="73"/>
      <c r="S19" s="73"/>
      <c r="T19" s="73"/>
      <c r="U19" s="73"/>
      <c r="V19" s="73"/>
      <c r="W19" s="73"/>
      <c r="X19" s="73"/>
    </row>
    <row r="20" spans="1:24" ht="24" thickBot="1" x14ac:dyDescent="0.3">
      <c r="B20" s="7"/>
      <c r="C20" s="35" t="s">
        <v>18</v>
      </c>
      <c r="D20" s="30">
        <f>SUM(D6:D19)</f>
        <v>0</v>
      </c>
      <c r="E20" s="30">
        <f t="shared" ref="E20:L20" si="0">SUM(E6:E19)</f>
        <v>0</v>
      </c>
      <c r="F20" s="30">
        <f t="shared" si="0"/>
        <v>0</v>
      </c>
      <c r="G20" s="30">
        <f t="shared" si="0"/>
        <v>0</v>
      </c>
      <c r="H20" s="30">
        <f t="shared" si="0"/>
        <v>420</v>
      </c>
      <c r="I20" s="30">
        <f t="shared" si="0"/>
        <v>0</v>
      </c>
      <c r="J20" s="30">
        <f t="shared" si="0"/>
        <v>0</v>
      </c>
      <c r="K20" s="30">
        <f t="shared" si="0"/>
        <v>0</v>
      </c>
      <c r="L20" s="30">
        <f t="shared" si="0"/>
        <v>500</v>
      </c>
      <c r="M20" s="132"/>
      <c r="N20" s="74"/>
      <c r="O20" s="7"/>
      <c r="P20" s="33" t="s">
        <v>18</v>
      </c>
      <c r="Q20" s="21">
        <f t="shared" ref="Q20:X20" si="1">SUM(Q6:Q19)</f>
        <v>0</v>
      </c>
      <c r="R20" s="21">
        <f t="shared" si="1"/>
        <v>0</v>
      </c>
      <c r="S20" s="21">
        <f t="shared" si="1"/>
        <v>0</v>
      </c>
      <c r="T20" s="21">
        <f t="shared" si="1"/>
        <v>0</v>
      </c>
      <c r="U20" s="21">
        <f t="shared" si="1"/>
        <v>0</v>
      </c>
      <c r="V20" s="21">
        <f t="shared" si="1"/>
        <v>3735</v>
      </c>
      <c r="W20" s="21">
        <f t="shared" si="1"/>
        <v>0</v>
      </c>
      <c r="X20" s="21">
        <f t="shared" si="1"/>
        <v>280</v>
      </c>
    </row>
    <row r="21" spans="1:24" ht="15.75" thickBot="1" x14ac:dyDescent="0.3">
      <c r="B21" s="7"/>
      <c r="C21" s="1"/>
      <c r="D21" s="5"/>
      <c r="E21" s="5"/>
      <c r="F21" s="5"/>
      <c r="G21" s="5"/>
      <c r="H21" s="5"/>
      <c r="I21" s="5"/>
      <c r="J21" s="5"/>
      <c r="K21" s="5"/>
      <c r="L21" s="78"/>
      <c r="M21" s="76"/>
      <c r="N21" s="74"/>
      <c r="O21" s="7"/>
      <c r="Q21" s="5"/>
      <c r="R21" s="5"/>
      <c r="S21" s="5"/>
      <c r="T21" s="5"/>
      <c r="U21" s="5"/>
      <c r="V21" s="5"/>
      <c r="W21" s="5"/>
      <c r="X21" s="5"/>
    </row>
    <row r="22" spans="1:24" ht="21.75" thickBot="1" x14ac:dyDescent="0.4">
      <c r="B22" s="7"/>
      <c r="C22" s="1"/>
      <c r="D22" s="5"/>
      <c r="E22" s="5"/>
      <c r="F22" s="267">
        <f>K20+J20+I20+H20+G20+F20+E20+D20+L20</f>
        <v>920</v>
      </c>
      <c r="G22" s="268"/>
      <c r="H22" s="269"/>
      <c r="I22" s="5"/>
      <c r="J22" s="5"/>
      <c r="K22" s="5"/>
      <c r="L22" s="71"/>
      <c r="M22" s="74"/>
      <c r="N22" s="74"/>
      <c r="O22" s="7"/>
      <c r="Q22" s="5"/>
      <c r="R22" s="5"/>
      <c r="S22" s="270">
        <f>Q20+R20+S20+T20+U20+V20+W20+X20</f>
        <v>4015</v>
      </c>
      <c r="T22" s="271"/>
      <c r="U22" s="272"/>
      <c r="V22" s="5"/>
      <c r="W22" s="5"/>
      <c r="X22" s="5"/>
    </row>
    <row r="23" spans="1:24" s="80" customFormat="1" ht="21" x14ac:dyDescent="0.35">
      <c r="A23" s="80" t="s">
        <v>26</v>
      </c>
      <c r="B23" s="235"/>
      <c r="C23" s="129"/>
      <c r="D23" s="78"/>
      <c r="E23" s="78"/>
      <c r="F23" s="236"/>
      <c r="G23" s="237"/>
      <c r="H23" s="237"/>
      <c r="I23" s="78"/>
      <c r="J23" s="78"/>
      <c r="K23" s="78"/>
      <c r="L23" s="71"/>
      <c r="M23" s="74"/>
      <c r="N23" s="74"/>
      <c r="O23" s="235"/>
      <c r="Q23" s="78"/>
      <c r="R23" s="78"/>
      <c r="S23" s="236"/>
      <c r="T23" s="237"/>
      <c r="U23" s="237"/>
      <c r="V23" s="78"/>
      <c r="W23" s="78"/>
      <c r="X23" s="78"/>
    </row>
  </sheetData>
  <mergeCells count="6">
    <mergeCell ref="C3:K3"/>
    <mergeCell ref="O3:W3"/>
    <mergeCell ref="I4:K4"/>
    <mergeCell ref="V4:X4"/>
    <mergeCell ref="F22:H22"/>
    <mergeCell ref="S22:U22"/>
  </mergeCells>
  <pageMargins left="0.25" right="0.25" top="0.37" bottom="0.3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169"/>
  <sheetViews>
    <sheetView workbookViewId="0">
      <selection sqref="A1:XFD23"/>
    </sheetView>
  </sheetViews>
  <sheetFormatPr baseColWidth="10" defaultRowHeight="15" x14ac:dyDescent="0.25"/>
  <cols>
    <col min="1" max="1" width="3.85546875" customWidth="1"/>
    <col min="3" max="3" width="28.140625" customWidth="1"/>
    <col min="6" max="6" width="13.140625" customWidth="1"/>
    <col min="10" max="10" width="14" customWidth="1"/>
    <col min="12" max="12" width="12.85546875" customWidth="1"/>
    <col min="13" max="13" width="5" customWidth="1"/>
    <col min="14" max="14" width="16.85546875" customWidth="1"/>
    <col min="16" max="16" width="31.5703125" customWidth="1"/>
    <col min="19" max="19" width="12.5703125" customWidth="1"/>
    <col min="23" max="23" width="12.5703125" customWidth="1"/>
    <col min="25" max="25" width="10.5703125" customWidth="1"/>
  </cols>
  <sheetData>
    <row r="1" spans="2:27" ht="15.75" thickBot="1" x14ac:dyDescent="0.3"/>
    <row r="2" spans="2:27" ht="22.5" thickTop="1" thickBot="1" x14ac:dyDescent="0.4">
      <c r="B2" s="7"/>
      <c r="C2" s="260" t="s">
        <v>36</v>
      </c>
      <c r="D2" s="261"/>
      <c r="E2" s="261"/>
      <c r="F2" s="261"/>
      <c r="G2" s="261"/>
      <c r="H2" s="261"/>
      <c r="I2" s="261"/>
      <c r="J2" s="261"/>
      <c r="K2" s="261"/>
      <c r="L2" s="128" t="s">
        <v>208</v>
      </c>
      <c r="M2" s="133"/>
      <c r="N2" s="81"/>
      <c r="O2" s="262" t="s">
        <v>19</v>
      </c>
      <c r="P2" s="263"/>
      <c r="Q2" s="263"/>
      <c r="R2" s="263"/>
      <c r="S2" s="263"/>
      <c r="T2" s="263"/>
      <c r="U2" s="263"/>
      <c r="V2" s="263"/>
      <c r="W2" s="263"/>
      <c r="X2" s="190" t="str">
        <f>L2</f>
        <v># 05</v>
      </c>
    </row>
    <row r="3" spans="2:27" ht="16.5" thickBot="1" x14ac:dyDescent="0.3">
      <c r="B3" s="7"/>
      <c r="C3" s="1"/>
      <c r="I3" s="264" t="s">
        <v>321</v>
      </c>
      <c r="J3" s="265"/>
      <c r="K3" s="266"/>
      <c r="L3" s="68"/>
      <c r="M3" s="134"/>
      <c r="N3" s="74"/>
      <c r="O3" s="7"/>
      <c r="V3" s="264" t="str">
        <f>I3</f>
        <v>del   25- al  30   NOVIEMBRE  2023</v>
      </c>
      <c r="W3" s="265"/>
      <c r="X3" s="266"/>
    </row>
    <row r="4" spans="2:27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7" ht="51" x14ac:dyDescent="0.25">
      <c r="B5" s="93" t="s">
        <v>322</v>
      </c>
      <c r="C5" s="234" t="s">
        <v>323</v>
      </c>
      <c r="D5" s="72"/>
      <c r="E5" s="72"/>
      <c r="F5" s="72"/>
      <c r="G5" s="72"/>
      <c r="H5" s="72"/>
      <c r="I5" s="72"/>
      <c r="J5" s="72"/>
      <c r="K5" s="104">
        <f>1789+874+441+833--455+2016</f>
        <v>6408</v>
      </c>
      <c r="L5" s="71"/>
      <c r="M5" s="131"/>
      <c r="N5" s="74"/>
      <c r="O5" s="93" t="s">
        <v>322</v>
      </c>
      <c r="P5" s="234" t="s">
        <v>335</v>
      </c>
      <c r="Q5" s="72"/>
      <c r="R5" s="72"/>
      <c r="S5" s="72"/>
      <c r="T5" s="72"/>
      <c r="U5" s="72"/>
      <c r="V5" s="72"/>
      <c r="W5" s="72"/>
      <c r="X5" s="72">
        <f>816+3500+420+1719+3224+280</f>
        <v>9959</v>
      </c>
      <c r="AA5" t="s">
        <v>26</v>
      </c>
    </row>
    <row r="6" spans="2:27" ht="67.5" customHeight="1" x14ac:dyDescent="0.25">
      <c r="B6" s="93" t="s">
        <v>322</v>
      </c>
      <c r="C6" s="44" t="s">
        <v>325</v>
      </c>
      <c r="D6" s="67"/>
      <c r="E6" s="67"/>
      <c r="F6" s="67">
        <f>455+110+250+1210+300</f>
        <v>2325</v>
      </c>
      <c r="G6" s="67"/>
      <c r="H6" s="67"/>
      <c r="I6" s="67"/>
      <c r="J6" s="67"/>
      <c r="K6" s="67"/>
      <c r="L6" s="67"/>
      <c r="M6" s="131"/>
      <c r="N6" s="74"/>
      <c r="O6" s="93" t="s">
        <v>322</v>
      </c>
      <c r="P6" s="44" t="s">
        <v>330</v>
      </c>
      <c r="Q6" s="67"/>
      <c r="R6" s="67"/>
      <c r="S6" s="67">
        <f>845+2185+1150+18</f>
        <v>4198</v>
      </c>
      <c r="T6" s="67"/>
      <c r="U6" s="67"/>
      <c r="V6" s="67"/>
      <c r="W6" s="67"/>
      <c r="X6" s="67"/>
    </row>
    <row r="7" spans="2:27" ht="54" customHeight="1" x14ac:dyDescent="0.25">
      <c r="B7" s="93" t="s">
        <v>322</v>
      </c>
      <c r="C7" s="44" t="s">
        <v>324</v>
      </c>
      <c r="D7" s="67"/>
      <c r="E7" s="67"/>
      <c r="F7" s="67"/>
      <c r="G7" s="67">
        <v>73</v>
      </c>
      <c r="H7" s="67"/>
      <c r="I7" s="67"/>
      <c r="J7" s="67"/>
      <c r="K7" s="67"/>
      <c r="L7" s="67"/>
      <c r="M7" s="131"/>
      <c r="N7" s="74"/>
      <c r="O7" s="93" t="s">
        <v>322</v>
      </c>
      <c r="P7" s="44" t="s">
        <v>331</v>
      </c>
      <c r="Q7" s="67">
        <f>120+170+180+254+567</f>
        <v>1291</v>
      </c>
      <c r="R7" s="67"/>
      <c r="S7" s="67"/>
      <c r="T7" s="67"/>
      <c r="U7" s="67"/>
      <c r="V7" s="67"/>
      <c r="W7" s="67"/>
      <c r="X7" s="67"/>
    </row>
    <row r="8" spans="2:27" ht="54" customHeight="1" x14ac:dyDescent="0.25">
      <c r="B8" s="93" t="s">
        <v>322</v>
      </c>
      <c r="C8" s="96" t="s">
        <v>326</v>
      </c>
      <c r="D8" s="67">
        <f>85+160+159+160+254</f>
        <v>818</v>
      </c>
      <c r="E8" s="67"/>
      <c r="F8" s="67"/>
      <c r="G8" s="67"/>
      <c r="H8" s="67"/>
      <c r="I8" s="67"/>
      <c r="J8" s="67"/>
      <c r="K8" s="67"/>
      <c r="L8" s="67"/>
      <c r="M8" s="131"/>
      <c r="N8" s="74"/>
      <c r="O8" s="93" t="s">
        <v>322</v>
      </c>
      <c r="P8" s="239" t="s">
        <v>332</v>
      </c>
      <c r="Q8" s="67"/>
      <c r="R8" s="67"/>
      <c r="S8" s="67"/>
      <c r="T8" s="67">
        <f>40+40+66</f>
        <v>146</v>
      </c>
      <c r="U8" s="67"/>
      <c r="V8" s="67"/>
      <c r="W8" s="67"/>
      <c r="X8" s="67"/>
    </row>
    <row r="9" spans="2:27" ht="48.75" thickBot="1" x14ac:dyDescent="0.3">
      <c r="B9" s="93" t="s">
        <v>322</v>
      </c>
      <c r="C9" s="44" t="s">
        <v>327</v>
      </c>
      <c r="D9" s="67"/>
      <c r="E9" s="67"/>
      <c r="F9" s="67"/>
      <c r="G9" s="67"/>
      <c r="H9" s="67"/>
      <c r="I9" s="67"/>
      <c r="J9" s="67">
        <f>123.5+1813.5+74.5+61.5</f>
        <v>2073</v>
      </c>
      <c r="K9" s="67"/>
      <c r="L9" s="67"/>
      <c r="M9" s="131"/>
      <c r="N9" s="74"/>
      <c r="O9" s="93" t="s">
        <v>322</v>
      </c>
      <c r="P9" s="95" t="s">
        <v>4</v>
      </c>
      <c r="Q9" s="67"/>
      <c r="R9" s="67"/>
      <c r="S9" s="67"/>
      <c r="T9" s="67"/>
      <c r="U9" s="67">
        <v>803</v>
      </c>
      <c r="V9" s="67"/>
      <c r="W9" s="67"/>
      <c r="X9" s="67"/>
      <c r="Y9" s="242"/>
    </row>
    <row r="10" spans="2:27" ht="43.5" customHeight="1" thickBot="1" x14ac:dyDescent="0.3">
      <c r="B10" s="93" t="s">
        <v>322</v>
      </c>
      <c r="C10" s="254" t="s">
        <v>12</v>
      </c>
      <c r="D10" s="67"/>
      <c r="E10" s="67"/>
      <c r="F10" s="67"/>
      <c r="G10" s="67"/>
      <c r="H10" s="67"/>
      <c r="I10" s="67">
        <v>389</v>
      </c>
      <c r="J10" s="67"/>
      <c r="K10" s="67"/>
      <c r="L10" s="67"/>
      <c r="M10" s="131"/>
      <c r="N10" s="74"/>
      <c r="O10" s="93" t="s">
        <v>322</v>
      </c>
      <c r="P10" s="259" t="s">
        <v>333</v>
      </c>
      <c r="Q10" s="72"/>
      <c r="R10" s="72">
        <f>25+1544.5</f>
        <v>1569.5</v>
      </c>
      <c r="S10" s="72"/>
      <c r="T10" s="72"/>
      <c r="U10" s="72"/>
      <c r="V10" s="72"/>
      <c r="W10" s="72"/>
      <c r="X10" s="255"/>
      <c r="Y10" s="258" t="s">
        <v>314</v>
      </c>
    </row>
    <row r="11" spans="2:27" ht="60" x14ac:dyDescent="0.25">
      <c r="B11" s="93" t="s">
        <v>322</v>
      </c>
      <c r="C11" s="44" t="s">
        <v>328</v>
      </c>
      <c r="D11" s="67"/>
      <c r="E11" s="67">
        <v>76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322</v>
      </c>
      <c r="P11" s="293" t="s">
        <v>334</v>
      </c>
      <c r="Q11" s="72"/>
      <c r="R11" s="72"/>
      <c r="S11" s="72"/>
      <c r="T11" s="72"/>
      <c r="U11" s="72"/>
      <c r="V11" s="72"/>
      <c r="W11" s="72">
        <f>91.5+1528+127+49</f>
        <v>1795.5</v>
      </c>
      <c r="X11" s="67"/>
      <c r="Y11" s="129"/>
    </row>
    <row r="12" spans="2:27" ht="49.5" customHeight="1" x14ac:dyDescent="0.25">
      <c r="B12" s="93" t="s">
        <v>322</v>
      </c>
      <c r="C12" s="95" t="s">
        <v>96</v>
      </c>
      <c r="D12" s="67"/>
      <c r="E12" s="67"/>
      <c r="F12" s="67"/>
      <c r="G12" s="67"/>
      <c r="H12" s="67">
        <f>102+102+102+204</f>
        <v>510</v>
      </c>
      <c r="I12" s="67"/>
      <c r="J12" s="67"/>
      <c r="K12" s="67"/>
      <c r="L12" s="67"/>
      <c r="M12" s="131"/>
      <c r="N12" s="74"/>
      <c r="O12" s="93" t="s">
        <v>322</v>
      </c>
      <c r="P12" s="195" t="s">
        <v>140</v>
      </c>
      <c r="Q12" s="72"/>
      <c r="R12" s="72"/>
      <c r="S12" s="72"/>
      <c r="T12" s="72"/>
      <c r="U12" s="72"/>
      <c r="V12" s="72">
        <f>689+800+800+800+2935</f>
        <v>6024</v>
      </c>
      <c r="W12" s="72"/>
      <c r="X12" s="67"/>
    </row>
    <row r="13" spans="2:27" ht="44.25" customHeight="1" x14ac:dyDescent="0.25">
      <c r="B13" s="93" t="s">
        <v>322</v>
      </c>
      <c r="C13" s="95" t="s">
        <v>239</v>
      </c>
      <c r="D13" s="67"/>
      <c r="E13" s="67"/>
      <c r="F13" s="67"/>
      <c r="G13" s="67"/>
      <c r="H13" s="67">
        <f>330+330+420</f>
        <v>1080</v>
      </c>
      <c r="I13" s="67"/>
      <c r="J13" s="67"/>
      <c r="K13" s="67"/>
      <c r="L13" s="67"/>
      <c r="M13" s="131"/>
      <c r="N13" s="74"/>
      <c r="O13" s="93" t="s">
        <v>322</v>
      </c>
      <c r="P13" s="192" t="s">
        <v>217</v>
      </c>
      <c r="Q13" s="72"/>
      <c r="R13" s="72"/>
      <c r="S13" s="72"/>
      <c r="T13" s="72"/>
      <c r="U13" s="72"/>
      <c r="V13" s="72">
        <f>255+187+272+204</f>
        <v>918</v>
      </c>
      <c r="W13" s="72"/>
      <c r="X13" s="67"/>
    </row>
    <row r="14" spans="2:27" ht="36.75" customHeight="1" thickBot="1" x14ac:dyDescent="0.3">
      <c r="B14" s="93" t="s">
        <v>322</v>
      </c>
      <c r="C14" s="42" t="s">
        <v>146</v>
      </c>
      <c r="D14" s="67"/>
      <c r="E14" s="67"/>
      <c r="F14" s="67"/>
      <c r="G14" s="67"/>
      <c r="H14" s="67"/>
      <c r="I14" s="67"/>
      <c r="J14" s="67"/>
      <c r="K14" s="67"/>
      <c r="L14" s="11">
        <v>500</v>
      </c>
      <c r="M14" s="131"/>
      <c r="N14" s="74"/>
      <c r="O14" s="93" t="s">
        <v>322</v>
      </c>
      <c r="P14" s="194"/>
      <c r="Q14" s="72"/>
      <c r="R14" s="72"/>
      <c r="S14" s="72"/>
      <c r="T14" s="72"/>
      <c r="U14" s="72"/>
      <c r="V14" s="72"/>
      <c r="W14" s="72"/>
      <c r="X14" s="67"/>
    </row>
    <row r="15" spans="2:27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7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1:27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1:27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1:27" ht="24" thickBot="1" x14ac:dyDescent="0.3">
      <c r="B19" s="7"/>
      <c r="C19" s="35" t="s">
        <v>18</v>
      </c>
      <c r="D19" s="30">
        <f>SUM(D5:D18)</f>
        <v>818</v>
      </c>
      <c r="E19" s="30">
        <f t="shared" ref="E19:L19" si="0">SUM(E5:E18)</f>
        <v>76</v>
      </c>
      <c r="F19" s="30">
        <f t="shared" si="0"/>
        <v>2325</v>
      </c>
      <c r="G19" s="30">
        <f t="shared" si="0"/>
        <v>73</v>
      </c>
      <c r="H19" s="30">
        <f t="shared" si="0"/>
        <v>1590</v>
      </c>
      <c r="I19" s="30">
        <f t="shared" si="0"/>
        <v>389</v>
      </c>
      <c r="J19" s="30">
        <f t="shared" si="0"/>
        <v>2073</v>
      </c>
      <c r="K19" s="30">
        <f t="shared" si="0"/>
        <v>6408</v>
      </c>
      <c r="L19" s="30">
        <f t="shared" si="0"/>
        <v>500</v>
      </c>
      <c r="M19" s="132"/>
      <c r="N19" s="74"/>
      <c r="O19" s="7"/>
      <c r="P19" s="33" t="s">
        <v>18</v>
      </c>
      <c r="Q19" s="21">
        <f t="shared" ref="Q19:X19" si="1">SUM(Q5:Q18)</f>
        <v>1291</v>
      </c>
      <c r="R19" s="21">
        <f t="shared" si="1"/>
        <v>1569.5</v>
      </c>
      <c r="S19" s="21">
        <f t="shared" si="1"/>
        <v>4198</v>
      </c>
      <c r="T19" s="21">
        <f t="shared" si="1"/>
        <v>146</v>
      </c>
      <c r="U19" s="21">
        <f t="shared" si="1"/>
        <v>803</v>
      </c>
      <c r="V19" s="21">
        <f t="shared" si="1"/>
        <v>6942</v>
      </c>
      <c r="W19" s="21">
        <f t="shared" si="1"/>
        <v>1795.5</v>
      </c>
      <c r="X19" s="21">
        <f t="shared" si="1"/>
        <v>9959</v>
      </c>
    </row>
    <row r="20" spans="1:27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1:27" ht="21.75" thickBot="1" x14ac:dyDescent="0.4">
      <c r="B21" s="7"/>
      <c r="C21" s="1"/>
      <c r="D21" s="5"/>
      <c r="E21" s="5"/>
      <c r="F21" s="267">
        <f>K19+J19+I19+H19+G19+F19+E19+D19+L19</f>
        <v>14252</v>
      </c>
      <c r="G21" s="268"/>
      <c r="H21" s="269"/>
      <c r="I21" s="5"/>
      <c r="J21" s="5"/>
      <c r="K21" s="5"/>
      <c r="L21" s="71"/>
      <c r="M21" s="74"/>
      <c r="N21" s="74"/>
      <c r="O21" s="7"/>
      <c r="Q21" s="5"/>
      <c r="R21" s="5"/>
      <c r="S21" s="270">
        <f>Q19+R19+S19+T19+U19+V19+W19+X19</f>
        <v>26704</v>
      </c>
      <c r="T21" s="271"/>
      <c r="U21" s="272"/>
      <c r="V21" s="5"/>
      <c r="W21" s="5"/>
      <c r="X21" s="5"/>
    </row>
    <row r="22" spans="1:27" s="80" customFormat="1" ht="21" x14ac:dyDescent="0.35">
      <c r="A22" s="80" t="s">
        <v>26</v>
      </c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26" spans="1:27" x14ac:dyDescent="0.25">
      <c r="A26" s="246"/>
      <c r="B26" s="246"/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</row>
    <row r="27" spans="1:27" x14ac:dyDescent="0.25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</row>
    <row r="28" spans="1:27" ht="15.75" thickBot="1" x14ac:dyDescent="0.3"/>
    <row r="29" spans="1:27" ht="22.5" thickTop="1" thickBot="1" x14ac:dyDescent="0.4">
      <c r="B29" s="7"/>
      <c r="C29" s="260" t="s">
        <v>36</v>
      </c>
      <c r="D29" s="261"/>
      <c r="E29" s="261"/>
      <c r="F29" s="261"/>
      <c r="G29" s="261"/>
      <c r="H29" s="261"/>
      <c r="I29" s="261"/>
      <c r="J29" s="261"/>
      <c r="K29" s="261"/>
      <c r="L29" s="128" t="s">
        <v>208</v>
      </c>
      <c r="M29" s="133"/>
      <c r="N29" s="81"/>
      <c r="O29" s="262" t="s">
        <v>19</v>
      </c>
      <c r="P29" s="263"/>
      <c r="Q29" s="263"/>
      <c r="R29" s="263"/>
      <c r="S29" s="263"/>
      <c r="T29" s="263"/>
      <c r="U29" s="263"/>
      <c r="V29" s="263"/>
      <c r="W29" s="263"/>
      <c r="X29" s="190" t="str">
        <f>L29</f>
        <v># 05</v>
      </c>
    </row>
    <row r="30" spans="1:27" ht="16.5" thickBot="1" x14ac:dyDescent="0.3">
      <c r="B30" s="7"/>
      <c r="C30" s="1"/>
      <c r="I30" s="264" t="s">
        <v>321</v>
      </c>
      <c r="J30" s="265"/>
      <c r="K30" s="266"/>
      <c r="L30" s="68"/>
      <c r="M30" s="134"/>
      <c r="N30" s="74"/>
      <c r="O30" s="7"/>
      <c r="V30" s="264" t="str">
        <f>I30</f>
        <v>del   25- al  30   NOVIEMBRE  2023</v>
      </c>
      <c r="W30" s="265"/>
      <c r="X30" s="266"/>
    </row>
    <row r="31" spans="1:27" ht="64.5" thickTop="1" thickBot="1" x14ac:dyDescent="0.3">
      <c r="B31" s="6" t="s">
        <v>0</v>
      </c>
      <c r="C31" s="24" t="s">
        <v>1</v>
      </c>
      <c r="D31" s="25" t="s">
        <v>2</v>
      </c>
      <c r="E31" s="26" t="s">
        <v>7</v>
      </c>
      <c r="F31" s="56" t="s">
        <v>38</v>
      </c>
      <c r="G31" s="25" t="s">
        <v>3</v>
      </c>
      <c r="H31" s="27" t="s">
        <v>22</v>
      </c>
      <c r="I31" s="184" t="s">
        <v>4</v>
      </c>
      <c r="J31" s="61" t="s">
        <v>8</v>
      </c>
      <c r="K31" s="183" t="s">
        <v>5</v>
      </c>
      <c r="L31" s="99" t="s">
        <v>46</v>
      </c>
      <c r="M31" s="135"/>
      <c r="N31" s="82"/>
      <c r="O31" s="36" t="s">
        <v>0</v>
      </c>
      <c r="P31" s="143" t="s">
        <v>1</v>
      </c>
      <c r="Q31" s="137" t="s">
        <v>2</v>
      </c>
      <c r="R31" s="138" t="s">
        <v>16</v>
      </c>
      <c r="S31" s="138" t="s">
        <v>38</v>
      </c>
      <c r="T31" s="137" t="s">
        <v>3</v>
      </c>
      <c r="U31" s="137" t="s">
        <v>4</v>
      </c>
      <c r="V31" s="141" t="s">
        <v>25</v>
      </c>
      <c r="W31" s="136" t="s">
        <v>8</v>
      </c>
      <c r="X31" s="142" t="s">
        <v>5</v>
      </c>
    </row>
    <row r="32" spans="1:27" ht="51" x14ac:dyDescent="0.25">
      <c r="B32" s="93" t="s">
        <v>322</v>
      </c>
      <c r="C32" s="234" t="s">
        <v>323</v>
      </c>
      <c r="D32" s="72"/>
      <c r="E32" s="72"/>
      <c r="F32" s="72"/>
      <c r="G32" s="72"/>
      <c r="H32" s="72"/>
      <c r="I32" s="72"/>
      <c r="J32" s="72"/>
      <c r="K32" s="72">
        <f>1789+874+441+833--455+2016</f>
        <v>6408</v>
      </c>
      <c r="L32" s="71"/>
      <c r="M32" s="131"/>
      <c r="N32" s="74"/>
      <c r="O32" s="93" t="s">
        <v>322</v>
      </c>
      <c r="P32" s="234" t="s">
        <v>329</v>
      </c>
      <c r="Q32" s="72"/>
      <c r="R32" s="72"/>
      <c r="S32" s="72"/>
      <c r="T32" s="72"/>
      <c r="U32" s="72"/>
      <c r="V32" s="72"/>
      <c r="W32" s="72"/>
      <c r="X32" s="72">
        <f>816+3500+420+1719+3224</f>
        <v>9679</v>
      </c>
      <c r="AA32" t="s">
        <v>26</v>
      </c>
    </row>
    <row r="33" spans="2:25" ht="67.5" customHeight="1" x14ac:dyDescent="0.25">
      <c r="B33" s="93" t="s">
        <v>322</v>
      </c>
      <c r="C33" s="44" t="s">
        <v>325</v>
      </c>
      <c r="D33" s="67"/>
      <c r="E33" s="67"/>
      <c r="F33" s="67">
        <f>455+110-250+1210+300</f>
        <v>1825</v>
      </c>
      <c r="G33" s="67"/>
      <c r="H33" s="67"/>
      <c r="I33" s="67"/>
      <c r="J33" s="67"/>
      <c r="K33" s="67"/>
      <c r="L33" s="67"/>
      <c r="M33" s="131"/>
      <c r="N33" s="74"/>
      <c r="O33" s="93" t="s">
        <v>322</v>
      </c>
      <c r="P33" s="44" t="s">
        <v>330</v>
      </c>
      <c r="Q33" s="67"/>
      <c r="R33" s="67"/>
      <c r="S33" s="67">
        <f>845+2185+1150+18</f>
        <v>4198</v>
      </c>
      <c r="T33" s="67"/>
      <c r="U33" s="67"/>
      <c r="V33" s="67"/>
      <c r="W33" s="67"/>
      <c r="X33" s="67"/>
    </row>
    <row r="34" spans="2:25" ht="54" customHeight="1" x14ac:dyDescent="0.25">
      <c r="B34" s="93" t="s">
        <v>322</v>
      </c>
      <c r="C34" s="44" t="s">
        <v>324</v>
      </c>
      <c r="D34" s="67"/>
      <c r="E34" s="67"/>
      <c r="F34" s="67"/>
      <c r="G34" s="67">
        <v>73</v>
      </c>
      <c r="H34" s="67"/>
      <c r="I34" s="67"/>
      <c r="J34" s="67"/>
      <c r="K34" s="67"/>
      <c r="L34" s="67"/>
      <c r="M34" s="131"/>
      <c r="N34" s="74"/>
      <c r="O34" s="93" t="s">
        <v>322</v>
      </c>
      <c r="P34" s="44" t="s">
        <v>331</v>
      </c>
      <c r="Q34" s="67">
        <f>120+170+180+254+567</f>
        <v>1291</v>
      </c>
      <c r="R34" s="67"/>
      <c r="S34" s="67"/>
      <c r="T34" s="67"/>
      <c r="U34" s="67"/>
      <c r="V34" s="67"/>
      <c r="W34" s="67"/>
      <c r="X34" s="67"/>
    </row>
    <row r="35" spans="2:25" ht="54" customHeight="1" x14ac:dyDescent="0.25">
      <c r="B35" s="93" t="s">
        <v>322</v>
      </c>
      <c r="C35" s="96" t="s">
        <v>326</v>
      </c>
      <c r="D35" s="67">
        <f>85+160+159+160+254</f>
        <v>818</v>
      </c>
      <c r="E35" s="67"/>
      <c r="F35" s="67"/>
      <c r="G35" s="67"/>
      <c r="H35" s="67"/>
      <c r="I35" s="67"/>
      <c r="J35" s="67"/>
      <c r="K35" s="67"/>
      <c r="L35" s="67"/>
      <c r="M35" s="131"/>
      <c r="N35" s="74"/>
      <c r="O35" s="93" t="s">
        <v>322</v>
      </c>
      <c r="P35" s="239" t="s">
        <v>332</v>
      </c>
      <c r="Q35" s="67"/>
      <c r="R35" s="67"/>
      <c r="S35" s="67"/>
      <c r="T35" s="67">
        <f>40+40+66</f>
        <v>146</v>
      </c>
      <c r="U35" s="67"/>
      <c r="V35" s="67"/>
      <c r="W35" s="67"/>
      <c r="X35" s="67"/>
    </row>
    <row r="36" spans="2:25" ht="48.75" thickBot="1" x14ac:dyDescent="0.3">
      <c r="B36" s="93" t="s">
        <v>322</v>
      </c>
      <c r="C36" s="44" t="s">
        <v>327</v>
      </c>
      <c r="D36" s="67"/>
      <c r="E36" s="67"/>
      <c r="F36" s="67"/>
      <c r="G36" s="67"/>
      <c r="H36" s="67"/>
      <c r="I36" s="67"/>
      <c r="J36" s="67">
        <f>123.5+1813.5+74.5+61.5</f>
        <v>2073</v>
      </c>
      <c r="K36" s="67"/>
      <c r="L36" s="67"/>
      <c r="M36" s="131"/>
      <c r="N36" s="74"/>
      <c r="O36" s="93" t="s">
        <v>322</v>
      </c>
      <c r="P36" s="95" t="s">
        <v>4</v>
      </c>
      <c r="Q36" s="67"/>
      <c r="R36" s="67"/>
      <c r="S36" s="67"/>
      <c r="T36" s="67"/>
      <c r="U36" s="67">
        <v>803</v>
      </c>
      <c r="V36" s="67"/>
      <c r="W36" s="67"/>
      <c r="X36" s="67"/>
      <c r="Y36" s="242"/>
    </row>
    <row r="37" spans="2:25" ht="43.5" customHeight="1" thickBot="1" x14ac:dyDescent="0.3">
      <c r="B37" s="93" t="s">
        <v>322</v>
      </c>
      <c r="C37" s="254" t="s">
        <v>12</v>
      </c>
      <c r="D37" s="67"/>
      <c r="E37" s="67"/>
      <c r="F37" s="67"/>
      <c r="G37" s="67"/>
      <c r="H37" s="67"/>
      <c r="I37" s="67">
        <v>389</v>
      </c>
      <c r="J37" s="67"/>
      <c r="K37" s="67"/>
      <c r="L37" s="67"/>
      <c r="M37" s="131"/>
      <c r="N37" s="74"/>
      <c r="O37" s="93" t="s">
        <v>322</v>
      </c>
      <c r="P37" s="259" t="s">
        <v>333</v>
      </c>
      <c r="Q37" s="72"/>
      <c r="R37" s="72">
        <f>25+1544.5</f>
        <v>1569.5</v>
      </c>
      <c r="S37" s="72"/>
      <c r="T37" s="72"/>
      <c r="U37" s="72"/>
      <c r="V37" s="72"/>
      <c r="W37" s="72"/>
      <c r="X37" s="255"/>
      <c r="Y37" s="258" t="s">
        <v>314</v>
      </c>
    </row>
    <row r="38" spans="2:25" ht="60" x14ac:dyDescent="0.25">
      <c r="B38" s="93" t="s">
        <v>322</v>
      </c>
      <c r="C38" s="44" t="s">
        <v>328</v>
      </c>
      <c r="D38" s="67"/>
      <c r="E38" s="67">
        <v>76</v>
      </c>
      <c r="F38" s="67"/>
      <c r="G38" s="67"/>
      <c r="H38" s="67"/>
      <c r="I38" s="67"/>
      <c r="J38" s="94"/>
      <c r="K38" s="67"/>
      <c r="L38" s="67"/>
      <c r="M38" s="131"/>
      <c r="N38" s="74"/>
      <c r="O38" s="93" t="s">
        <v>322</v>
      </c>
      <c r="P38" s="293" t="s">
        <v>334</v>
      </c>
      <c r="Q38" s="72"/>
      <c r="R38" s="72"/>
      <c r="S38" s="72"/>
      <c r="T38" s="72"/>
      <c r="U38" s="72"/>
      <c r="V38" s="72"/>
      <c r="W38" s="72">
        <f>91.5+1528+127+49</f>
        <v>1795.5</v>
      </c>
      <c r="X38" s="67"/>
      <c r="Y38" s="129"/>
    </row>
    <row r="39" spans="2:25" ht="49.5" customHeight="1" x14ac:dyDescent="0.25">
      <c r="B39" s="93" t="s">
        <v>322</v>
      </c>
      <c r="C39" s="95" t="s">
        <v>96</v>
      </c>
      <c r="D39" s="67"/>
      <c r="E39" s="67"/>
      <c r="F39" s="67"/>
      <c r="G39" s="67"/>
      <c r="H39" s="67">
        <f>102+102+102+204</f>
        <v>510</v>
      </c>
      <c r="I39" s="67"/>
      <c r="J39" s="67"/>
      <c r="K39" s="67"/>
      <c r="L39" s="67"/>
      <c r="M39" s="131"/>
      <c r="N39" s="74"/>
      <c r="O39" s="93" t="s">
        <v>322</v>
      </c>
      <c r="P39" s="90" t="s">
        <v>140</v>
      </c>
      <c r="Q39" s="72"/>
      <c r="R39" s="72"/>
      <c r="S39" s="72"/>
      <c r="T39" s="72"/>
      <c r="U39" s="72"/>
      <c r="V39" s="72">
        <f>689+800+800</f>
        <v>2289</v>
      </c>
      <c r="W39" s="72"/>
      <c r="X39" s="67"/>
    </row>
    <row r="40" spans="2:25" ht="44.25" customHeight="1" x14ac:dyDescent="0.25">
      <c r="B40" s="93" t="s">
        <v>322</v>
      </c>
      <c r="C40" s="95" t="s">
        <v>239</v>
      </c>
      <c r="D40" s="67"/>
      <c r="E40" s="67"/>
      <c r="F40" s="67"/>
      <c r="G40" s="67"/>
      <c r="H40" s="67">
        <f>330+330+420</f>
        <v>1080</v>
      </c>
      <c r="I40" s="67"/>
      <c r="J40" s="67"/>
      <c r="K40" s="67"/>
      <c r="L40" s="67"/>
      <c r="M40" s="131"/>
      <c r="N40" s="74"/>
      <c r="O40" s="93" t="s">
        <v>322</v>
      </c>
      <c r="P40" s="192" t="s">
        <v>217</v>
      </c>
      <c r="Q40" s="72"/>
      <c r="R40" s="72"/>
      <c r="S40" s="72"/>
      <c r="T40" s="72"/>
      <c r="U40" s="72"/>
      <c r="V40" s="72">
        <f>255+187+272+204</f>
        <v>918</v>
      </c>
      <c r="W40" s="72"/>
      <c r="X40" s="67"/>
    </row>
    <row r="41" spans="2:25" ht="36.75" customHeight="1" thickBot="1" x14ac:dyDescent="0.3">
      <c r="B41" s="93" t="s">
        <v>322</v>
      </c>
      <c r="C41" s="42" t="s">
        <v>146</v>
      </c>
      <c r="D41" s="67"/>
      <c r="E41" s="67"/>
      <c r="F41" s="67"/>
      <c r="G41" s="67"/>
      <c r="H41" s="67"/>
      <c r="I41" s="67"/>
      <c r="J41" s="67"/>
      <c r="K41" s="67"/>
      <c r="L41" s="11">
        <v>500</v>
      </c>
      <c r="M41" s="131"/>
      <c r="N41" s="74"/>
      <c r="O41" s="93" t="s">
        <v>322</v>
      </c>
      <c r="P41" s="194"/>
      <c r="Q41" s="72"/>
      <c r="R41" s="72"/>
      <c r="S41" s="72"/>
      <c r="T41" s="72"/>
      <c r="U41" s="72"/>
      <c r="V41" s="72"/>
      <c r="W41" s="72"/>
      <c r="X41" s="67"/>
    </row>
    <row r="42" spans="2:25" ht="15.75" hidden="1" thickBot="1" x14ac:dyDescent="0.3">
      <c r="B42" s="93"/>
      <c r="C42" s="95"/>
      <c r="D42" s="67"/>
      <c r="E42" s="67"/>
      <c r="F42" s="67"/>
      <c r="G42" s="67"/>
      <c r="H42" s="67"/>
      <c r="I42" s="67"/>
      <c r="J42" s="67"/>
      <c r="K42" s="67"/>
      <c r="L42" s="11"/>
      <c r="M42" s="131"/>
      <c r="N42" s="74"/>
      <c r="O42" s="93"/>
      <c r="P42" s="88"/>
      <c r="Q42" s="72"/>
      <c r="R42" s="72"/>
      <c r="S42" s="72"/>
      <c r="T42" s="72"/>
      <c r="U42" s="72"/>
      <c r="V42" s="72"/>
      <c r="W42" s="72"/>
      <c r="X42" s="67"/>
    </row>
    <row r="43" spans="2:25" ht="15.75" hidden="1" thickBot="1" x14ac:dyDescent="0.3">
      <c r="B43" s="93"/>
      <c r="C43" s="10"/>
      <c r="D43" s="67"/>
      <c r="E43" s="67"/>
      <c r="F43" s="67"/>
      <c r="G43" s="67"/>
      <c r="H43" s="67"/>
      <c r="I43" s="67"/>
      <c r="J43" s="67"/>
      <c r="K43" s="67"/>
      <c r="L43" s="11"/>
      <c r="M43" s="131"/>
      <c r="N43" s="74"/>
      <c r="O43" s="93"/>
      <c r="P43" s="91"/>
      <c r="Q43" s="67"/>
      <c r="R43" s="67"/>
      <c r="S43" s="67"/>
      <c r="T43" s="67"/>
      <c r="U43" s="67"/>
      <c r="V43" s="67"/>
      <c r="W43" s="67"/>
      <c r="X43" s="67"/>
    </row>
    <row r="44" spans="2:25" ht="15.75" hidden="1" thickBot="1" x14ac:dyDescent="0.3">
      <c r="B44" s="93"/>
      <c r="C44" s="10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93"/>
      <c r="P44" s="91"/>
      <c r="Q44" s="67"/>
      <c r="R44" s="67"/>
      <c r="S44" s="67"/>
      <c r="T44" s="67"/>
      <c r="U44" s="67"/>
      <c r="V44" s="67"/>
      <c r="W44" s="67"/>
      <c r="X44" s="67"/>
    </row>
    <row r="45" spans="2:25" ht="15.75" hidden="1" thickBot="1" x14ac:dyDescent="0.3">
      <c r="B45" s="9"/>
      <c r="C45" s="34"/>
      <c r="D45" s="73"/>
      <c r="E45" s="73"/>
      <c r="F45" s="73"/>
      <c r="G45" s="73"/>
      <c r="H45" s="73"/>
      <c r="I45" s="73"/>
      <c r="J45" s="73"/>
      <c r="K45" s="73"/>
      <c r="L45" s="20"/>
      <c r="M45" s="131"/>
      <c r="N45" s="74"/>
      <c r="O45" s="46"/>
      <c r="P45" s="51"/>
      <c r="Q45" s="73">
        <v>0</v>
      </c>
      <c r="R45" s="73"/>
      <c r="S45" s="73"/>
      <c r="T45" s="73"/>
      <c r="U45" s="73"/>
      <c r="V45" s="73"/>
      <c r="W45" s="73"/>
      <c r="X45" s="73"/>
    </row>
    <row r="46" spans="2:25" ht="24" thickBot="1" x14ac:dyDescent="0.3">
      <c r="B46" s="7"/>
      <c r="C46" s="35" t="s">
        <v>18</v>
      </c>
      <c r="D46" s="30">
        <f>SUM(D32:D45)</f>
        <v>818</v>
      </c>
      <c r="E46" s="30">
        <f t="shared" ref="E46:L46" si="2">SUM(E32:E45)</f>
        <v>76</v>
      </c>
      <c r="F46" s="30">
        <f t="shared" si="2"/>
        <v>1825</v>
      </c>
      <c r="G46" s="30">
        <f t="shared" si="2"/>
        <v>73</v>
      </c>
      <c r="H46" s="30">
        <f t="shared" si="2"/>
        <v>1590</v>
      </c>
      <c r="I46" s="30">
        <f t="shared" si="2"/>
        <v>389</v>
      </c>
      <c r="J46" s="30">
        <f t="shared" si="2"/>
        <v>2073</v>
      </c>
      <c r="K46" s="30">
        <f t="shared" si="2"/>
        <v>6408</v>
      </c>
      <c r="L46" s="30">
        <f t="shared" si="2"/>
        <v>500</v>
      </c>
      <c r="M46" s="132"/>
      <c r="N46" s="74"/>
      <c r="O46" s="7"/>
      <c r="P46" s="33" t="s">
        <v>18</v>
      </c>
      <c r="Q46" s="21">
        <f t="shared" ref="Q46:X46" si="3">SUM(Q32:Q45)</f>
        <v>1291</v>
      </c>
      <c r="R46" s="21">
        <f t="shared" si="3"/>
        <v>1569.5</v>
      </c>
      <c r="S46" s="21">
        <f t="shared" si="3"/>
        <v>4198</v>
      </c>
      <c r="T46" s="21">
        <f t="shared" si="3"/>
        <v>146</v>
      </c>
      <c r="U46" s="21">
        <f t="shared" si="3"/>
        <v>803</v>
      </c>
      <c r="V46" s="21">
        <f t="shared" si="3"/>
        <v>3207</v>
      </c>
      <c r="W46" s="21">
        <f t="shared" si="3"/>
        <v>1795.5</v>
      </c>
      <c r="X46" s="21">
        <f t="shared" si="3"/>
        <v>9679</v>
      </c>
    </row>
    <row r="47" spans="2:25" ht="15.75" thickBot="1" x14ac:dyDescent="0.3">
      <c r="B47" s="7"/>
      <c r="C47" s="1"/>
      <c r="D47" s="5"/>
      <c r="E47" s="5"/>
      <c r="F47" s="5"/>
      <c r="G47" s="5"/>
      <c r="H47" s="5"/>
      <c r="I47" s="5"/>
      <c r="J47" s="5"/>
      <c r="K47" s="5"/>
      <c r="L47" s="78"/>
      <c r="M47" s="76"/>
      <c r="N47" s="74"/>
      <c r="O47" s="7"/>
      <c r="Q47" s="5"/>
      <c r="R47" s="5"/>
      <c r="S47" s="5"/>
      <c r="T47" s="5"/>
      <c r="U47" s="5"/>
      <c r="V47" s="5"/>
      <c r="W47" s="5"/>
      <c r="X47" s="5"/>
    </row>
    <row r="48" spans="2:25" ht="21.75" thickBot="1" x14ac:dyDescent="0.4">
      <c r="B48" s="7"/>
      <c r="C48" s="1"/>
      <c r="D48" s="5"/>
      <c r="E48" s="5"/>
      <c r="F48" s="267">
        <f>K46+J46+I46+H46+G46+F46+E46+D46+L46</f>
        <v>13752</v>
      </c>
      <c r="G48" s="268"/>
      <c r="H48" s="269"/>
      <c r="I48" s="5"/>
      <c r="J48" s="5"/>
      <c r="K48" s="5"/>
      <c r="L48" s="71"/>
      <c r="M48" s="74"/>
      <c r="N48" s="74"/>
      <c r="O48" s="7"/>
      <c r="Q48" s="5"/>
      <c r="R48" s="5"/>
      <c r="S48" s="270">
        <f>Q46+R46+S46+T46+U46+V46+W46+X46</f>
        <v>22689</v>
      </c>
      <c r="T48" s="271"/>
      <c r="U48" s="272"/>
      <c r="V48" s="5"/>
      <c r="W48" s="5"/>
      <c r="X48" s="5"/>
    </row>
    <row r="49" spans="1:27" s="80" customFormat="1" ht="21" x14ac:dyDescent="0.35">
      <c r="A49" s="80" t="s">
        <v>26</v>
      </c>
      <c r="B49" s="235"/>
      <c r="C49" s="129"/>
      <c r="D49" s="78"/>
      <c r="E49" s="78"/>
      <c r="F49" s="236"/>
      <c r="G49" s="237"/>
      <c r="H49" s="237"/>
      <c r="I49" s="78"/>
      <c r="J49" s="78"/>
      <c r="K49" s="78"/>
      <c r="L49" s="71"/>
      <c r="M49" s="74"/>
      <c r="N49" s="74"/>
      <c r="O49" s="235"/>
      <c r="Q49" s="78"/>
      <c r="R49" s="78"/>
      <c r="S49" s="236"/>
      <c r="T49" s="237"/>
      <c r="U49" s="237"/>
      <c r="V49" s="78"/>
      <c r="W49" s="78"/>
      <c r="X49" s="78"/>
    </row>
    <row r="50" spans="1:27" s="80" customFormat="1" ht="21" x14ac:dyDescent="0.35">
      <c r="B50" s="235"/>
      <c r="C50" s="129"/>
      <c r="D50" s="78"/>
      <c r="E50" s="78"/>
      <c r="F50" s="236"/>
      <c r="G50" s="237"/>
      <c r="H50" s="237"/>
      <c r="I50" s="78"/>
      <c r="J50" s="78"/>
      <c r="K50" s="78"/>
      <c r="L50" s="71"/>
      <c r="M50" s="74"/>
      <c r="N50" s="74"/>
      <c r="O50" s="235"/>
      <c r="Q50" s="78"/>
      <c r="R50" s="78"/>
      <c r="S50" s="236"/>
      <c r="T50" s="237"/>
      <c r="U50" s="237"/>
      <c r="V50" s="78"/>
      <c r="W50" s="78"/>
      <c r="X50" s="78"/>
    </row>
    <row r="51" spans="1:27" s="80" customFormat="1" ht="21" x14ac:dyDescent="0.35">
      <c r="B51" s="235"/>
      <c r="C51" s="129"/>
      <c r="D51" s="78"/>
      <c r="E51" s="78"/>
      <c r="F51" s="236"/>
      <c r="G51" s="237"/>
      <c r="H51" s="237"/>
      <c r="I51" s="78"/>
      <c r="J51" s="78"/>
      <c r="K51" s="78"/>
      <c r="L51" s="71"/>
      <c r="M51" s="74"/>
      <c r="N51" s="74"/>
      <c r="O51" s="235"/>
      <c r="Q51" s="78"/>
      <c r="R51" s="78"/>
      <c r="S51" s="236"/>
      <c r="T51" s="237"/>
      <c r="U51" s="237"/>
      <c r="V51" s="78"/>
      <c r="W51" s="78"/>
      <c r="X51" s="78"/>
    </row>
    <row r="52" spans="1:27" s="80" customFormat="1" ht="21" x14ac:dyDescent="0.35">
      <c r="B52" s="235"/>
      <c r="C52" s="129"/>
      <c r="D52" s="78"/>
      <c r="E52" s="78"/>
      <c r="F52" s="236"/>
      <c r="G52" s="237"/>
      <c r="H52" s="237"/>
      <c r="I52" s="78"/>
      <c r="J52" s="78"/>
      <c r="K52" s="78"/>
      <c r="L52" s="71"/>
      <c r="M52" s="74"/>
      <c r="N52" s="74"/>
      <c r="O52" s="235"/>
      <c r="Q52" s="78"/>
      <c r="R52" s="78"/>
      <c r="S52" s="236"/>
      <c r="T52" s="237"/>
      <c r="U52" s="237"/>
      <c r="V52" s="78"/>
      <c r="W52" s="78"/>
      <c r="X52" s="78"/>
    </row>
    <row r="53" spans="1:27" s="80" customFormat="1" ht="21" x14ac:dyDescent="0.35">
      <c r="B53" s="235"/>
      <c r="C53" s="129"/>
      <c r="D53" s="78"/>
      <c r="E53" s="78"/>
      <c r="F53" s="236"/>
      <c r="G53" s="237"/>
      <c r="H53" s="237"/>
      <c r="I53" s="78"/>
      <c r="J53" s="78"/>
      <c r="K53" s="78"/>
      <c r="L53" s="71"/>
      <c r="M53" s="74"/>
      <c r="N53" s="74"/>
      <c r="O53" s="235"/>
      <c r="Q53" s="78"/>
      <c r="R53" s="78"/>
      <c r="S53" s="236"/>
      <c r="T53" s="237"/>
      <c r="U53" s="237"/>
      <c r="V53" s="78"/>
      <c r="W53" s="78"/>
      <c r="X53" s="78"/>
    </row>
    <row r="54" spans="1:27" s="80" customFormat="1" ht="21" x14ac:dyDescent="0.35">
      <c r="B54" s="235"/>
      <c r="C54" s="129"/>
      <c r="D54" s="78"/>
      <c r="E54" s="78"/>
      <c r="F54" s="236"/>
      <c r="G54" s="237"/>
      <c r="H54" s="237"/>
      <c r="I54" s="78"/>
      <c r="J54" s="78"/>
      <c r="K54" s="78"/>
      <c r="L54" s="71"/>
      <c r="M54" s="74"/>
      <c r="N54" s="74"/>
      <c r="O54" s="235"/>
      <c r="Q54" s="78"/>
      <c r="R54" s="78"/>
      <c r="S54" s="236"/>
      <c r="T54" s="237"/>
      <c r="U54" s="237"/>
      <c r="V54" s="78"/>
      <c r="W54" s="78"/>
      <c r="X54" s="78"/>
    </row>
    <row r="55" spans="1:27" s="80" customFormat="1" ht="21" x14ac:dyDescent="0.35">
      <c r="B55" s="235"/>
      <c r="C55" s="129"/>
      <c r="D55" s="78"/>
      <c r="E55" s="78"/>
      <c r="F55" s="236"/>
      <c r="G55" s="237"/>
      <c r="H55" s="237"/>
      <c r="I55" s="78"/>
      <c r="J55" s="78"/>
      <c r="K55" s="78"/>
      <c r="L55" s="71"/>
      <c r="M55" s="74"/>
      <c r="N55" s="74"/>
      <c r="O55" s="235"/>
      <c r="Q55" s="78"/>
      <c r="R55" s="78"/>
      <c r="S55" s="236"/>
      <c r="T55" s="237"/>
      <c r="U55" s="237"/>
      <c r="V55" s="78"/>
      <c r="W55" s="78"/>
      <c r="X55" s="78"/>
    </row>
    <row r="59" spans="1:27" ht="15.75" thickBot="1" x14ac:dyDescent="0.3"/>
    <row r="60" spans="1:27" ht="22.5" thickTop="1" thickBot="1" x14ac:dyDescent="0.4">
      <c r="B60" s="7"/>
      <c r="C60" s="260" t="s">
        <v>36</v>
      </c>
      <c r="D60" s="261"/>
      <c r="E60" s="261"/>
      <c r="F60" s="261"/>
      <c r="G60" s="261"/>
      <c r="H60" s="261"/>
      <c r="I60" s="261"/>
      <c r="J60" s="261"/>
      <c r="K60" s="261"/>
      <c r="L60" s="128" t="s">
        <v>88</v>
      </c>
      <c r="M60" s="133"/>
      <c r="N60" s="81"/>
      <c r="O60" s="262" t="s">
        <v>19</v>
      </c>
      <c r="P60" s="263"/>
      <c r="Q60" s="263"/>
      <c r="R60" s="263"/>
      <c r="S60" s="263"/>
      <c r="T60" s="263"/>
      <c r="U60" s="263"/>
      <c r="V60" s="263"/>
      <c r="W60" s="263"/>
      <c r="X60" s="190" t="str">
        <f>L60</f>
        <v># 04</v>
      </c>
    </row>
    <row r="61" spans="1:27" ht="16.5" thickBot="1" x14ac:dyDescent="0.3">
      <c r="B61" s="7"/>
      <c r="C61" s="1"/>
      <c r="I61" s="264" t="s">
        <v>306</v>
      </c>
      <c r="J61" s="265"/>
      <c r="K61" s="266"/>
      <c r="L61" s="68"/>
      <c r="M61" s="134"/>
      <c r="N61" s="74"/>
      <c r="O61" s="7"/>
      <c r="V61" s="264" t="str">
        <f>I61</f>
        <v>del   18- al  24   NOVIEMBRE  2023</v>
      </c>
      <c r="W61" s="265"/>
      <c r="X61" s="266"/>
    </row>
    <row r="62" spans="1:27" ht="64.5" thickTop="1" thickBot="1" x14ac:dyDescent="0.3">
      <c r="B62" s="6" t="s">
        <v>0</v>
      </c>
      <c r="C62" s="24" t="s">
        <v>1</v>
      </c>
      <c r="D62" s="25" t="s">
        <v>2</v>
      </c>
      <c r="E62" s="26" t="s">
        <v>7</v>
      </c>
      <c r="F62" s="56" t="s">
        <v>38</v>
      </c>
      <c r="G62" s="25" t="s">
        <v>3</v>
      </c>
      <c r="H62" s="27" t="s">
        <v>22</v>
      </c>
      <c r="I62" s="184" t="s">
        <v>4</v>
      </c>
      <c r="J62" s="61" t="s">
        <v>8</v>
      </c>
      <c r="K62" s="183" t="s">
        <v>5</v>
      </c>
      <c r="L62" s="99" t="s">
        <v>46</v>
      </c>
      <c r="M62" s="135"/>
      <c r="N62" s="82"/>
      <c r="O62" s="36" t="s">
        <v>0</v>
      </c>
      <c r="P62" s="143" t="s">
        <v>1</v>
      </c>
      <c r="Q62" s="137" t="s">
        <v>2</v>
      </c>
      <c r="R62" s="138" t="s">
        <v>16</v>
      </c>
      <c r="S62" s="138" t="s">
        <v>38</v>
      </c>
      <c r="T62" s="137" t="s">
        <v>3</v>
      </c>
      <c r="U62" s="137" t="s">
        <v>4</v>
      </c>
      <c r="V62" s="141" t="s">
        <v>25</v>
      </c>
      <c r="W62" s="136" t="s">
        <v>8</v>
      </c>
      <c r="X62" s="142" t="s">
        <v>5</v>
      </c>
    </row>
    <row r="63" spans="1:27" ht="38.25" x14ac:dyDescent="0.25">
      <c r="B63" s="93" t="s">
        <v>307</v>
      </c>
      <c r="C63" s="234" t="s">
        <v>308</v>
      </c>
      <c r="D63" s="72"/>
      <c r="E63" s="72"/>
      <c r="F63" s="72"/>
      <c r="G63" s="72"/>
      <c r="H63" s="72"/>
      <c r="I63" s="72"/>
      <c r="J63" s="72"/>
      <c r="K63" s="72">
        <f>444+1080+780+88+921</f>
        <v>3313</v>
      </c>
      <c r="L63" s="71"/>
      <c r="M63" s="131"/>
      <c r="N63" s="74"/>
      <c r="O63" s="93" t="s">
        <v>307</v>
      </c>
      <c r="P63" s="234" t="s">
        <v>315</v>
      </c>
      <c r="Q63" s="72"/>
      <c r="R63" s="72"/>
      <c r="S63" s="72"/>
      <c r="T63" s="72"/>
      <c r="U63" s="72"/>
      <c r="V63" s="72"/>
      <c r="W63" s="72"/>
      <c r="X63" s="72">
        <f>280+1907+1048+172+1410</f>
        <v>4817</v>
      </c>
      <c r="AA63" t="s">
        <v>26</v>
      </c>
    </row>
    <row r="64" spans="1:27" ht="67.5" customHeight="1" x14ac:dyDescent="0.25">
      <c r="B64" s="93" t="s">
        <v>307</v>
      </c>
      <c r="C64" s="44" t="s">
        <v>313</v>
      </c>
      <c r="D64" s="67"/>
      <c r="E64" s="67"/>
      <c r="F64" s="67">
        <f>1653+75+52+160+120+20+90</f>
        <v>2170</v>
      </c>
      <c r="G64" s="67"/>
      <c r="H64" s="67"/>
      <c r="I64" s="67"/>
      <c r="J64" s="67"/>
      <c r="K64" s="67"/>
      <c r="L64" s="67"/>
      <c r="M64" s="131"/>
      <c r="N64" s="74"/>
      <c r="O64" s="93" t="s">
        <v>307</v>
      </c>
      <c r="P64" s="44" t="s">
        <v>316</v>
      </c>
      <c r="Q64" s="67"/>
      <c r="R64" s="67"/>
      <c r="S64" s="67">
        <f>2090+945+27+20+140</f>
        <v>3222</v>
      </c>
      <c r="T64" s="67"/>
      <c r="U64" s="67"/>
      <c r="V64" s="67"/>
      <c r="W64" s="67"/>
      <c r="X64" s="67"/>
    </row>
    <row r="65" spans="2:25" ht="54" customHeight="1" x14ac:dyDescent="0.25">
      <c r="B65" s="93" t="s">
        <v>307</v>
      </c>
      <c r="C65" s="44" t="s">
        <v>310</v>
      </c>
      <c r="D65" s="67"/>
      <c r="E65" s="67"/>
      <c r="F65" s="67"/>
      <c r="G65" s="67">
        <v>25</v>
      </c>
      <c r="H65" s="67"/>
      <c r="I65" s="67"/>
      <c r="J65" s="67"/>
      <c r="K65" s="67"/>
      <c r="L65" s="67"/>
      <c r="M65" s="131"/>
      <c r="N65" s="74"/>
      <c r="O65" s="93" t="s">
        <v>307</v>
      </c>
      <c r="P65" s="44" t="s">
        <v>317</v>
      </c>
      <c r="Q65" s="67">
        <f>150+294+40</f>
        <v>484</v>
      </c>
      <c r="R65" s="67"/>
      <c r="S65" s="67"/>
      <c r="T65" s="67"/>
      <c r="U65" s="67"/>
      <c r="V65" s="67"/>
      <c r="W65" s="67"/>
      <c r="X65" s="67"/>
    </row>
    <row r="66" spans="2:25" ht="54" customHeight="1" x14ac:dyDescent="0.25">
      <c r="B66" s="93" t="s">
        <v>307</v>
      </c>
      <c r="C66" s="96" t="s">
        <v>309</v>
      </c>
      <c r="D66" s="67">
        <f>67+166+354+89</f>
        <v>676</v>
      </c>
      <c r="E66" s="67"/>
      <c r="F66" s="67"/>
      <c r="G66" s="67"/>
      <c r="H66" s="67"/>
      <c r="I66" s="67"/>
      <c r="J66" s="67"/>
      <c r="K66" s="67"/>
      <c r="L66" s="67"/>
      <c r="M66" s="131"/>
      <c r="N66" s="74"/>
      <c r="O66" s="93" t="s">
        <v>307</v>
      </c>
      <c r="P66" s="239" t="s">
        <v>318</v>
      </c>
      <c r="Q66" s="67"/>
      <c r="R66" s="67"/>
      <c r="S66" s="67"/>
      <c r="T66" s="67">
        <f>175+30</f>
        <v>205</v>
      </c>
      <c r="U66" s="67"/>
      <c r="V66" s="67"/>
      <c r="W66" s="67"/>
      <c r="X66" s="67"/>
    </row>
    <row r="67" spans="2:25" ht="40.5" customHeight="1" thickBot="1" x14ac:dyDescent="0.3">
      <c r="B67" s="93" t="s">
        <v>307</v>
      </c>
      <c r="C67" s="44" t="s">
        <v>311</v>
      </c>
      <c r="D67" s="67"/>
      <c r="E67" s="67"/>
      <c r="F67" s="67"/>
      <c r="G67" s="67"/>
      <c r="H67" s="67"/>
      <c r="I67" s="67"/>
      <c r="J67" s="67">
        <f>1760+38+37</f>
        <v>1835</v>
      </c>
      <c r="K67" s="67"/>
      <c r="L67" s="67"/>
      <c r="M67" s="131"/>
      <c r="N67" s="74"/>
      <c r="O67" s="93" t="s">
        <v>307</v>
      </c>
      <c r="P67" s="95" t="s">
        <v>4</v>
      </c>
      <c r="Q67" s="67"/>
      <c r="R67" s="67"/>
      <c r="S67" s="67"/>
      <c r="T67" s="67"/>
      <c r="U67" s="67">
        <v>878</v>
      </c>
      <c r="V67" s="67"/>
      <c r="W67" s="67"/>
      <c r="X67" s="67"/>
      <c r="Y67" s="242"/>
    </row>
    <row r="68" spans="2:25" ht="43.5" customHeight="1" thickBot="1" x14ac:dyDescent="0.3">
      <c r="B68" s="93" t="s">
        <v>307</v>
      </c>
      <c r="C68" s="254" t="s">
        <v>12</v>
      </c>
      <c r="D68" s="67"/>
      <c r="E68" s="67"/>
      <c r="F68" s="67"/>
      <c r="G68" s="67"/>
      <c r="H68" s="67"/>
      <c r="I68" s="67">
        <v>433</v>
      </c>
      <c r="J68" s="67"/>
      <c r="K68" s="67"/>
      <c r="L68" s="67"/>
      <c r="M68" s="131"/>
      <c r="N68" s="74"/>
      <c r="O68" s="93" t="s">
        <v>307</v>
      </c>
      <c r="P68" s="259" t="s">
        <v>319</v>
      </c>
      <c r="Q68" s="72"/>
      <c r="R68" s="72"/>
      <c r="S68" s="72"/>
      <c r="T68" s="72"/>
      <c r="U68" s="72"/>
      <c r="V68" s="72"/>
      <c r="W68" s="72">
        <f>773.5+601+938+49</f>
        <v>2361.5</v>
      </c>
      <c r="X68" s="255"/>
      <c r="Y68" s="258" t="s">
        <v>314</v>
      </c>
    </row>
    <row r="69" spans="2:25" ht="33" customHeight="1" x14ac:dyDescent="0.25">
      <c r="B69" s="93" t="s">
        <v>307</v>
      </c>
      <c r="C69" s="44" t="s">
        <v>312</v>
      </c>
      <c r="D69" s="67"/>
      <c r="E69" s="67">
        <v>287</v>
      </c>
      <c r="F69" s="67"/>
      <c r="G69" s="67"/>
      <c r="H69" s="67"/>
      <c r="I69" s="67"/>
      <c r="J69" s="94"/>
      <c r="K69" s="67"/>
      <c r="L69" s="67"/>
      <c r="M69" s="131"/>
      <c r="N69" s="74"/>
      <c r="O69" s="93" t="s">
        <v>307</v>
      </c>
      <c r="P69" s="194" t="s">
        <v>320</v>
      </c>
      <c r="Q69" s="72"/>
      <c r="R69" s="72">
        <f>153+134+850</f>
        <v>1137</v>
      </c>
      <c r="S69" s="72"/>
      <c r="T69" s="72"/>
      <c r="U69" s="72"/>
      <c r="V69" s="72"/>
      <c r="W69" s="72"/>
      <c r="X69" s="67"/>
      <c r="Y69" s="129"/>
    </row>
    <row r="70" spans="2:25" ht="49.5" customHeight="1" x14ac:dyDescent="0.25">
      <c r="B70" s="93" t="s">
        <v>307</v>
      </c>
      <c r="C70" s="95" t="s">
        <v>96</v>
      </c>
      <c r="D70" s="67"/>
      <c r="E70" s="67"/>
      <c r="F70" s="67"/>
      <c r="G70" s="67"/>
      <c r="H70" s="67">
        <f>68+85+85+85+85</f>
        <v>408</v>
      </c>
      <c r="I70" s="67"/>
      <c r="J70" s="67"/>
      <c r="K70" s="67"/>
      <c r="L70" s="67"/>
      <c r="M70" s="131"/>
      <c r="N70" s="74"/>
      <c r="O70" s="93" t="s">
        <v>307</v>
      </c>
      <c r="P70" s="90" t="s">
        <v>140</v>
      </c>
      <c r="Q70" s="72"/>
      <c r="R70" s="72"/>
      <c r="S70" s="72"/>
      <c r="T70" s="72"/>
      <c r="U70" s="72"/>
      <c r="V70" s="72">
        <f>750+750+800+1428.5</f>
        <v>3728.5</v>
      </c>
      <c r="W70" s="72"/>
      <c r="X70" s="67"/>
    </row>
    <row r="71" spans="2:25" ht="44.25" customHeight="1" x14ac:dyDescent="0.25">
      <c r="B71" s="93" t="s">
        <v>307</v>
      </c>
      <c r="C71" s="95" t="s">
        <v>239</v>
      </c>
      <c r="D71" s="67"/>
      <c r="E71" s="67"/>
      <c r="F71" s="67"/>
      <c r="G71" s="67"/>
      <c r="H71" s="67">
        <f>330+330+420</f>
        <v>1080</v>
      </c>
      <c r="I71" s="67"/>
      <c r="J71" s="67"/>
      <c r="K71" s="67"/>
      <c r="L71" s="67"/>
      <c r="M71" s="131"/>
      <c r="N71" s="74"/>
      <c r="O71" s="93" t="s">
        <v>307</v>
      </c>
      <c r="P71" s="192" t="s">
        <v>217</v>
      </c>
      <c r="Q71" s="72"/>
      <c r="R71" s="72"/>
      <c r="S71" s="72"/>
      <c r="T71" s="72"/>
      <c r="U71" s="72"/>
      <c r="V71" s="72">
        <f>204+204+204+221</f>
        <v>833</v>
      </c>
      <c r="W71" s="72"/>
      <c r="X71" s="67"/>
    </row>
    <row r="72" spans="2:25" ht="36.75" customHeight="1" thickBot="1" x14ac:dyDescent="0.3">
      <c r="B72" s="93" t="s">
        <v>307</v>
      </c>
      <c r="C72" s="42" t="s">
        <v>146</v>
      </c>
      <c r="D72" s="67"/>
      <c r="E72" s="67"/>
      <c r="F72" s="67"/>
      <c r="G72" s="67"/>
      <c r="H72" s="67"/>
      <c r="I72" s="67"/>
      <c r="J72" s="67"/>
      <c r="K72" s="67"/>
      <c r="L72" s="11">
        <v>500</v>
      </c>
      <c r="M72" s="131"/>
      <c r="N72" s="74"/>
      <c r="O72" s="93"/>
      <c r="P72" s="194"/>
      <c r="Q72" s="72"/>
      <c r="R72" s="72"/>
      <c r="S72" s="72"/>
      <c r="T72" s="72"/>
      <c r="U72" s="72"/>
      <c r="V72" s="72"/>
      <c r="W72" s="72"/>
      <c r="X72" s="67"/>
    </row>
    <row r="73" spans="2:25" ht="15.75" hidden="1" thickBot="1" x14ac:dyDescent="0.3">
      <c r="B73" s="93"/>
      <c r="C73" s="95"/>
      <c r="D73" s="67"/>
      <c r="E73" s="67"/>
      <c r="F73" s="67"/>
      <c r="G73" s="67"/>
      <c r="H73" s="67"/>
      <c r="I73" s="67"/>
      <c r="J73" s="67"/>
      <c r="K73" s="67"/>
      <c r="L73" s="11"/>
      <c r="M73" s="131"/>
      <c r="N73" s="74"/>
      <c r="O73" s="93"/>
      <c r="P73" s="88"/>
      <c r="Q73" s="72"/>
      <c r="R73" s="72"/>
      <c r="S73" s="72"/>
      <c r="T73" s="72"/>
      <c r="U73" s="72"/>
      <c r="V73" s="72"/>
      <c r="W73" s="72"/>
      <c r="X73" s="67"/>
    </row>
    <row r="74" spans="2:25" ht="15.75" hidden="1" thickBot="1" x14ac:dyDescent="0.3">
      <c r="B74" s="93"/>
      <c r="C74" s="10"/>
      <c r="D74" s="67"/>
      <c r="E74" s="67"/>
      <c r="F74" s="67"/>
      <c r="G74" s="67"/>
      <c r="H74" s="67"/>
      <c r="I74" s="67"/>
      <c r="J74" s="67"/>
      <c r="K74" s="67"/>
      <c r="L74" s="11"/>
      <c r="M74" s="131"/>
      <c r="N74" s="74"/>
      <c r="O74" s="93"/>
      <c r="P74" s="91"/>
      <c r="Q74" s="67"/>
      <c r="R74" s="67"/>
      <c r="S74" s="67"/>
      <c r="T74" s="67"/>
      <c r="U74" s="67"/>
      <c r="V74" s="67"/>
      <c r="W74" s="67"/>
      <c r="X74" s="67"/>
    </row>
    <row r="75" spans="2:25" ht="15.75" hidden="1" thickBot="1" x14ac:dyDescent="0.3">
      <c r="B75" s="93"/>
      <c r="C75" s="10"/>
      <c r="D75" s="67"/>
      <c r="E75" s="67"/>
      <c r="F75" s="67"/>
      <c r="G75" s="67"/>
      <c r="H75" s="67"/>
      <c r="I75" s="67"/>
      <c r="J75" s="67"/>
      <c r="K75" s="67"/>
      <c r="L75" s="11"/>
      <c r="M75" s="131"/>
      <c r="N75" s="74"/>
      <c r="O75" s="93"/>
      <c r="P75" s="91"/>
      <c r="Q75" s="67"/>
      <c r="R75" s="67"/>
      <c r="S75" s="67"/>
      <c r="T75" s="67"/>
      <c r="U75" s="67"/>
      <c r="V75" s="67"/>
      <c r="W75" s="67"/>
      <c r="X75" s="67"/>
    </row>
    <row r="76" spans="2:25" ht="15.75" hidden="1" thickBot="1" x14ac:dyDescent="0.3">
      <c r="B76" s="9"/>
      <c r="C76" s="34"/>
      <c r="D76" s="73"/>
      <c r="E76" s="73"/>
      <c r="F76" s="73"/>
      <c r="G76" s="73"/>
      <c r="H76" s="73"/>
      <c r="I76" s="73"/>
      <c r="J76" s="73"/>
      <c r="K76" s="73"/>
      <c r="L76" s="20"/>
      <c r="M76" s="131"/>
      <c r="N76" s="74"/>
      <c r="O76" s="46"/>
      <c r="P76" s="51"/>
      <c r="Q76" s="73">
        <v>0</v>
      </c>
      <c r="R76" s="73"/>
      <c r="S76" s="73"/>
      <c r="T76" s="73"/>
      <c r="U76" s="73"/>
      <c r="V76" s="73"/>
      <c r="W76" s="73"/>
      <c r="X76" s="73"/>
    </row>
    <row r="77" spans="2:25" ht="24" thickBot="1" x14ac:dyDescent="0.3">
      <c r="B77" s="7"/>
      <c r="C77" s="35" t="s">
        <v>18</v>
      </c>
      <c r="D77" s="30">
        <f>SUM(D63:D76)</f>
        <v>676</v>
      </c>
      <c r="E77" s="30">
        <f t="shared" ref="E77:L77" si="4">SUM(E63:E76)</f>
        <v>287</v>
      </c>
      <c r="F77" s="30">
        <f t="shared" si="4"/>
        <v>2170</v>
      </c>
      <c r="G77" s="30">
        <f t="shared" si="4"/>
        <v>25</v>
      </c>
      <c r="H77" s="30">
        <f t="shared" si="4"/>
        <v>1488</v>
      </c>
      <c r="I77" s="30">
        <f t="shared" si="4"/>
        <v>433</v>
      </c>
      <c r="J77" s="30">
        <f t="shared" si="4"/>
        <v>1835</v>
      </c>
      <c r="K77" s="30">
        <f t="shared" si="4"/>
        <v>3313</v>
      </c>
      <c r="L77" s="30">
        <f t="shared" si="4"/>
        <v>500</v>
      </c>
      <c r="M77" s="132"/>
      <c r="N77" s="74"/>
      <c r="O77" s="7"/>
      <c r="P77" s="33" t="s">
        <v>18</v>
      </c>
      <c r="Q77" s="21">
        <f t="shared" ref="Q77:X77" si="5">SUM(Q63:Q76)</f>
        <v>484</v>
      </c>
      <c r="R77" s="21">
        <f t="shared" si="5"/>
        <v>1137</v>
      </c>
      <c r="S77" s="21">
        <f t="shared" si="5"/>
        <v>3222</v>
      </c>
      <c r="T77" s="21">
        <f t="shared" si="5"/>
        <v>205</v>
      </c>
      <c r="U77" s="21">
        <f t="shared" si="5"/>
        <v>878</v>
      </c>
      <c r="V77" s="21">
        <f t="shared" si="5"/>
        <v>4561.5</v>
      </c>
      <c r="W77" s="21">
        <f t="shared" si="5"/>
        <v>2361.5</v>
      </c>
      <c r="X77" s="21">
        <f t="shared" si="5"/>
        <v>4817</v>
      </c>
    </row>
    <row r="78" spans="2:25" ht="15.75" thickBot="1" x14ac:dyDescent="0.3">
      <c r="B78" s="7"/>
      <c r="C78" s="1"/>
      <c r="D78" s="5"/>
      <c r="E78" s="5"/>
      <c r="F78" s="5"/>
      <c r="G78" s="5"/>
      <c r="H78" s="5"/>
      <c r="I78" s="5"/>
      <c r="J78" s="5"/>
      <c r="K78" s="5"/>
      <c r="L78" s="78"/>
      <c r="M78" s="76"/>
      <c r="N78" s="74"/>
      <c r="O78" s="7"/>
      <c r="Q78" s="5"/>
      <c r="R78" s="5"/>
      <c r="S78" s="5"/>
      <c r="T78" s="5"/>
      <c r="U78" s="5"/>
      <c r="V78" s="5"/>
      <c r="W78" s="5"/>
      <c r="X78" s="5"/>
    </row>
    <row r="79" spans="2:25" ht="21.75" thickBot="1" x14ac:dyDescent="0.4">
      <c r="B79" s="7"/>
      <c r="C79" s="1"/>
      <c r="D79" s="5"/>
      <c r="E79" s="5"/>
      <c r="F79" s="267">
        <f>K77+J77+I77+H77+G77+F77+E77+D77+L77</f>
        <v>10727</v>
      </c>
      <c r="G79" s="268"/>
      <c r="H79" s="269"/>
      <c r="I79" s="5"/>
      <c r="J79" s="5"/>
      <c r="K79" s="5"/>
      <c r="L79" s="71"/>
      <c r="M79" s="74"/>
      <c r="N79" s="74"/>
      <c r="O79" s="7"/>
      <c r="Q79" s="5"/>
      <c r="R79" s="5"/>
      <c r="S79" s="270">
        <f>Q77+R77+S77+T77+U77+V77+W77+X77</f>
        <v>17666</v>
      </c>
      <c r="T79" s="271"/>
      <c r="U79" s="272"/>
      <c r="V79" s="5"/>
      <c r="W79" s="5"/>
      <c r="X79" s="5"/>
    </row>
    <row r="80" spans="2:25" s="80" customFormat="1" ht="21" x14ac:dyDescent="0.35">
      <c r="B80" s="235"/>
      <c r="C80" s="129"/>
      <c r="D80" s="78"/>
      <c r="E80" s="78"/>
      <c r="F80" s="236"/>
      <c r="G80" s="237"/>
      <c r="H80" s="237"/>
      <c r="I80" s="78"/>
      <c r="J80" s="78"/>
      <c r="K80" s="78"/>
      <c r="L80" s="71"/>
      <c r="M80" s="74"/>
      <c r="N80" s="74"/>
      <c r="O80" s="235"/>
      <c r="Q80" s="78"/>
      <c r="R80" s="78"/>
      <c r="S80" s="236"/>
      <c r="T80" s="237"/>
      <c r="U80" s="237"/>
      <c r="V80" s="78"/>
      <c r="W80" s="78"/>
      <c r="X80" s="78"/>
    </row>
    <row r="81" spans="2:27" s="80" customFormat="1" ht="21" x14ac:dyDescent="0.35">
      <c r="B81" s="235"/>
      <c r="C81" s="129"/>
      <c r="D81" s="78"/>
      <c r="E81" s="78"/>
      <c r="F81" s="236"/>
      <c r="G81" s="237"/>
      <c r="H81" s="237"/>
      <c r="I81" s="78"/>
      <c r="J81" s="78"/>
      <c r="K81" s="78"/>
      <c r="L81" s="71"/>
      <c r="M81" s="74"/>
      <c r="N81" s="74"/>
      <c r="O81" s="235"/>
      <c r="Q81" s="78"/>
      <c r="R81" s="78"/>
      <c r="S81" s="236"/>
      <c r="T81" s="237"/>
      <c r="U81" s="237"/>
      <c r="V81" s="78"/>
      <c r="W81" s="78"/>
      <c r="X81" s="78"/>
    </row>
    <row r="82" spans="2:27" s="80" customFormat="1" ht="21" x14ac:dyDescent="0.35">
      <c r="B82" s="235"/>
      <c r="C82" s="129"/>
      <c r="D82" s="78"/>
      <c r="E82" s="78"/>
      <c r="F82" s="236"/>
      <c r="G82" s="237"/>
      <c r="H82" s="237"/>
      <c r="I82" s="78"/>
      <c r="J82" s="78"/>
      <c r="K82" s="78"/>
      <c r="L82" s="71"/>
      <c r="M82" s="74"/>
      <c r="N82" s="74"/>
      <c r="O82" s="235"/>
      <c r="Q82" s="78"/>
      <c r="R82" s="78"/>
      <c r="S82" s="236"/>
      <c r="T82" s="237"/>
      <c r="U82" s="237"/>
      <c r="V82" s="78"/>
      <c r="W82" s="78"/>
      <c r="X82" s="78"/>
    </row>
    <row r="83" spans="2:27" s="80" customFormat="1" ht="21" x14ac:dyDescent="0.35">
      <c r="B83" s="235"/>
      <c r="C83" s="129"/>
      <c r="D83" s="78"/>
      <c r="E83" s="78"/>
      <c r="F83" s="236"/>
      <c r="G83" s="237"/>
      <c r="H83" s="237"/>
      <c r="I83" s="78"/>
      <c r="J83" s="78"/>
      <c r="K83" s="78"/>
      <c r="L83" s="71"/>
      <c r="M83" s="74"/>
      <c r="N83" s="74"/>
      <c r="O83" s="235"/>
      <c r="Q83" s="78"/>
      <c r="R83" s="78"/>
      <c r="S83" s="236"/>
      <c r="T83" s="237"/>
      <c r="U83" s="237"/>
      <c r="V83" s="78"/>
      <c r="W83" s="78"/>
      <c r="X83" s="78"/>
    </row>
    <row r="84" spans="2:27" s="80" customFormat="1" ht="21" x14ac:dyDescent="0.35">
      <c r="B84" s="235"/>
      <c r="C84" s="129"/>
      <c r="D84" s="78"/>
      <c r="E84" s="78"/>
      <c r="F84" s="236"/>
      <c r="G84" s="237"/>
      <c r="H84" s="237"/>
      <c r="I84" s="78"/>
      <c r="J84" s="78"/>
      <c r="K84" s="78"/>
      <c r="L84" s="71"/>
      <c r="M84" s="74"/>
      <c r="N84" s="74"/>
      <c r="O84" s="235"/>
      <c r="Q84" s="78"/>
      <c r="R84" s="78"/>
      <c r="S84" s="236"/>
      <c r="T84" s="237"/>
      <c r="U84" s="237"/>
      <c r="V84" s="78"/>
      <c r="W84" s="78"/>
      <c r="X84" s="78"/>
    </row>
    <row r="88" spans="2:27" ht="15.75" thickBot="1" x14ac:dyDescent="0.3"/>
    <row r="89" spans="2:27" ht="22.5" thickTop="1" thickBot="1" x14ac:dyDescent="0.4">
      <c r="B89" s="7"/>
      <c r="C89" s="260" t="s">
        <v>36</v>
      </c>
      <c r="D89" s="261"/>
      <c r="E89" s="261"/>
      <c r="F89" s="261"/>
      <c r="G89" s="261"/>
      <c r="H89" s="261"/>
      <c r="I89" s="261"/>
      <c r="J89" s="261"/>
      <c r="K89" s="261"/>
      <c r="L89" s="128" t="s">
        <v>66</v>
      </c>
      <c r="M89" s="133"/>
      <c r="N89" s="81"/>
      <c r="O89" s="262" t="s">
        <v>19</v>
      </c>
      <c r="P89" s="263"/>
      <c r="Q89" s="263"/>
      <c r="R89" s="263"/>
      <c r="S89" s="263"/>
      <c r="T89" s="263"/>
      <c r="U89" s="263"/>
      <c r="V89" s="263"/>
      <c r="W89" s="263"/>
      <c r="X89" s="190" t="str">
        <f>L89</f>
        <v># 03</v>
      </c>
    </row>
    <row r="90" spans="2:27" ht="16.5" thickBot="1" x14ac:dyDescent="0.3">
      <c r="B90" s="7"/>
      <c r="C90" s="1"/>
      <c r="I90" s="264" t="s">
        <v>290</v>
      </c>
      <c r="J90" s="265"/>
      <c r="K90" s="266"/>
      <c r="L90" s="68"/>
      <c r="M90" s="134"/>
      <c r="N90" s="74"/>
      <c r="O90" s="7"/>
      <c r="V90" s="264" t="str">
        <f>I90</f>
        <v>del   11- al  17   NOVIEMBRE  2023</v>
      </c>
      <c r="W90" s="265"/>
      <c r="X90" s="266"/>
    </row>
    <row r="91" spans="2:27" ht="64.5" thickTop="1" thickBot="1" x14ac:dyDescent="0.3">
      <c r="B91" s="6" t="s">
        <v>0</v>
      </c>
      <c r="C91" s="24" t="s">
        <v>1</v>
      </c>
      <c r="D91" s="25" t="s">
        <v>2</v>
      </c>
      <c r="E91" s="26" t="s">
        <v>7</v>
      </c>
      <c r="F91" s="56" t="s">
        <v>38</v>
      </c>
      <c r="G91" s="25" t="s">
        <v>3</v>
      </c>
      <c r="H91" s="27" t="s">
        <v>22</v>
      </c>
      <c r="I91" s="184" t="s">
        <v>4</v>
      </c>
      <c r="J91" s="61" t="s">
        <v>8</v>
      </c>
      <c r="K91" s="183" t="s">
        <v>5</v>
      </c>
      <c r="L91" s="99" t="s">
        <v>46</v>
      </c>
      <c r="M91" s="135"/>
      <c r="N91" s="82"/>
      <c r="O91" s="36" t="s">
        <v>0</v>
      </c>
      <c r="P91" s="143" t="s">
        <v>1</v>
      </c>
      <c r="Q91" s="137" t="s">
        <v>2</v>
      </c>
      <c r="R91" s="138" t="s">
        <v>16</v>
      </c>
      <c r="S91" s="138" t="s">
        <v>38</v>
      </c>
      <c r="T91" s="137" t="s">
        <v>3</v>
      </c>
      <c r="U91" s="137" t="s">
        <v>4</v>
      </c>
      <c r="V91" s="141" t="s">
        <v>25</v>
      </c>
      <c r="W91" s="136" t="s">
        <v>8</v>
      </c>
      <c r="X91" s="142" t="s">
        <v>5</v>
      </c>
    </row>
    <row r="92" spans="2:27" ht="63.75" x14ac:dyDescent="0.25">
      <c r="B92" s="93" t="s">
        <v>291</v>
      </c>
      <c r="C92" s="234" t="s">
        <v>304</v>
      </c>
      <c r="D92" s="72"/>
      <c r="E92" s="72"/>
      <c r="F92" s="72"/>
      <c r="G92" s="72"/>
      <c r="H92" s="72"/>
      <c r="I92" s="72"/>
      <c r="J92" s="72"/>
      <c r="K92" s="72">
        <f>316+937+1186+1164+768+820</f>
        <v>5191</v>
      </c>
      <c r="L92" s="71"/>
      <c r="M92" s="131"/>
      <c r="N92" s="74"/>
      <c r="O92" s="93" t="s">
        <v>291</v>
      </c>
      <c r="P92" s="234" t="s">
        <v>303</v>
      </c>
      <c r="Q92" s="72"/>
      <c r="R92" s="72"/>
      <c r="S92" s="72"/>
      <c r="T92" s="72"/>
      <c r="U92" s="72"/>
      <c r="V92" s="72"/>
      <c r="W92" s="72"/>
      <c r="X92" s="72">
        <f>184+1284+1811+1266+987+730+480</f>
        <v>6742</v>
      </c>
      <c r="AA92" t="s">
        <v>26</v>
      </c>
    </row>
    <row r="93" spans="2:27" ht="67.5" customHeight="1" x14ac:dyDescent="0.25">
      <c r="B93" s="93" t="s">
        <v>291</v>
      </c>
      <c r="C93" s="44" t="s">
        <v>292</v>
      </c>
      <c r="D93" s="67"/>
      <c r="E93" s="67"/>
      <c r="F93" s="67">
        <f>801+75+66+392</f>
        <v>1334</v>
      </c>
      <c r="G93" s="67"/>
      <c r="H93" s="67"/>
      <c r="I93" s="67"/>
      <c r="J93" s="67"/>
      <c r="K93" s="67"/>
      <c r="L93" s="67"/>
      <c r="M93" s="131"/>
      <c r="N93" s="74"/>
      <c r="O93" s="93" t="s">
        <v>291</v>
      </c>
      <c r="P93" s="44" t="s">
        <v>296</v>
      </c>
      <c r="Q93" s="67"/>
      <c r="R93" s="67"/>
      <c r="S93" s="67">
        <f>1719+66+700+75</f>
        <v>2560</v>
      </c>
      <c r="T93" s="67"/>
      <c r="U93" s="67"/>
      <c r="V93" s="67"/>
      <c r="W93" s="67"/>
      <c r="X93" s="67"/>
    </row>
    <row r="94" spans="2:27" ht="54" customHeight="1" x14ac:dyDescent="0.25">
      <c r="B94" s="93" t="s">
        <v>291</v>
      </c>
      <c r="C94" s="44" t="s">
        <v>305</v>
      </c>
      <c r="D94" s="67"/>
      <c r="E94" s="67"/>
      <c r="F94" s="67"/>
      <c r="G94" s="67">
        <f>60+40</f>
        <v>100</v>
      </c>
      <c r="H94" s="67"/>
      <c r="I94" s="67"/>
      <c r="J94" s="67"/>
      <c r="K94" s="67"/>
      <c r="L94" s="67"/>
      <c r="M94" s="131"/>
      <c r="N94" s="74"/>
      <c r="O94" s="93" t="s">
        <v>291</v>
      </c>
      <c r="P94" s="44" t="s">
        <v>297</v>
      </c>
      <c r="Q94" s="67">
        <f>220+100+200+360+375</f>
        <v>1255</v>
      </c>
      <c r="R94" s="67"/>
      <c r="S94" s="67"/>
      <c r="T94" s="67"/>
      <c r="U94" s="67"/>
      <c r="V94" s="67"/>
      <c r="W94" s="67"/>
      <c r="X94" s="67"/>
    </row>
    <row r="95" spans="2:27" ht="43.5" customHeight="1" x14ac:dyDescent="0.25">
      <c r="B95" s="93" t="s">
        <v>291</v>
      </c>
      <c r="C95" s="96" t="s">
        <v>293</v>
      </c>
      <c r="D95" s="67">
        <f>50+160+260</f>
        <v>470</v>
      </c>
      <c r="E95" s="67"/>
      <c r="F95" s="67"/>
      <c r="G95" s="67"/>
      <c r="H95" s="67"/>
      <c r="I95" s="67"/>
      <c r="J95" s="67"/>
      <c r="K95" s="67"/>
      <c r="L95" s="67"/>
      <c r="M95" s="131"/>
      <c r="N95" s="74"/>
      <c r="O95" s="93" t="s">
        <v>291</v>
      </c>
      <c r="P95" s="239" t="s">
        <v>298</v>
      </c>
      <c r="Q95" s="67"/>
      <c r="R95" s="67"/>
      <c r="S95" s="67"/>
      <c r="T95" s="67">
        <v>90</v>
      </c>
      <c r="U95" s="67"/>
      <c r="V95" s="67"/>
      <c r="W95" s="67"/>
      <c r="X95" s="67"/>
    </row>
    <row r="96" spans="2:27" ht="40.5" customHeight="1" thickBot="1" x14ac:dyDescent="0.3">
      <c r="B96" s="93" t="s">
        <v>291</v>
      </c>
      <c r="C96" s="44" t="s">
        <v>294</v>
      </c>
      <c r="D96" s="67"/>
      <c r="E96" s="67"/>
      <c r="F96" s="67"/>
      <c r="G96" s="67"/>
      <c r="H96" s="67"/>
      <c r="I96" s="67"/>
      <c r="J96" s="67">
        <f>1094+127+315</f>
        <v>1536</v>
      </c>
      <c r="K96" s="67"/>
      <c r="L96" s="67"/>
      <c r="M96" s="131"/>
      <c r="N96" s="74"/>
      <c r="O96" s="93" t="s">
        <v>291</v>
      </c>
      <c r="P96" s="95" t="s">
        <v>4</v>
      </c>
      <c r="Q96" s="67"/>
      <c r="R96" s="67"/>
      <c r="S96" s="67"/>
      <c r="T96" s="67"/>
      <c r="U96" s="67">
        <v>914</v>
      </c>
      <c r="V96" s="67"/>
      <c r="W96" s="67"/>
      <c r="X96" s="67"/>
      <c r="Y96" s="242"/>
    </row>
    <row r="97" spans="2:25" ht="30" customHeight="1" thickBot="1" x14ac:dyDescent="0.3">
      <c r="B97" s="93" t="s">
        <v>291</v>
      </c>
      <c r="C97" s="254" t="s">
        <v>12</v>
      </c>
      <c r="D97" s="67"/>
      <c r="E97" s="67"/>
      <c r="F97" s="67"/>
      <c r="G97" s="67"/>
      <c r="H97" s="67"/>
      <c r="I97" s="67">
        <v>452</v>
      </c>
      <c r="J97" s="67"/>
      <c r="K97" s="67"/>
      <c r="L97" s="67"/>
      <c r="M97" s="131"/>
      <c r="N97" s="74"/>
      <c r="O97" s="93" t="s">
        <v>291</v>
      </c>
      <c r="P97" s="195" t="s">
        <v>299</v>
      </c>
      <c r="Q97" s="72"/>
      <c r="R97" s="72"/>
      <c r="S97" s="72"/>
      <c r="T97" s="72"/>
      <c r="U97" s="72"/>
      <c r="V97" s="72"/>
      <c r="W97" s="72">
        <v>1455</v>
      </c>
      <c r="X97" s="255"/>
      <c r="Y97" s="256" t="s">
        <v>300</v>
      </c>
    </row>
    <row r="98" spans="2:25" ht="33" customHeight="1" x14ac:dyDescent="0.25">
      <c r="B98" s="93" t="s">
        <v>291</v>
      </c>
      <c r="C98" s="44" t="s">
        <v>295</v>
      </c>
      <c r="D98" s="67"/>
      <c r="E98" s="67">
        <f>180+300</f>
        <v>480</v>
      </c>
      <c r="F98" s="67"/>
      <c r="G98" s="67"/>
      <c r="H98" s="67"/>
      <c r="I98" s="67"/>
      <c r="J98" s="94"/>
      <c r="K98" s="67"/>
      <c r="L98" s="67"/>
      <c r="M98" s="131"/>
      <c r="N98" s="74"/>
      <c r="O98" s="93" t="s">
        <v>291</v>
      </c>
      <c r="P98" s="194" t="s">
        <v>301</v>
      </c>
      <c r="Q98" s="72"/>
      <c r="R98" s="72">
        <f>96+505+942</f>
        <v>1543</v>
      </c>
      <c r="S98" s="72"/>
      <c r="T98" s="72"/>
      <c r="U98" s="72"/>
      <c r="V98" s="72"/>
      <c r="W98" s="72"/>
      <c r="X98" s="67"/>
      <c r="Y98" s="129"/>
    </row>
    <row r="99" spans="2:25" ht="49.5" customHeight="1" x14ac:dyDescent="0.25">
      <c r="B99" s="93" t="s">
        <v>291</v>
      </c>
      <c r="C99" s="95" t="s">
        <v>96</v>
      </c>
      <c r="D99" s="67"/>
      <c r="E99" s="67"/>
      <c r="F99" s="67"/>
      <c r="G99" s="67"/>
      <c r="H99" s="67">
        <f>51+170+68+85+85+34</f>
        <v>493</v>
      </c>
      <c r="I99" s="67"/>
      <c r="J99" s="67"/>
      <c r="K99" s="67"/>
      <c r="L99" s="67"/>
      <c r="M99" s="131"/>
      <c r="N99" s="74"/>
      <c r="O99" s="93" t="s">
        <v>291</v>
      </c>
      <c r="P99" s="90" t="s">
        <v>302</v>
      </c>
      <c r="Q99" s="72"/>
      <c r="R99" s="72"/>
      <c r="S99" s="72"/>
      <c r="T99" s="72"/>
      <c r="U99" s="72"/>
      <c r="V99" s="72"/>
      <c r="W99" s="72">
        <f>1639.5+90+812+127+795</f>
        <v>3463.5</v>
      </c>
      <c r="X99" s="67"/>
    </row>
    <row r="100" spans="2:25" ht="44.25" customHeight="1" x14ac:dyDescent="0.25">
      <c r="B100" s="93" t="s">
        <v>291</v>
      </c>
      <c r="C100" s="95" t="s">
        <v>239</v>
      </c>
      <c r="D100" s="67"/>
      <c r="E100" s="67"/>
      <c r="F100" s="67"/>
      <c r="G100" s="67"/>
      <c r="H100" s="67">
        <f>330+330+420</f>
        <v>1080</v>
      </c>
      <c r="I100" s="67"/>
      <c r="J100" s="67"/>
      <c r="K100" s="67"/>
      <c r="L100" s="67"/>
      <c r="M100" s="131"/>
      <c r="N100" s="74"/>
      <c r="O100" s="93" t="s">
        <v>291</v>
      </c>
      <c r="P100" s="192" t="s">
        <v>217</v>
      </c>
      <c r="Q100" s="72"/>
      <c r="R100" s="72"/>
      <c r="S100" s="72"/>
      <c r="T100" s="72"/>
      <c r="U100" s="72"/>
      <c r="V100" s="72">
        <f>68+204+221+221+204+187</f>
        <v>1105</v>
      </c>
      <c r="W100" s="72"/>
      <c r="X100" s="67"/>
    </row>
    <row r="101" spans="2:25" ht="36.75" customHeight="1" thickBot="1" x14ac:dyDescent="0.3">
      <c r="B101" s="93" t="s">
        <v>291</v>
      </c>
      <c r="C101" s="42" t="s">
        <v>146</v>
      </c>
      <c r="D101" s="67"/>
      <c r="E101" s="67"/>
      <c r="F101" s="67"/>
      <c r="G101" s="67"/>
      <c r="H101" s="67"/>
      <c r="I101" s="67"/>
      <c r="J101" s="67"/>
      <c r="K101" s="67"/>
      <c r="L101" s="11">
        <f>500+265+212</f>
        <v>977</v>
      </c>
      <c r="M101" s="131"/>
      <c r="N101" s="74"/>
      <c r="O101" s="93" t="s">
        <v>291</v>
      </c>
      <c r="P101" s="194" t="s">
        <v>140</v>
      </c>
      <c r="Q101" s="72"/>
      <c r="R101" s="72"/>
      <c r="S101" s="72"/>
      <c r="T101" s="72"/>
      <c r="U101" s="72"/>
      <c r="V101" s="72">
        <f>741+750+1992+750</f>
        <v>4233</v>
      </c>
      <c r="W101" s="72"/>
      <c r="X101" s="67"/>
    </row>
    <row r="102" spans="2:25" ht="15.75" hidden="1" thickBot="1" x14ac:dyDescent="0.3">
      <c r="B102" s="93"/>
      <c r="C102" s="95"/>
      <c r="D102" s="67"/>
      <c r="E102" s="67"/>
      <c r="F102" s="67"/>
      <c r="G102" s="67"/>
      <c r="H102" s="67"/>
      <c r="I102" s="67"/>
      <c r="J102" s="67"/>
      <c r="K102" s="67"/>
      <c r="L102" s="11"/>
      <c r="M102" s="131"/>
      <c r="N102" s="74"/>
      <c r="O102" s="93"/>
      <c r="P102" s="88"/>
      <c r="Q102" s="72"/>
      <c r="R102" s="72"/>
      <c r="S102" s="72"/>
      <c r="T102" s="72"/>
      <c r="U102" s="72"/>
      <c r="V102" s="72"/>
      <c r="W102" s="72"/>
      <c r="X102" s="67"/>
    </row>
    <row r="103" spans="2:25" ht="15.75" hidden="1" thickBot="1" x14ac:dyDescent="0.3">
      <c r="B103" s="93"/>
      <c r="C103" s="10"/>
      <c r="D103" s="67"/>
      <c r="E103" s="67"/>
      <c r="F103" s="67"/>
      <c r="G103" s="67"/>
      <c r="H103" s="67"/>
      <c r="I103" s="67"/>
      <c r="J103" s="67"/>
      <c r="K103" s="67"/>
      <c r="L103" s="11"/>
      <c r="M103" s="131"/>
      <c r="N103" s="74"/>
      <c r="O103" s="93"/>
      <c r="P103" s="91"/>
      <c r="Q103" s="67"/>
      <c r="R103" s="67"/>
      <c r="S103" s="67"/>
      <c r="T103" s="67"/>
      <c r="U103" s="67"/>
      <c r="V103" s="67"/>
      <c r="W103" s="67"/>
      <c r="X103" s="67"/>
    </row>
    <row r="104" spans="2:25" ht="15.75" hidden="1" thickBot="1" x14ac:dyDescent="0.3">
      <c r="B104" s="93"/>
      <c r="C104" s="10"/>
      <c r="D104" s="67"/>
      <c r="E104" s="67"/>
      <c r="F104" s="67"/>
      <c r="G104" s="67"/>
      <c r="H104" s="67"/>
      <c r="I104" s="67"/>
      <c r="J104" s="67"/>
      <c r="K104" s="67"/>
      <c r="L104" s="11"/>
      <c r="M104" s="131"/>
      <c r="N104" s="74"/>
      <c r="O104" s="93"/>
      <c r="P104" s="91"/>
      <c r="Q104" s="67"/>
      <c r="R104" s="67"/>
      <c r="S104" s="67"/>
      <c r="T104" s="67"/>
      <c r="U104" s="67"/>
      <c r="V104" s="67"/>
      <c r="W104" s="67"/>
      <c r="X104" s="67"/>
    </row>
    <row r="105" spans="2:25" ht="15.75" hidden="1" thickBot="1" x14ac:dyDescent="0.3">
      <c r="B105" s="9"/>
      <c r="C105" s="34"/>
      <c r="D105" s="73"/>
      <c r="E105" s="73"/>
      <c r="F105" s="73"/>
      <c r="G105" s="73"/>
      <c r="H105" s="73"/>
      <c r="I105" s="73"/>
      <c r="J105" s="73"/>
      <c r="K105" s="73"/>
      <c r="L105" s="20"/>
      <c r="M105" s="131"/>
      <c r="N105" s="74"/>
      <c r="O105" s="46"/>
      <c r="P105" s="51"/>
      <c r="Q105" s="73">
        <v>0</v>
      </c>
      <c r="R105" s="73"/>
      <c r="S105" s="73"/>
      <c r="T105" s="73"/>
      <c r="U105" s="73"/>
      <c r="V105" s="73"/>
      <c r="W105" s="73"/>
      <c r="X105" s="73"/>
    </row>
    <row r="106" spans="2:25" ht="24" thickBot="1" x14ac:dyDescent="0.3">
      <c r="B106" s="7"/>
      <c r="C106" s="35" t="s">
        <v>18</v>
      </c>
      <c r="D106" s="30">
        <f>SUM(D92:D105)</f>
        <v>470</v>
      </c>
      <c r="E106" s="30">
        <f t="shared" ref="E106:L106" si="6">SUM(E92:E105)</f>
        <v>480</v>
      </c>
      <c r="F106" s="30">
        <f t="shared" si="6"/>
        <v>1334</v>
      </c>
      <c r="G106" s="30">
        <f t="shared" si="6"/>
        <v>100</v>
      </c>
      <c r="H106" s="30">
        <f t="shared" si="6"/>
        <v>1573</v>
      </c>
      <c r="I106" s="30">
        <f t="shared" si="6"/>
        <v>452</v>
      </c>
      <c r="J106" s="30">
        <f t="shared" si="6"/>
        <v>1536</v>
      </c>
      <c r="K106" s="30">
        <f t="shared" si="6"/>
        <v>5191</v>
      </c>
      <c r="L106" s="30">
        <f t="shared" si="6"/>
        <v>977</v>
      </c>
      <c r="M106" s="132"/>
      <c r="N106" s="74"/>
      <c r="O106" s="7"/>
      <c r="P106" s="33" t="s">
        <v>18</v>
      </c>
      <c r="Q106" s="21">
        <f t="shared" ref="Q106:X106" si="7">SUM(Q92:Q105)</f>
        <v>1255</v>
      </c>
      <c r="R106" s="21">
        <f t="shared" si="7"/>
        <v>1543</v>
      </c>
      <c r="S106" s="21">
        <f t="shared" si="7"/>
        <v>2560</v>
      </c>
      <c r="T106" s="21">
        <f t="shared" si="7"/>
        <v>90</v>
      </c>
      <c r="U106" s="21">
        <f t="shared" si="7"/>
        <v>914</v>
      </c>
      <c r="V106" s="21">
        <f t="shared" si="7"/>
        <v>5338</v>
      </c>
      <c r="W106" s="21">
        <f t="shared" si="7"/>
        <v>4918.5</v>
      </c>
      <c r="X106" s="21">
        <f t="shared" si="7"/>
        <v>6742</v>
      </c>
    </row>
    <row r="107" spans="2:25" ht="15.75" thickBot="1" x14ac:dyDescent="0.3">
      <c r="B107" s="7"/>
      <c r="C107" s="1"/>
      <c r="D107" s="5"/>
      <c r="E107" s="5"/>
      <c r="F107" s="5"/>
      <c r="G107" s="5"/>
      <c r="H107" s="5"/>
      <c r="I107" s="5"/>
      <c r="J107" s="5"/>
      <c r="K107" s="5"/>
      <c r="L107" s="78"/>
      <c r="M107" s="76"/>
      <c r="N107" s="74"/>
      <c r="O107" s="7"/>
      <c r="Q107" s="5"/>
      <c r="R107" s="5"/>
      <c r="S107" s="5"/>
      <c r="T107" s="5"/>
      <c r="U107" s="5"/>
      <c r="V107" s="5"/>
      <c r="W107" s="5"/>
      <c r="X107" s="5"/>
    </row>
    <row r="108" spans="2:25" ht="21.75" thickBot="1" x14ac:dyDescent="0.4">
      <c r="B108" s="7"/>
      <c r="C108" s="1"/>
      <c r="D108" s="5"/>
      <c r="E108" s="5"/>
      <c r="F108" s="267">
        <f>K106+J106+I106+H106+G106+F106+E106+D106+L106</f>
        <v>12113</v>
      </c>
      <c r="G108" s="268"/>
      <c r="H108" s="269"/>
      <c r="I108" s="5"/>
      <c r="J108" s="5"/>
      <c r="K108" s="5"/>
      <c r="L108" s="71"/>
      <c r="M108" s="74"/>
      <c r="N108" s="74"/>
      <c r="O108" s="7"/>
      <c r="Q108" s="5"/>
      <c r="R108" s="5"/>
      <c r="S108" s="270">
        <f>Q106+R106+S106+T106+U106+V106+W106+X106</f>
        <v>23360.5</v>
      </c>
      <c r="T108" s="271"/>
      <c r="U108" s="272"/>
      <c r="V108" s="5"/>
      <c r="W108" s="5"/>
      <c r="X108" s="5"/>
    </row>
    <row r="109" spans="2:25" s="80" customFormat="1" ht="21" x14ac:dyDescent="0.35">
      <c r="B109" s="235"/>
      <c r="C109" s="129"/>
      <c r="D109" s="78"/>
      <c r="E109" s="78"/>
      <c r="F109" s="236"/>
      <c r="G109" s="237"/>
      <c r="H109" s="237"/>
      <c r="I109" s="78"/>
      <c r="J109" s="78"/>
      <c r="K109" s="78"/>
      <c r="L109" s="71"/>
      <c r="M109" s="74"/>
      <c r="N109" s="74"/>
      <c r="O109" s="235"/>
      <c r="Q109" s="78"/>
      <c r="R109" s="78"/>
      <c r="S109" s="236"/>
      <c r="T109" s="237"/>
      <c r="U109" s="237"/>
      <c r="V109" s="78"/>
      <c r="W109" s="78"/>
      <c r="X109" s="78"/>
    </row>
    <row r="119" spans="2:25" ht="15.75" thickBot="1" x14ac:dyDescent="0.3"/>
    <row r="120" spans="2:25" ht="22.5" thickTop="1" thickBot="1" x14ac:dyDescent="0.4">
      <c r="B120" s="7"/>
      <c r="C120" s="260" t="s">
        <v>36</v>
      </c>
      <c r="D120" s="261"/>
      <c r="E120" s="261"/>
      <c r="F120" s="261"/>
      <c r="G120" s="261"/>
      <c r="H120" s="261"/>
      <c r="I120" s="261"/>
      <c r="J120" s="261"/>
      <c r="K120" s="261"/>
      <c r="L120" s="128" t="s">
        <v>42</v>
      </c>
      <c r="M120" s="133"/>
      <c r="N120" s="81"/>
      <c r="O120" s="262" t="s">
        <v>19</v>
      </c>
      <c r="P120" s="263"/>
      <c r="Q120" s="263"/>
      <c r="R120" s="263"/>
      <c r="S120" s="263"/>
      <c r="T120" s="263"/>
      <c r="U120" s="263"/>
      <c r="V120" s="263"/>
      <c r="W120" s="263"/>
      <c r="X120" s="190" t="str">
        <f>L120</f>
        <v># 02</v>
      </c>
    </row>
    <row r="121" spans="2:25" ht="16.5" thickBot="1" x14ac:dyDescent="0.3">
      <c r="B121" s="7"/>
      <c r="C121" s="1"/>
      <c r="I121" s="264" t="s">
        <v>275</v>
      </c>
      <c r="J121" s="265"/>
      <c r="K121" s="266"/>
      <c r="L121" s="68"/>
      <c r="M121" s="134"/>
      <c r="N121" s="74"/>
      <c r="O121" s="7"/>
      <c r="V121" s="264" t="str">
        <f>I121</f>
        <v>del   04- al  10   NOVIEMBRE  2023</v>
      </c>
      <c r="W121" s="265"/>
      <c r="X121" s="266"/>
    </row>
    <row r="122" spans="2:25" ht="64.5" thickTop="1" thickBot="1" x14ac:dyDescent="0.3">
      <c r="B122" s="6" t="s">
        <v>0</v>
      </c>
      <c r="C122" s="24" t="s">
        <v>1</v>
      </c>
      <c r="D122" s="25" t="s">
        <v>2</v>
      </c>
      <c r="E122" s="26" t="s">
        <v>7</v>
      </c>
      <c r="F122" s="56" t="s">
        <v>38</v>
      </c>
      <c r="G122" s="25" t="s">
        <v>3</v>
      </c>
      <c r="H122" s="27" t="s">
        <v>22</v>
      </c>
      <c r="I122" s="184" t="s">
        <v>4</v>
      </c>
      <c r="J122" s="61" t="s">
        <v>8</v>
      </c>
      <c r="K122" s="183" t="s">
        <v>5</v>
      </c>
      <c r="L122" s="99" t="s">
        <v>46</v>
      </c>
      <c r="M122" s="135"/>
      <c r="N122" s="82"/>
      <c r="O122" s="36" t="s">
        <v>0</v>
      </c>
      <c r="P122" s="143" t="s">
        <v>1</v>
      </c>
      <c r="Q122" s="137" t="s">
        <v>2</v>
      </c>
      <c r="R122" s="138" t="s">
        <v>16</v>
      </c>
      <c r="S122" s="138" t="s">
        <v>38</v>
      </c>
      <c r="T122" s="137" t="s">
        <v>3</v>
      </c>
      <c r="U122" s="137" t="s">
        <v>4</v>
      </c>
      <c r="V122" s="141" t="s">
        <v>25</v>
      </c>
      <c r="W122" s="136" t="s">
        <v>8</v>
      </c>
      <c r="X122" s="142" t="s">
        <v>5</v>
      </c>
    </row>
    <row r="123" spans="2:25" ht="55.5" customHeight="1" x14ac:dyDescent="0.25">
      <c r="B123" s="93" t="s">
        <v>276</v>
      </c>
      <c r="C123" s="234" t="s">
        <v>286</v>
      </c>
      <c r="D123" s="72" t="s">
        <v>26</v>
      </c>
      <c r="E123" s="72"/>
      <c r="F123" s="72"/>
      <c r="G123" s="72"/>
      <c r="H123" s="72"/>
      <c r="I123" s="72"/>
      <c r="J123" s="72"/>
      <c r="K123" s="72">
        <f>646+1044+2378+1876</f>
        <v>5944</v>
      </c>
      <c r="L123" s="71"/>
      <c r="M123" s="131"/>
      <c r="N123" s="74"/>
      <c r="O123" s="93" t="s">
        <v>276</v>
      </c>
      <c r="P123" s="234" t="s">
        <v>288</v>
      </c>
      <c r="Q123" s="72"/>
      <c r="R123" s="72"/>
      <c r="S123" s="72"/>
      <c r="T123" s="72"/>
      <c r="U123" s="72"/>
      <c r="V123" s="72"/>
      <c r="W123" s="72"/>
      <c r="X123" s="72">
        <f>240+2971+420+200+2107+808</f>
        <v>6746</v>
      </c>
    </row>
    <row r="124" spans="2:25" ht="67.5" customHeight="1" x14ac:dyDescent="0.25">
      <c r="B124" s="93" t="s">
        <v>276</v>
      </c>
      <c r="C124" s="44" t="s">
        <v>287</v>
      </c>
      <c r="D124" s="67"/>
      <c r="E124" s="67"/>
      <c r="F124" s="67">
        <f>1194+462+194+25+50</f>
        <v>1925</v>
      </c>
      <c r="G124" s="67"/>
      <c r="H124" s="67"/>
      <c r="I124" s="67"/>
      <c r="J124" s="67"/>
      <c r="K124" s="67"/>
      <c r="L124" s="67"/>
      <c r="M124" s="131"/>
      <c r="N124" s="74"/>
      <c r="O124" s="93" t="s">
        <v>276</v>
      </c>
      <c r="P124" s="44" t="s">
        <v>289</v>
      </c>
      <c r="Q124" s="67"/>
      <c r="R124" s="67"/>
      <c r="S124" s="67">
        <f>120+2030+132+800+200+50+50</f>
        <v>3382</v>
      </c>
      <c r="T124" s="67"/>
      <c r="U124" s="67"/>
      <c r="V124" s="67"/>
      <c r="W124" s="67"/>
      <c r="X124" s="67"/>
    </row>
    <row r="125" spans="2:25" ht="54" customHeight="1" x14ac:dyDescent="0.25">
      <c r="B125" s="93" t="s">
        <v>276</v>
      </c>
      <c r="C125" s="44" t="s">
        <v>279</v>
      </c>
      <c r="D125" s="67">
        <f>67+180+50+175+240</f>
        <v>712</v>
      </c>
      <c r="E125" s="67"/>
      <c r="F125" s="67"/>
      <c r="G125" s="67"/>
      <c r="H125" s="67"/>
      <c r="I125" s="67"/>
      <c r="J125" s="67"/>
      <c r="K125" s="67"/>
      <c r="L125" s="67"/>
      <c r="M125" s="131"/>
      <c r="N125" s="74"/>
      <c r="O125" s="93" t="s">
        <v>276</v>
      </c>
      <c r="P125" s="44" t="s">
        <v>282</v>
      </c>
      <c r="Q125" s="67"/>
      <c r="R125" s="67"/>
      <c r="S125" s="67"/>
      <c r="T125" s="67"/>
      <c r="U125" s="67"/>
      <c r="V125" s="67"/>
      <c r="W125" s="67">
        <f>514+510+1374+52.5+35+76.5</f>
        <v>2562</v>
      </c>
      <c r="X125" s="67"/>
    </row>
    <row r="126" spans="2:25" ht="43.5" customHeight="1" x14ac:dyDescent="0.25">
      <c r="B126" s="93" t="s">
        <v>276</v>
      </c>
      <c r="C126" s="96" t="s">
        <v>4</v>
      </c>
      <c r="D126" s="67"/>
      <c r="E126" s="67"/>
      <c r="F126" s="67"/>
      <c r="G126" s="67"/>
      <c r="H126" s="67"/>
      <c r="I126" s="67">
        <v>86</v>
      </c>
      <c r="J126" s="67"/>
      <c r="K126" s="67"/>
      <c r="L126" s="67"/>
      <c r="M126" s="131"/>
      <c r="N126" s="74"/>
      <c r="O126" s="93" t="s">
        <v>276</v>
      </c>
      <c r="P126" s="239" t="s">
        <v>4</v>
      </c>
      <c r="Q126" s="67"/>
      <c r="R126" s="67"/>
      <c r="S126" s="67"/>
      <c r="T126" s="67"/>
      <c r="U126" s="67">
        <f>462+916</f>
        <v>1378</v>
      </c>
      <c r="V126" s="67"/>
      <c r="W126" s="67"/>
      <c r="X126" s="67"/>
    </row>
    <row r="127" spans="2:25" ht="34.5" customHeight="1" x14ac:dyDescent="0.25">
      <c r="B127" s="93" t="s">
        <v>276</v>
      </c>
      <c r="C127" s="44" t="s">
        <v>277</v>
      </c>
      <c r="D127" s="67"/>
      <c r="E127" s="67"/>
      <c r="F127" s="67"/>
      <c r="G127" s="67"/>
      <c r="H127" s="67"/>
      <c r="I127" s="67"/>
      <c r="J127" s="67">
        <f>322+69+126</f>
        <v>517</v>
      </c>
      <c r="K127" s="67"/>
      <c r="L127" s="67"/>
      <c r="M127" s="131"/>
      <c r="N127" s="74"/>
      <c r="O127" s="93" t="s">
        <v>276</v>
      </c>
      <c r="P127" s="95" t="s">
        <v>283</v>
      </c>
      <c r="Q127" s="67">
        <f>71+220+350+175</f>
        <v>816</v>
      </c>
      <c r="R127" s="67"/>
      <c r="S127" s="67"/>
      <c r="T127" s="67"/>
      <c r="U127" s="67"/>
      <c r="V127" s="67"/>
      <c r="W127" s="67"/>
      <c r="X127" s="67"/>
      <c r="Y127" s="242"/>
    </row>
    <row r="128" spans="2:25" ht="51" customHeight="1" x14ac:dyDescent="0.25">
      <c r="B128" s="93" t="s">
        <v>276</v>
      </c>
      <c r="C128" s="253" t="s">
        <v>278</v>
      </c>
      <c r="D128" s="67"/>
      <c r="E128" s="67"/>
      <c r="F128" s="67"/>
      <c r="G128" s="67"/>
      <c r="H128" s="67"/>
      <c r="I128" s="67"/>
      <c r="J128" s="67">
        <v>1455</v>
      </c>
      <c r="K128" s="67"/>
      <c r="L128" s="67"/>
      <c r="M128" s="131"/>
      <c r="N128" s="74"/>
      <c r="O128" s="93" t="s">
        <v>276</v>
      </c>
      <c r="P128" s="195" t="s">
        <v>284</v>
      </c>
      <c r="Q128" s="72"/>
      <c r="R128" s="72">
        <f>740+546</f>
        <v>1286</v>
      </c>
      <c r="S128" s="72"/>
      <c r="T128" s="72"/>
      <c r="U128" s="72"/>
      <c r="V128" s="72"/>
      <c r="W128" s="72"/>
      <c r="X128" s="67"/>
    </row>
    <row r="129" spans="2:25" ht="33" customHeight="1" x14ac:dyDescent="0.25">
      <c r="B129" s="93" t="s">
        <v>276</v>
      </c>
      <c r="C129" s="44" t="s">
        <v>280</v>
      </c>
      <c r="D129" s="67"/>
      <c r="E129" s="67"/>
      <c r="F129" s="67"/>
      <c r="G129" s="67">
        <v>15</v>
      </c>
      <c r="H129" s="67"/>
      <c r="I129" s="67"/>
      <c r="J129" s="94"/>
      <c r="K129" s="67"/>
      <c r="L129" s="67"/>
      <c r="M129" s="131"/>
      <c r="N129" s="74"/>
      <c r="O129" s="93" t="s">
        <v>276</v>
      </c>
      <c r="P129" s="194" t="s">
        <v>285</v>
      </c>
      <c r="Q129" s="72"/>
      <c r="R129" s="72"/>
      <c r="S129" s="72"/>
      <c r="T129" s="72">
        <f>25+50</f>
        <v>75</v>
      </c>
      <c r="U129" s="72"/>
      <c r="V129" s="72"/>
      <c r="W129" s="72"/>
      <c r="X129" s="67"/>
      <c r="Y129" s="129"/>
    </row>
    <row r="130" spans="2:25" ht="37.5" customHeight="1" x14ac:dyDescent="0.25">
      <c r="B130" s="93" t="s">
        <v>276</v>
      </c>
      <c r="C130" s="95" t="s">
        <v>281</v>
      </c>
      <c r="D130" s="67"/>
      <c r="E130" s="67">
        <f>242+50</f>
        <v>292</v>
      </c>
      <c r="F130" s="67"/>
      <c r="G130" s="67"/>
      <c r="H130" s="67"/>
      <c r="I130" s="67"/>
      <c r="J130" s="67"/>
      <c r="K130" s="67"/>
      <c r="L130" s="67"/>
      <c r="M130" s="131"/>
      <c r="N130" s="74"/>
      <c r="O130" s="93" t="s">
        <v>276</v>
      </c>
      <c r="P130" s="194" t="s">
        <v>140</v>
      </c>
      <c r="Q130" s="72"/>
      <c r="R130" s="72"/>
      <c r="S130" s="72"/>
      <c r="T130" s="72"/>
      <c r="U130" s="72"/>
      <c r="V130" s="72">
        <f>750+750+760+1727+276</f>
        <v>4263</v>
      </c>
      <c r="W130" s="72"/>
      <c r="X130" s="67"/>
    </row>
    <row r="131" spans="2:25" ht="44.25" customHeight="1" x14ac:dyDescent="0.25">
      <c r="B131" s="93" t="s">
        <v>276</v>
      </c>
      <c r="C131" s="95" t="s">
        <v>239</v>
      </c>
      <c r="D131" s="67"/>
      <c r="E131" s="67"/>
      <c r="F131" s="67"/>
      <c r="G131" s="67"/>
      <c r="H131" s="67">
        <f>330+330+420</f>
        <v>1080</v>
      </c>
      <c r="I131" s="67"/>
      <c r="J131" s="67"/>
      <c r="K131" s="67"/>
      <c r="L131" s="67"/>
      <c r="M131" s="131"/>
      <c r="N131" s="74"/>
      <c r="O131" s="93" t="s">
        <v>276</v>
      </c>
      <c r="P131" s="192" t="s">
        <v>217</v>
      </c>
      <c r="Q131" s="72"/>
      <c r="R131" s="72"/>
      <c r="S131" s="72"/>
      <c r="T131" s="72"/>
      <c r="U131" s="72"/>
      <c r="V131" s="72">
        <f>238+170+170+204+204+204</f>
        <v>1190</v>
      </c>
      <c r="W131" s="72"/>
      <c r="X131" s="67"/>
    </row>
    <row r="132" spans="2:25" ht="24" customHeight="1" thickBot="1" x14ac:dyDescent="0.3">
      <c r="B132" s="93" t="s">
        <v>276</v>
      </c>
      <c r="C132" s="42" t="s">
        <v>96</v>
      </c>
      <c r="D132" s="67"/>
      <c r="E132" s="67"/>
      <c r="F132" s="67"/>
      <c r="G132" s="67"/>
      <c r="H132" s="67">
        <f>102+102+85+170+85+187</f>
        <v>731</v>
      </c>
      <c r="I132" s="67"/>
      <c r="J132" s="67"/>
      <c r="K132" s="67"/>
      <c r="L132" s="11"/>
      <c r="M132" s="131"/>
      <c r="N132" s="74"/>
      <c r="O132" s="93" t="s">
        <v>276</v>
      </c>
      <c r="P132" s="193"/>
      <c r="Q132" s="72"/>
      <c r="R132" s="72"/>
      <c r="S132" s="72"/>
      <c r="T132" s="72"/>
      <c r="U132" s="72"/>
      <c r="V132" s="72"/>
      <c r="W132" s="72"/>
      <c r="X132" s="67"/>
    </row>
    <row r="133" spans="2:25" ht="15.75" hidden="1" thickBot="1" x14ac:dyDescent="0.3">
      <c r="B133" s="93"/>
      <c r="C133" s="95"/>
      <c r="D133" s="67"/>
      <c r="E133" s="67"/>
      <c r="F133" s="67"/>
      <c r="G133" s="67"/>
      <c r="H133" s="67"/>
      <c r="I133" s="67"/>
      <c r="J133" s="67"/>
      <c r="K133" s="67"/>
      <c r="L133" s="11"/>
      <c r="M133" s="131"/>
      <c r="N133" s="74"/>
      <c r="O133" s="93"/>
      <c r="P133" s="88"/>
      <c r="Q133" s="72"/>
      <c r="R133" s="72"/>
      <c r="S133" s="72"/>
      <c r="T133" s="72"/>
      <c r="U133" s="72"/>
      <c r="V133" s="72"/>
      <c r="W133" s="72"/>
      <c r="X133" s="67"/>
    </row>
    <row r="134" spans="2:25" ht="15.75" hidden="1" thickBot="1" x14ac:dyDescent="0.3">
      <c r="B134" s="93"/>
      <c r="C134" s="10"/>
      <c r="D134" s="67"/>
      <c r="E134" s="67"/>
      <c r="F134" s="67"/>
      <c r="G134" s="67"/>
      <c r="H134" s="67"/>
      <c r="I134" s="67"/>
      <c r="J134" s="67"/>
      <c r="K134" s="67"/>
      <c r="L134" s="11"/>
      <c r="M134" s="131"/>
      <c r="N134" s="74"/>
      <c r="O134" s="93"/>
      <c r="P134" s="91"/>
      <c r="Q134" s="67"/>
      <c r="R134" s="67"/>
      <c r="S134" s="67"/>
      <c r="T134" s="67"/>
      <c r="U134" s="67"/>
      <c r="V134" s="67"/>
      <c r="W134" s="67"/>
      <c r="X134" s="67"/>
    </row>
    <row r="135" spans="2:25" ht="15.75" hidden="1" thickBot="1" x14ac:dyDescent="0.3">
      <c r="B135" s="93"/>
      <c r="C135" s="10"/>
      <c r="D135" s="67"/>
      <c r="E135" s="67"/>
      <c r="F135" s="67"/>
      <c r="G135" s="67"/>
      <c r="H135" s="67"/>
      <c r="I135" s="67"/>
      <c r="J135" s="67"/>
      <c r="K135" s="67"/>
      <c r="L135" s="11"/>
      <c r="M135" s="131"/>
      <c r="N135" s="74"/>
      <c r="O135" s="93"/>
      <c r="P135" s="91"/>
      <c r="Q135" s="67"/>
      <c r="R135" s="67"/>
      <c r="S135" s="67"/>
      <c r="T135" s="67"/>
      <c r="U135" s="67"/>
      <c r="V135" s="67"/>
      <c r="W135" s="67"/>
      <c r="X135" s="67"/>
    </row>
    <row r="136" spans="2:25" ht="15.75" hidden="1" thickBot="1" x14ac:dyDescent="0.3">
      <c r="B136" s="9"/>
      <c r="C136" s="34"/>
      <c r="D136" s="73"/>
      <c r="E136" s="73"/>
      <c r="F136" s="73"/>
      <c r="G136" s="73"/>
      <c r="H136" s="73"/>
      <c r="I136" s="73"/>
      <c r="J136" s="73"/>
      <c r="K136" s="73"/>
      <c r="L136" s="20"/>
      <c r="M136" s="131"/>
      <c r="N136" s="74"/>
      <c r="O136" s="46"/>
      <c r="P136" s="51"/>
      <c r="Q136" s="73">
        <v>0</v>
      </c>
      <c r="R136" s="73"/>
      <c r="S136" s="73"/>
      <c r="T136" s="73"/>
      <c r="U136" s="73"/>
      <c r="V136" s="73"/>
      <c r="W136" s="73"/>
      <c r="X136" s="73"/>
    </row>
    <row r="137" spans="2:25" ht="24" thickBot="1" x14ac:dyDescent="0.3">
      <c r="B137" s="7"/>
      <c r="C137" s="35" t="s">
        <v>18</v>
      </c>
      <c r="D137" s="30">
        <f>SUM(D123:D136)</f>
        <v>712</v>
      </c>
      <c r="E137" s="30">
        <f t="shared" ref="E137:L137" si="8">SUM(E123:E136)</f>
        <v>292</v>
      </c>
      <c r="F137" s="30">
        <f t="shared" si="8"/>
        <v>1925</v>
      </c>
      <c r="G137" s="30">
        <f t="shared" si="8"/>
        <v>15</v>
      </c>
      <c r="H137" s="30">
        <f t="shared" si="8"/>
        <v>1811</v>
      </c>
      <c r="I137" s="30">
        <f t="shared" si="8"/>
        <v>86</v>
      </c>
      <c r="J137" s="30">
        <f t="shared" si="8"/>
        <v>1972</v>
      </c>
      <c r="K137" s="30">
        <f t="shared" si="8"/>
        <v>5944</v>
      </c>
      <c r="L137" s="30">
        <f t="shared" si="8"/>
        <v>0</v>
      </c>
      <c r="M137" s="132"/>
      <c r="N137" s="74"/>
      <c r="O137" s="7"/>
      <c r="P137" s="33" t="s">
        <v>18</v>
      </c>
      <c r="Q137" s="21">
        <f t="shared" ref="Q137:X137" si="9">SUM(Q123:Q136)</f>
        <v>816</v>
      </c>
      <c r="R137" s="21">
        <f t="shared" si="9"/>
        <v>1286</v>
      </c>
      <c r="S137" s="21">
        <f t="shared" si="9"/>
        <v>3382</v>
      </c>
      <c r="T137" s="21">
        <f t="shared" si="9"/>
        <v>75</v>
      </c>
      <c r="U137" s="21">
        <f t="shared" si="9"/>
        <v>1378</v>
      </c>
      <c r="V137" s="21">
        <f t="shared" si="9"/>
        <v>5453</v>
      </c>
      <c r="W137" s="21">
        <f t="shared" si="9"/>
        <v>2562</v>
      </c>
      <c r="X137" s="21">
        <f t="shared" si="9"/>
        <v>6746</v>
      </c>
    </row>
    <row r="138" spans="2:25" ht="15.75" thickBot="1" x14ac:dyDescent="0.3">
      <c r="B138" s="7"/>
      <c r="C138" s="1"/>
      <c r="D138" s="5"/>
      <c r="E138" s="5"/>
      <c r="F138" s="5"/>
      <c r="G138" s="5"/>
      <c r="H138" s="5"/>
      <c r="I138" s="5"/>
      <c r="J138" s="5"/>
      <c r="K138" s="5"/>
      <c r="L138" s="78"/>
      <c r="M138" s="76"/>
      <c r="N138" s="74"/>
      <c r="O138" s="7"/>
      <c r="Q138" s="5"/>
      <c r="R138" s="5"/>
      <c r="S138" s="5"/>
      <c r="T138" s="5"/>
      <c r="U138" s="5"/>
      <c r="V138" s="5"/>
      <c r="W138" s="5"/>
      <c r="X138" s="5"/>
    </row>
    <row r="139" spans="2:25" ht="21.75" thickBot="1" x14ac:dyDescent="0.4">
      <c r="B139" s="7"/>
      <c r="C139" s="1"/>
      <c r="D139" s="5"/>
      <c r="E139" s="5"/>
      <c r="F139" s="267">
        <f>K137+J137+I137+H137+G137+F137+E137+D137+L137</f>
        <v>12757</v>
      </c>
      <c r="G139" s="268"/>
      <c r="H139" s="269"/>
      <c r="I139" s="5"/>
      <c r="J139" s="5"/>
      <c r="K139" s="5"/>
      <c r="L139" s="71"/>
      <c r="M139" s="74"/>
      <c r="N139" s="74"/>
      <c r="O139" s="7"/>
      <c r="Q139" s="5"/>
      <c r="R139" s="5"/>
      <c r="S139" s="270">
        <f>Q137+R137+S137+T137+U137+V137+W137+X137</f>
        <v>21698</v>
      </c>
      <c r="T139" s="271"/>
      <c r="U139" s="272"/>
      <c r="V139" s="5"/>
      <c r="W139" s="5"/>
      <c r="X139" s="5"/>
    </row>
    <row r="140" spans="2:25" s="80" customFormat="1" ht="21" x14ac:dyDescent="0.35">
      <c r="B140" s="235"/>
      <c r="C140" s="129"/>
      <c r="D140" s="78"/>
      <c r="E140" s="78"/>
      <c r="F140" s="236"/>
      <c r="G140" s="237"/>
      <c r="H140" s="237"/>
      <c r="I140" s="78"/>
      <c r="J140" s="78"/>
      <c r="K140" s="78"/>
      <c r="L140" s="71"/>
      <c r="M140" s="74"/>
      <c r="N140" s="74"/>
      <c r="O140" s="235"/>
      <c r="Q140" s="78"/>
      <c r="R140" s="78"/>
      <c r="S140" s="236"/>
      <c r="T140" s="237"/>
      <c r="U140" s="237"/>
      <c r="V140" s="78"/>
      <c r="W140" s="78"/>
      <c r="X140" s="78"/>
    </row>
    <row r="148" spans="2:25" ht="15.75" thickBot="1" x14ac:dyDescent="0.3"/>
    <row r="149" spans="2:25" ht="22.5" thickTop="1" thickBot="1" x14ac:dyDescent="0.4">
      <c r="B149" s="7"/>
      <c r="C149" s="260" t="s">
        <v>36</v>
      </c>
      <c r="D149" s="261"/>
      <c r="E149" s="261"/>
      <c r="F149" s="261"/>
      <c r="G149" s="261"/>
      <c r="H149" s="261"/>
      <c r="I149" s="261"/>
      <c r="J149" s="261"/>
      <c r="K149" s="261"/>
      <c r="L149" s="128" t="s">
        <v>41</v>
      </c>
      <c r="M149" s="133"/>
      <c r="N149" s="81"/>
      <c r="O149" s="262" t="s">
        <v>19</v>
      </c>
      <c r="P149" s="263"/>
      <c r="Q149" s="263"/>
      <c r="R149" s="263"/>
      <c r="S149" s="263"/>
      <c r="T149" s="263"/>
      <c r="U149" s="263"/>
      <c r="V149" s="263"/>
      <c r="W149" s="263"/>
      <c r="X149" s="190" t="str">
        <f>L149</f>
        <v># 01</v>
      </c>
    </row>
    <row r="150" spans="2:25" ht="16.5" thickBot="1" x14ac:dyDescent="0.3">
      <c r="B150" s="7"/>
      <c r="C150" s="1"/>
      <c r="I150" s="264" t="s">
        <v>248</v>
      </c>
      <c r="J150" s="265"/>
      <c r="K150" s="266"/>
      <c r="L150" s="68"/>
      <c r="M150" s="134"/>
      <c r="N150" s="74"/>
      <c r="O150" s="7"/>
      <c r="V150" s="264" t="str">
        <f>I150</f>
        <v>del   01- al  3   NOVIEMBRE  2023</v>
      </c>
      <c r="W150" s="265"/>
      <c r="X150" s="266"/>
    </row>
    <row r="151" spans="2:25" ht="64.5" thickTop="1" thickBot="1" x14ac:dyDescent="0.3">
      <c r="B151" s="6" t="s">
        <v>0</v>
      </c>
      <c r="C151" s="24" t="s">
        <v>1</v>
      </c>
      <c r="D151" s="25" t="s">
        <v>2</v>
      </c>
      <c r="E151" s="26" t="s">
        <v>7</v>
      </c>
      <c r="F151" s="56" t="s">
        <v>38</v>
      </c>
      <c r="G151" s="25" t="s">
        <v>3</v>
      </c>
      <c r="H151" s="27" t="s">
        <v>22</v>
      </c>
      <c r="I151" s="184" t="s">
        <v>4</v>
      </c>
      <c r="J151" s="61" t="s">
        <v>8</v>
      </c>
      <c r="K151" s="183" t="s">
        <v>5</v>
      </c>
      <c r="L151" s="99" t="s">
        <v>46</v>
      </c>
      <c r="M151" s="135"/>
      <c r="N151" s="82"/>
      <c r="O151" s="36" t="s">
        <v>0</v>
      </c>
      <c r="P151" s="143" t="s">
        <v>1</v>
      </c>
      <c r="Q151" s="137" t="s">
        <v>2</v>
      </c>
      <c r="R151" s="138" t="s">
        <v>16</v>
      </c>
      <c r="S151" s="138" t="s">
        <v>38</v>
      </c>
      <c r="T151" s="137" t="s">
        <v>3</v>
      </c>
      <c r="U151" s="137" t="s">
        <v>4</v>
      </c>
      <c r="V151" s="141" t="s">
        <v>25</v>
      </c>
      <c r="W151" s="136" t="s">
        <v>8</v>
      </c>
      <c r="X151" s="142" t="s">
        <v>5</v>
      </c>
    </row>
    <row r="152" spans="2:25" ht="45.75" customHeight="1" x14ac:dyDescent="0.25">
      <c r="B152" s="93" t="s">
        <v>249</v>
      </c>
      <c r="C152" s="234" t="s">
        <v>250</v>
      </c>
      <c r="D152" s="72"/>
      <c r="E152" s="72"/>
      <c r="F152" s="72"/>
      <c r="G152" s="72"/>
      <c r="H152" s="72"/>
      <c r="I152" s="72"/>
      <c r="J152" s="72"/>
      <c r="K152" s="72">
        <f>1125+995</f>
        <v>2120</v>
      </c>
      <c r="L152" s="71"/>
      <c r="M152" s="131"/>
      <c r="N152" s="74"/>
      <c r="O152" s="93" t="s">
        <v>249</v>
      </c>
      <c r="P152" s="234" t="s">
        <v>257</v>
      </c>
      <c r="Q152" s="72"/>
      <c r="R152" s="72"/>
      <c r="S152" s="72"/>
      <c r="T152" s="72"/>
      <c r="U152" s="72"/>
      <c r="V152" s="72"/>
      <c r="W152" s="72"/>
      <c r="X152" s="72">
        <f>2416+1682</f>
        <v>4098</v>
      </c>
    </row>
    <row r="153" spans="2:25" ht="67.5" customHeight="1" x14ac:dyDescent="0.25">
      <c r="B153" s="93" t="s">
        <v>249</v>
      </c>
      <c r="C153" s="44"/>
      <c r="D153" s="67"/>
      <c r="E153" s="67"/>
      <c r="F153" s="67"/>
      <c r="G153" s="67"/>
      <c r="H153" s="67"/>
      <c r="I153" s="67"/>
      <c r="J153" s="67"/>
      <c r="K153" s="67"/>
      <c r="L153" s="67"/>
      <c r="M153" s="131"/>
      <c r="N153" s="74"/>
      <c r="O153" s="93" t="s">
        <v>249</v>
      </c>
      <c r="P153" s="44" t="s">
        <v>258</v>
      </c>
      <c r="Q153" s="67"/>
      <c r="R153" s="67"/>
      <c r="S153" s="67">
        <f>72+192</f>
        <v>264</v>
      </c>
      <c r="T153" s="67"/>
      <c r="U153" s="67"/>
      <c r="V153" s="67"/>
      <c r="W153" s="67"/>
      <c r="X153" s="67"/>
    </row>
    <row r="154" spans="2:25" ht="34.5" customHeight="1" x14ac:dyDescent="0.25">
      <c r="B154" s="93" t="s">
        <v>249</v>
      </c>
      <c r="C154" s="44"/>
      <c r="D154" s="67"/>
      <c r="E154" s="67"/>
      <c r="F154" s="67"/>
      <c r="G154" s="67"/>
      <c r="H154" s="67"/>
      <c r="I154" s="67"/>
      <c r="J154" s="67"/>
      <c r="K154" s="67"/>
      <c r="L154" s="67"/>
      <c r="M154" s="131"/>
      <c r="N154" s="74"/>
      <c r="O154" s="93" t="s">
        <v>249</v>
      </c>
      <c r="P154" s="44" t="s">
        <v>260</v>
      </c>
      <c r="Q154" s="67"/>
      <c r="R154" s="67"/>
      <c r="S154" s="67"/>
      <c r="T154" s="67"/>
      <c r="U154" s="67"/>
      <c r="V154" s="67"/>
      <c r="W154" s="67">
        <v>150</v>
      </c>
      <c r="X154" s="67"/>
    </row>
    <row r="155" spans="2:25" ht="43.5" customHeight="1" x14ac:dyDescent="0.25">
      <c r="B155" s="93" t="s">
        <v>249</v>
      </c>
      <c r="C155" s="96"/>
      <c r="D155" s="67"/>
      <c r="E155" s="67"/>
      <c r="F155" s="67"/>
      <c r="G155" s="67"/>
      <c r="H155" s="67"/>
      <c r="I155" s="67"/>
      <c r="J155" s="67"/>
      <c r="K155" s="67"/>
      <c r="L155" s="67"/>
      <c r="M155" s="131"/>
      <c r="N155" s="74"/>
      <c r="O155" s="93" t="s">
        <v>249</v>
      </c>
      <c r="P155" s="239" t="s">
        <v>261</v>
      </c>
      <c r="Q155" s="67"/>
      <c r="R155" s="67">
        <v>130</v>
      </c>
      <c r="S155" s="67"/>
      <c r="T155" s="67"/>
      <c r="U155" s="67"/>
      <c r="V155" s="67"/>
      <c r="W155" s="67"/>
      <c r="X155" s="67"/>
    </row>
    <row r="156" spans="2:25" ht="34.5" customHeight="1" x14ac:dyDescent="0.25">
      <c r="B156" s="93" t="s">
        <v>249</v>
      </c>
      <c r="C156" s="44"/>
      <c r="D156" s="67"/>
      <c r="E156" s="67"/>
      <c r="F156" s="67"/>
      <c r="G156" s="67"/>
      <c r="H156" s="67"/>
      <c r="I156" s="67"/>
      <c r="J156" s="67"/>
      <c r="K156" s="67"/>
      <c r="L156" s="67"/>
      <c r="M156" s="131"/>
      <c r="N156" s="74"/>
      <c r="O156" s="93" t="s">
        <v>249</v>
      </c>
      <c r="P156" s="95" t="s">
        <v>140</v>
      </c>
      <c r="Q156" s="67"/>
      <c r="R156" s="67"/>
      <c r="S156" s="67"/>
      <c r="T156" s="67"/>
      <c r="U156" s="67"/>
      <c r="V156" s="67">
        <f>750+760+1711.5</f>
        <v>3221.5</v>
      </c>
      <c r="W156" s="67"/>
      <c r="X156" s="67"/>
      <c r="Y156" s="242"/>
    </row>
    <row r="157" spans="2:25" ht="38.25" customHeight="1" x14ac:dyDescent="0.25">
      <c r="B157" s="93" t="s">
        <v>249</v>
      </c>
      <c r="C157" s="44"/>
      <c r="D157" s="67"/>
      <c r="E157" s="67"/>
      <c r="F157" s="67"/>
      <c r="G157" s="67"/>
      <c r="H157" s="67"/>
      <c r="I157" s="67"/>
      <c r="J157" s="67"/>
      <c r="K157" s="67"/>
      <c r="L157" s="67"/>
      <c r="M157" s="131"/>
      <c r="N157" s="74"/>
      <c r="O157" s="93" t="s">
        <v>249</v>
      </c>
      <c r="P157" s="195" t="s">
        <v>217</v>
      </c>
      <c r="Q157" s="72"/>
      <c r="R157" s="72"/>
      <c r="S157" s="72"/>
      <c r="T157" s="72"/>
      <c r="U157" s="72"/>
      <c r="V157" s="72">
        <v>204</v>
      </c>
      <c r="W157" s="72"/>
      <c r="X157" s="67"/>
    </row>
    <row r="158" spans="2:25" ht="33" customHeight="1" x14ac:dyDescent="0.25">
      <c r="B158" s="93" t="s">
        <v>249</v>
      </c>
      <c r="C158" s="44"/>
      <c r="D158" s="67"/>
      <c r="E158" s="67"/>
      <c r="F158" s="67"/>
      <c r="G158" s="67"/>
      <c r="H158" s="67"/>
      <c r="I158" s="67"/>
      <c r="J158" s="94"/>
      <c r="K158" s="67"/>
      <c r="L158" s="67"/>
      <c r="M158" s="131"/>
      <c r="N158" s="74"/>
      <c r="O158" s="93" t="s">
        <v>249</v>
      </c>
      <c r="P158" s="194"/>
      <c r="Q158" s="72"/>
      <c r="R158" s="72"/>
      <c r="S158" s="72"/>
      <c r="T158" s="72"/>
      <c r="U158" s="72"/>
      <c r="V158" s="72"/>
      <c r="W158" s="72"/>
      <c r="X158" s="67"/>
      <c r="Y158" s="129"/>
    </row>
    <row r="159" spans="2:25" ht="37.5" customHeight="1" x14ac:dyDescent="0.25">
      <c r="B159" s="93" t="s">
        <v>249</v>
      </c>
      <c r="C159" s="42" t="s">
        <v>217</v>
      </c>
      <c r="D159" s="67"/>
      <c r="E159" s="67"/>
      <c r="F159" s="67"/>
      <c r="G159" s="67"/>
      <c r="H159" s="67">
        <v>85</v>
      </c>
      <c r="I159" s="67"/>
      <c r="J159" s="67"/>
      <c r="K159" s="67"/>
      <c r="L159" s="67"/>
      <c r="M159" s="131"/>
      <c r="N159" s="74"/>
      <c r="O159" s="93" t="s">
        <v>249</v>
      </c>
      <c r="P159" s="194"/>
      <c r="Q159" s="72"/>
      <c r="R159" s="72"/>
      <c r="S159" s="72"/>
      <c r="T159" s="72"/>
      <c r="U159" s="72"/>
      <c r="V159" s="72"/>
      <c r="W159" s="72"/>
      <c r="X159" s="67"/>
    </row>
    <row r="160" spans="2:25" ht="44.25" customHeight="1" x14ac:dyDescent="0.25">
      <c r="B160" s="93" t="s">
        <v>249</v>
      </c>
      <c r="C160" s="95" t="s">
        <v>239</v>
      </c>
      <c r="D160" s="67"/>
      <c r="E160" s="67"/>
      <c r="F160" s="67"/>
      <c r="G160" s="67"/>
      <c r="H160" s="67">
        <f>330+420</f>
        <v>750</v>
      </c>
      <c r="I160" s="67"/>
      <c r="J160" s="67"/>
      <c r="K160" s="67"/>
      <c r="L160" s="67"/>
      <c r="M160" s="131"/>
      <c r="N160" s="74"/>
      <c r="O160" s="93" t="s">
        <v>249</v>
      </c>
      <c r="P160" s="192"/>
      <c r="Q160" s="72"/>
      <c r="R160" s="72"/>
      <c r="S160" s="72"/>
      <c r="T160" s="72"/>
      <c r="U160" s="72"/>
      <c r="V160" s="72"/>
      <c r="W160" s="72"/>
      <c r="X160" s="67"/>
    </row>
    <row r="161" spans="2:24" ht="24" customHeight="1" thickBot="1" x14ac:dyDescent="0.3">
      <c r="B161" s="93" t="s">
        <v>249</v>
      </c>
      <c r="C161" s="42" t="s">
        <v>207</v>
      </c>
      <c r="D161" s="67"/>
      <c r="E161" s="67"/>
      <c r="F161" s="67"/>
      <c r="G161" s="67"/>
      <c r="H161" s="67"/>
      <c r="I161" s="67"/>
      <c r="J161" s="67"/>
      <c r="K161" s="67"/>
      <c r="L161" s="11">
        <v>500</v>
      </c>
      <c r="M161" s="131"/>
      <c r="N161" s="74"/>
      <c r="O161" s="93" t="s">
        <v>249</v>
      </c>
      <c r="P161" s="193"/>
      <c r="Q161" s="72"/>
      <c r="R161" s="72"/>
      <c r="S161" s="72"/>
      <c r="T161" s="72"/>
      <c r="U161" s="72"/>
      <c r="V161" s="72"/>
      <c r="W161" s="72"/>
      <c r="X161" s="67"/>
    </row>
    <row r="162" spans="2:24" ht="15.75" hidden="1" thickBot="1" x14ac:dyDescent="0.3">
      <c r="B162" s="93"/>
      <c r="C162" s="95"/>
      <c r="D162" s="67"/>
      <c r="E162" s="67"/>
      <c r="F162" s="67"/>
      <c r="G162" s="67"/>
      <c r="H162" s="67"/>
      <c r="I162" s="67"/>
      <c r="J162" s="67"/>
      <c r="K162" s="67"/>
      <c r="L162" s="11"/>
      <c r="M162" s="131"/>
      <c r="N162" s="74"/>
      <c r="O162" s="93"/>
      <c r="P162" s="88"/>
      <c r="Q162" s="72"/>
      <c r="R162" s="72"/>
      <c r="S162" s="72"/>
      <c r="T162" s="72"/>
      <c r="U162" s="72"/>
      <c r="V162" s="72"/>
      <c r="W162" s="72"/>
      <c r="X162" s="67"/>
    </row>
    <row r="163" spans="2:24" ht="15.75" hidden="1" thickBot="1" x14ac:dyDescent="0.3">
      <c r="B163" s="93"/>
      <c r="C163" s="10"/>
      <c r="D163" s="67"/>
      <c r="E163" s="67"/>
      <c r="F163" s="67"/>
      <c r="G163" s="67"/>
      <c r="H163" s="67"/>
      <c r="I163" s="67"/>
      <c r="J163" s="67"/>
      <c r="K163" s="67"/>
      <c r="L163" s="11"/>
      <c r="M163" s="131"/>
      <c r="N163" s="74"/>
      <c r="O163" s="93"/>
      <c r="P163" s="91"/>
      <c r="Q163" s="67"/>
      <c r="R163" s="67"/>
      <c r="S163" s="67"/>
      <c r="T163" s="67"/>
      <c r="U163" s="67"/>
      <c r="V163" s="67"/>
      <c r="W163" s="67"/>
      <c r="X163" s="67"/>
    </row>
    <row r="164" spans="2:24" ht="15.75" hidden="1" thickBot="1" x14ac:dyDescent="0.3">
      <c r="B164" s="93"/>
      <c r="C164" s="10"/>
      <c r="D164" s="67"/>
      <c r="E164" s="67"/>
      <c r="F164" s="67"/>
      <c r="G164" s="67"/>
      <c r="H164" s="67"/>
      <c r="I164" s="67"/>
      <c r="J164" s="67"/>
      <c r="K164" s="67"/>
      <c r="L164" s="11"/>
      <c r="M164" s="131"/>
      <c r="N164" s="74"/>
      <c r="O164" s="93"/>
      <c r="P164" s="91"/>
      <c r="Q164" s="67"/>
      <c r="R164" s="67"/>
      <c r="S164" s="67"/>
      <c r="T164" s="67"/>
      <c r="U164" s="67"/>
      <c r="V164" s="67"/>
      <c r="W164" s="67"/>
      <c r="X164" s="67"/>
    </row>
    <row r="165" spans="2:24" ht="15.75" hidden="1" thickBot="1" x14ac:dyDescent="0.3">
      <c r="B165" s="9"/>
      <c r="C165" s="34"/>
      <c r="D165" s="73"/>
      <c r="E165" s="73"/>
      <c r="F165" s="73"/>
      <c r="G165" s="73"/>
      <c r="H165" s="73"/>
      <c r="I165" s="73"/>
      <c r="J165" s="73"/>
      <c r="K165" s="73"/>
      <c r="L165" s="20"/>
      <c r="M165" s="131"/>
      <c r="N165" s="74"/>
      <c r="O165" s="46"/>
      <c r="P165" s="51"/>
      <c r="Q165" s="73">
        <v>0</v>
      </c>
      <c r="R165" s="73"/>
      <c r="S165" s="73"/>
      <c r="T165" s="73"/>
      <c r="U165" s="73"/>
      <c r="V165" s="73"/>
      <c r="W165" s="73"/>
      <c r="X165" s="73"/>
    </row>
    <row r="166" spans="2:24" ht="24" thickBot="1" x14ac:dyDescent="0.3">
      <c r="B166" s="7"/>
      <c r="C166" s="35" t="s">
        <v>18</v>
      </c>
      <c r="D166" s="30">
        <f>SUM(D152:D165)</f>
        <v>0</v>
      </c>
      <c r="E166" s="30">
        <f t="shared" ref="E166:L166" si="10">SUM(E152:E165)</f>
        <v>0</v>
      </c>
      <c r="F166" s="30">
        <f t="shared" si="10"/>
        <v>0</v>
      </c>
      <c r="G166" s="30">
        <f t="shared" si="10"/>
        <v>0</v>
      </c>
      <c r="H166" s="30">
        <f t="shared" si="10"/>
        <v>835</v>
      </c>
      <c r="I166" s="30">
        <f t="shared" si="10"/>
        <v>0</v>
      </c>
      <c r="J166" s="30">
        <f t="shared" si="10"/>
        <v>0</v>
      </c>
      <c r="K166" s="30">
        <f t="shared" si="10"/>
        <v>2120</v>
      </c>
      <c r="L166" s="30">
        <f t="shared" si="10"/>
        <v>500</v>
      </c>
      <c r="M166" s="132"/>
      <c r="N166" s="74"/>
      <c r="O166" s="7"/>
      <c r="P166" s="33" t="s">
        <v>18</v>
      </c>
      <c r="Q166" s="21">
        <f t="shared" ref="Q166:X166" si="11">SUM(Q152:Q165)</f>
        <v>0</v>
      </c>
      <c r="R166" s="21">
        <f t="shared" si="11"/>
        <v>130</v>
      </c>
      <c r="S166" s="21">
        <f t="shared" si="11"/>
        <v>264</v>
      </c>
      <c r="T166" s="21">
        <f t="shared" si="11"/>
        <v>0</v>
      </c>
      <c r="U166" s="21">
        <f t="shared" si="11"/>
        <v>0</v>
      </c>
      <c r="V166" s="21">
        <f t="shared" si="11"/>
        <v>3425.5</v>
      </c>
      <c r="W166" s="21">
        <f t="shared" si="11"/>
        <v>150</v>
      </c>
      <c r="X166" s="21">
        <f t="shared" si="11"/>
        <v>4098</v>
      </c>
    </row>
    <row r="167" spans="2:24" ht="15.75" thickBot="1" x14ac:dyDescent="0.3">
      <c r="B167" s="7"/>
      <c r="C167" s="1"/>
      <c r="D167" s="5"/>
      <c r="E167" s="5"/>
      <c r="F167" s="5"/>
      <c r="G167" s="5"/>
      <c r="H167" s="5"/>
      <c r="I167" s="5"/>
      <c r="J167" s="5"/>
      <c r="K167" s="5"/>
      <c r="L167" s="78"/>
      <c r="M167" s="76"/>
      <c r="N167" s="74"/>
      <c r="O167" s="7"/>
      <c r="Q167" s="5"/>
      <c r="R167" s="5"/>
      <c r="S167" s="5"/>
      <c r="T167" s="5"/>
      <c r="U167" s="5"/>
      <c r="V167" s="5"/>
      <c r="W167" s="5"/>
      <c r="X167" s="5"/>
    </row>
    <row r="168" spans="2:24" ht="21.75" thickBot="1" x14ac:dyDescent="0.4">
      <c r="B168" s="7"/>
      <c r="C168" s="1"/>
      <c r="D168" s="5"/>
      <c r="E168" s="5"/>
      <c r="F168" s="267">
        <f>K166+J166+I166+H166+G166+F166+E166+D166+L166</f>
        <v>3455</v>
      </c>
      <c r="G168" s="268"/>
      <c r="H168" s="269"/>
      <c r="I168" s="5"/>
      <c r="J168" s="5"/>
      <c r="K168" s="5"/>
      <c r="L168" s="71"/>
      <c r="M168" s="74"/>
      <c r="N168" s="74"/>
      <c r="O168" s="7"/>
      <c r="Q168" s="5"/>
      <c r="R168" s="5"/>
      <c r="S168" s="270">
        <f>Q166+R166+S166+T166+U166+V166+W166+X166</f>
        <v>8067.5</v>
      </c>
      <c r="T168" s="271"/>
      <c r="U168" s="272"/>
      <c r="V168" s="5"/>
      <c r="W168" s="5"/>
      <c r="X168" s="5"/>
    </row>
    <row r="169" spans="2:24" s="80" customFormat="1" ht="21" x14ac:dyDescent="0.35">
      <c r="B169" s="235"/>
      <c r="C169" s="129"/>
      <c r="D169" s="78"/>
      <c r="E169" s="78"/>
      <c r="F169" s="236"/>
      <c r="G169" s="237"/>
      <c r="H169" s="237"/>
      <c r="I169" s="78"/>
      <c r="J169" s="78"/>
      <c r="K169" s="78"/>
      <c r="L169" s="71"/>
      <c r="M169" s="74"/>
      <c r="N169" s="74"/>
      <c r="O169" s="235"/>
      <c r="Q169" s="78"/>
      <c r="R169" s="78"/>
      <c r="S169" s="236"/>
      <c r="T169" s="237"/>
      <c r="U169" s="237"/>
      <c r="V169" s="78"/>
      <c r="W169" s="78"/>
      <c r="X169" s="78"/>
    </row>
  </sheetData>
  <mergeCells count="36">
    <mergeCell ref="C2:K2"/>
    <mergeCell ref="O2:W2"/>
    <mergeCell ref="I3:K3"/>
    <mergeCell ref="V3:X3"/>
    <mergeCell ref="F21:H21"/>
    <mergeCell ref="S21:U21"/>
    <mergeCell ref="C29:K29"/>
    <mergeCell ref="O29:W29"/>
    <mergeCell ref="I30:K30"/>
    <mergeCell ref="V30:X30"/>
    <mergeCell ref="F48:H48"/>
    <mergeCell ref="S48:U48"/>
    <mergeCell ref="C149:K149"/>
    <mergeCell ref="O149:W149"/>
    <mergeCell ref="I150:K150"/>
    <mergeCell ref="V150:X150"/>
    <mergeCell ref="F168:H168"/>
    <mergeCell ref="S168:U168"/>
    <mergeCell ref="C120:K120"/>
    <mergeCell ref="O120:W120"/>
    <mergeCell ref="I121:K121"/>
    <mergeCell ref="V121:X121"/>
    <mergeCell ref="F139:H139"/>
    <mergeCell ref="S139:U139"/>
    <mergeCell ref="C89:K89"/>
    <mergeCell ref="O89:W89"/>
    <mergeCell ref="I90:K90"/>
    <mergeCell ref="V90:X90"/>
    <mergeCell ref="F108:H108"/>
    <mergeCell ref="S108:U108"/>
    <mergeCell ref="C60:K60"/>
    <mergeCell ref="O60:W60"/>
    <mergeCell ref="I61:K61"/>
    <mergeCell ref="V61:X61"/>
    <mergeCell ref="F79:H79"/>
    <mergeCell ref="S79:U79"/>
  </mergeCells>
  <pageMargins left="0.23622047244094491" right="0.23622047244094491" top="0.31496062992125984" bottom="0.27559055118110237" header="0.31496062992125984" footer="0.31496062992125984"/>
  <pageSetup scale="8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169"/>
  <sheetViews>
    <sheetView zoomScaleNormal="100" workbookViewId="0">
      <selection activeCell="P37" sqref="P37"/>
    </sheetView>
  </sheetViews>
  <sheetFormatPr baseColWidth="10" defaultRowHeight="15" x14ac:dyDescent="0.25"/>
  <cols>
    <col min="1" max="1" width="4.7109375" customWidth="1"/>
    <col min="3" max="3" width="29.85546875" customWidth="1"/>
    <col min="4" max="4" width="14" customWidth="1"/>
    <col min="6" max="6" width="13.140625" customWidth="1"/>
    <col min="8" max="8" width="13" customWidth="1"/>
    <col min="10" max="10" width="15.140625" customWidth="1"/>
    <col min="12" max="12" width="15.140625" customWidth="1"/>
    <col min="16" max="16" width="26.42578125" customWidth="1"/>
    <col min="19" max="19" width="13.85546875" customWidth="1"/>
    <col min="23" max="23" width="13.7109375" customWidth="1"/>
    <col min="24" max="24" width="15.28515625" customWidth="1"/>
  </cols>
  <sheetData>
    <row r="1" spans="2:25" ht="15.75" thickBot="1" x14ac:dyDescent="0.3"/>
    <row r="2" spans="2:25" ht="22.5" thickTop="1" thickBot="1" x14ac:dyDescent="0.4">
      <c r="B2" s="7"/>
      <c r="C2" s="260" t="s">
        <v>36</v>
      </c>
      <c r="D2" s="261"/>
      <c r="E2" s="261"/>
      <c r="F2" s="261"/>
      <c r="G2" s="261"/>
      <c r="H2" s="261"/>
      <c r="I2" s="261"/>
      <c r="J2" s="261"/>
      <c r="K2" s="261"/>
      <c r="L2" s="128" t="s">
        <v>208</v>
      </c>
      <c r="M2" s="133"/>
      <c r="N2" s="81"/>
      <c r="O2" s="262" t="s">
        <v>19</v>
      </c>
      <c r="P2" s="263"/>
      <c r="Q2" s="263"/>
      <c r="R2" s="263"/>
      <c r="S2" s="263"/>
      <c r="T2" s="263"/>
      <c r="U2" s="263"/>
      <c r="V2" s="263"/>
      <c r="W2" s="263"/>
      <c r="X2" s="190" t="str">
        <f>L2</f>
        <v># 05</v>
      </c>
    </row>
    <row r="3" spans="2:25" ht="16.5" thickBot="1" x14ac:dyDescent="0.3">
      <c r="B3" s="7"/>
      <c r="C3" s="1"/>
      <c r="I3" s="264" t="s">
        <v>242</v>
      </c>
      <c r="J3" s="265"/>
      <c r="K3" s="266"/>
      <c r="L3" s="68"/>
      <c r="M3" s="134"/>
      <c r="N3" s="74"/>
      <c r="O3" s="7"/>
      <c r="V3" s="264" t="str">
        <f>I3</f>
        <v>del       28--- al  31    OCTUBRE-2023</v>
      </c>
      <c r="W3" s="265"/>
      <c r="X3" s="266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5" ht="60.75" customHeight="1" x14ac:dyDescent="0.25">
      <c r="B5" s="93" t="s">
        <v>241</v>
      </c>
      <c r="C5" s="234" t="s">
        <v>243</v>
      </c>
      <c r="D5" s="72"/>
      <c r="E5" s="72"/>
      <c r="F5" s="72"/>
      <c r="G5" s="72"/>
      <c r="H5" s="72"/>
      <c r="I5" s="72"/>
      <c r="J5" s="72"/>
      <c r="K5" s="72">
        <f>436+1844</f>
        <v>2280</v>
      </c>
      <c r="L5" s="71"/>
      <c r="M5" s="131"/>
      <c r="N5" s="74"/>
      <c r="O5" s="93" t="s">
        <v>241</v>
      </c>
      <c r="P5" s="234" t="s">
        <v>255</v>
      </c>
      <c r="Q5" s="72"/>
      <c r="R5" s="72"/>
      <c r="S5" s="72"/>
      <c r="T5" s="72"/>
      <c r="U5" s="72"/>
      <c r="V5" s="72"/>
      <c r="W5" s="72"/>
      <c r="X5" s="72">
        <f>175+2290</f>
        <v>2465</v>
      </c>
    </row>
    <row r="6" spans="2:25" ht="67.5" customHeight="1" x14ac:dyDescent="0.25">
      <c r="B6" s="93" t="s">
        <v>241</v>
      </c>
      <c r="C6" s="44" t="s">
        <v>244</v>
      </c>
      <c r="D6" s="67"/>
      <c r="E6" s="67"/>
      <c r="F6" s="67">
        <f>983+86+240+510</f>
        <v>1819</v>
      </c>
      <c r="G6" s="67"/>
      <c r="H6" s="67"/>
      <c r="I6" s="67"/>
      <c r="J6" s="67"/>
      <c r="K6" s="67"/>
      <c r="L6" s="67"/>
      <c r="M6" s="131"/>
      <c r="N6" s="74"/>
      <c r="O6" s="93" t="s">
        <v>241</v>
      </c>
      <c r="P6" s="44" t="s">
        <v>256</v>
      </c>
      <c r="Q6" s="67"/>
      <c r="R6" s="67"/>
      <c r="S6" s="67">
        <f>1581+300+850+76</f>
        <v>2807</v>
      </c>
      <c r="T6" s="67"/>
      <c r="U6" s="67"/>
      <c r="V6" s="67"/>
      <c r="W6" s="67"/>
      <c r="X6" s="67"/>
    </row>
    <row r="7" spans="2:25" ht="34.5" customHeight="1" x14ac:dyDescent="0.25">
      <c r="B7" s="93" t="s">
        <v>241</v>
      </c>
      <c r="C7" s="44" t="s">
        <v>245</v>
      </c>
      <c r="D7" s="67">
        <f>70+177+281</f>
        <v>528</v>
      </c>
      <c r="E7" s="67"/>
      <c r="F7" s="67"/>
      <c r="G7" s="67"/>
      <c r="H7" s="67"/>
      <c r="I7" s="67"/>
      <c r="J7" s="67"/>
      <c r="K7" s="67"/>
      <c r="L7" s="67"/>
      <c r="M7" s="131"/>
      <c r="N7" s="74"/>
      <c r="O7" s="93" t="s">
        <v>241</v>
      </c>
      <c r="P7" s="44" t="s">
        <v>251</v>
      </c>
      <c r="Q7" s="67">
        <v>306</v>
      </c>
      <c r="R7" s="67"/>
      <c r="S7" s="67"/>
      <c r="T7" s="67"/>
      <c r="U7" s="67"/>
      <c r="V7" s="67"/>
      <c r="W7" s="67"/>
      <c r="X7" s="67"/>
    </row>
    <row r="8" spans="2:25" ht="43.5" customHeight="1" x14ac:dyDescent="0.25">
      <c r="B8" s="93" t="s">
        <v>241</v>
      </c>
      <c r="C8" s="96" t="s">
        <v>252</v>
      </c>
      <c r="D8" s="67"/>
      <c r="E8" s="67"/>
      <c r="F8" s="67"/>
      <c r="G8" s="67">
        <v>60</v>
      </c>
      <c r="H8" s="67"/>
      <c r="I8" s="67"/>
      <c r="J8" s="67"/>
      <c r="K8" s="67"/>
      <c r="L8" s="67"/>
      <c r="M8" s="131"/>
      <c r="N8" s="74"/>
      <c r="O8" s="93" t="s">
        <v>241</v>
      </c>
      <c r="P8" s="239" t="s">
        <v>12</v>
      </c>
      <c r="Q8" s="67"/>
      <c r="R8" s="67"/>
      <c r="S8" s="67"/>
      <c r="T8" s="67"/>
      <c r="U8" s="67">
        <v>939</v>
      </c>
      <c r="V8" s="67"/>
      <c r="W8" s="67"/>
      <c r="X8" s="67"/>
    </row>
    <row r="9" spans="2:25" ht="43.5" customHeight="1" x14ac:dyDescent="0.25">
      <c r="B9" s="93" t="s">
        <v>241</v>
      </c>
      <c r="C9" s="44" t="s">
        <v>236</v>
      </c>
      <c r="D9" s="67"/>
      <c r="E9" s="67"/>
      <c r="F9" s="67"/>
      <c r="G9" s="67"/>
      <c r="H9" s="67"/>
      <c r="I9" s="67">
        <v>935</v>
      </c>
      <c r="J9" s="67"/>
      <c r="K9" s="67"/>
      <c r="L9" s="67"/>
      <c r="M9" s="131"/>
      <c r="N9" s="74"/>
      <c r="O9" s="93" t="s">
        <v>241</v>
      </c>
      <c r="P9" s="44" t="s">
        <v>253</v>
      </c>
      <c r="Q9" s="67"/>
      <c r="R9" s="67"/>
      <c r="S9" s="67"/>
      <c r="T9" s="67"/>
      <c r="U9" s="67"/>
      <c r="V9" s="67"/>
      <c r="W9" s="67">
        <f>280+81+111+145</f>
        <v>617</v>
      </c>
      <c r="X9" s="67"/>
      <c r="Y9" s="242"/>
    </row>
    <row r="10" spans="2:25" ht="38.25" customHeight="1" x14ac:dyDescent="0.25">
      <c r="B10" s="93" t="s">
        <v>241</v>
      </c>
      <c r="C10" s="44" t="s">
        <v>246</v>
      </c>
      <c r="D10" s="67"/>
      <c r="E10" s="67"/>
      <c r="F10" s="67"/>
      <c r="G10" s="67"/>
      <c r="H10" s="67">
        <v>163</v>
      </c>
      <c r="I10" s="67"/>
      <c r="J10" s="67">
        <f>1203.5</f>
        <v>1203.5</v>
      </c>
      <c r="K10" s="67"/>
      <c r="L10" s="67"/>
      <c r="M10" s="131"/>
      <c r="N10" s="74"/>
      <c r="O10" s="93" t="s">
        <v>241</v>
      </c>
      <c r="P10" s="241" t="s">
        <v>262</v>
      </c>
      <c r="Q10" s="72"/>
      <c r="R10" s="72"/>
      <c r="S10" s="72"/>
      <c r="T10" s="72">
        <f>70+80</f>
        <v>150</v>
      </c>
      <c r="U10" s="72"/>
      <c r="V10" s="72"/>
      <c r="W10" s="72"/>
      <c r="X10" s="67"/>
    </row>
    <row r="11" spans="2:25" ht="33" customHeight="1" x14ac:dyDescent="0.25">
      <c r="B11" s="93" t="s">
        <v>241</v>
      </c>
      <c r="C11" s="44" t="s">
        <v>247</v>
      </c>
      <c r="D11" s="67"/>
      <c r="E11" s="67">
        <v>256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241</v>
      </c>
      <c r="P11" s="194" t="s">
        <v>217</v>
      </c>
      <c r="Q11" s="72"/>
      <c r="R11" s="72"/>
      <c r="S11" s="72"/>
      <c r="T11" s="72"/>
      <c r="U11" s="72"/>
      <c r="V11" s="72">
        <f>170+170+170</f>
        <v>510</v>
      </c>
      <c r="W11" s="72"/>
      <c r="X11" s="67"/>
      <c r="Y11" s="129"/>
    </row>
    <row r="12" spans="2:25" ht="37.5" customHeight="1" x14ac:dyDescent="0.25">
      <c r="B12" s="93" t="s">
        <v>241</v>
      </c>
      <c r="C12" s="42" t="s">
        <v>217</v>
      </c>
      <c r="D12" s="67"/>
      <c r="E12" s="67"/>
      <c r="F12" s="67"/>
      <c r="G12" s="67"/>
      <c r="H12" s="67">
        <f>85+102+68</f>
        <v>255</v>
      </c>
      <c r="I12" s="67"/>
      <c r="J12" s="67"/>
      <c r="K12" s="67"/>
      <c r="L12" s="67"/>
      <c r="M12" s="131"/>
      <c r="N12" s="74"/>
      <c r="O12" s="93" t="s">
        <v>241</v>
      </c>
      <c r="P12" s="194" t="s">
        <v>140</v>
      </c>
      <c r="Q12" s="72"/>
      <c r="R12" s="72"/>
      <c r="S12" s="72"/>
      <c r="T12" s="72"/>
      <c r="U12" s="72"/>
      <c r="V12" s="72">
        <f>750</f>
        <v>750</v>
      </c>
      <c r="W12" s="72"/>
      <c r="X12" s="67"/>
    </row>
    <row r="13" spans="2:25" ht="44.25" customHeight="1" x14ac:dyDescent="0.25">
      <c r="B13" s="93" t="s">
        <v>241</v>
      </c>
      <c r="C13" s="95" t="s">
        <v>239</v>
      </c>
      <c r="D13" s="67"/>
      <c r="E13" s="67"/>
      <c r="F13" s="67"/>
      <c r="G13" s="67"/>
      <c r="H13" s="67">
        <v>330</v>
      </c>
      <c r="I13" s="67"/>
      <c r="J13" s="67"/>
      <c r="K13" s="67"/>
      <c r="L13" s="67"/>
      <c r="M13" s="131"/>
      <c r="N13" s="74"/>
      <c r="O13" s="93" t="s">
        <v>241</v>
      </c>
      <c r="P13" s="192" t="s">
        <v>254</v>
      </c>
      <c r="Q13" s="72"/>
      <c r="R13" s="72">
        <v>490</v>
      </c>
      <c r="S13" s="72"/>
      <c r="T13" s="72"/>
      <c r="U13" s="72"/>
      <c r="V13" s="72"/>
      <c r="W13" s="72"/>
      <c r="X13" s="67"/>
    </row>
    <row r="14" spans="2:25" ht="24" customHeight="1" thickBot="1" x14ac:dyDescent="0.3">
      <c r="B14" s="93" t="s">
        <v>241</v>
      </c>
      <c r="C14" s="42" t="s">
        <v>207</v>
      </c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 t="s">
        <v>241</v>
      </c>
      <c r="P14" s="193"/>
      <c r="Q14" s="72"/>
      <c r="R14" s="72"/>
      <c r="S14" s="72"/>
      <c r="T14" s="72"/>
      <c r="U14" s="72"/>
      <c r="V14" s="72"/>
      <c r="W14" s="72"/>
      <c r="X14" s="67"/>
    </row>
    <row r="15" spans="2:25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B19" s="7"/>
      <c r="C19" s="35" t="s">
        <v>18</v>
      </c>
      <c r="D19" s="30">
        <f>SUM(D5:D18)</f>
        <v>528</v>
      </c>
      <c r="E19" s="30">
        <f t="shared" ref="E19:L19" si="0">SUM(E5:E18)</f>
        <v>256</v>
      </c>
      <c r="F19" s="30">
        <f t="shared" si="0"/>
        <v>1819</v>
      </c>
      <c r="G19" s="30">
        <f t="shared" si="0"/>
        <v>60</v>
      </c>
      <c r="H19" s="30">
        <f t="shared" si="0"/>
        <v>748</v>
      </c>
      <c r="I19" s="30">
        <f t="shared" si="0"/>
        <v>935</v>
      </c>
      <c r="J19" s="30">
        <f t="shared" si="0"/>
        <v>1203.5</v>
      </c>
      <c r="K19" s="30">
        <f t="shared" si="0"/>
        <v>2280</v>
      </c>
      <c r="L19" s="30">
        <f t="shared" si="0"/>
        <v>0</v>
      </c>
      <c r="M19" s="132"/>
      <c r="N19" s="74"/>
      <c r="O19" s="7"/>
      <c r="P19" s="33" t="s">
        <v>18</v>
      </c>
      <c r="Q19" s="21">
        <f t="shared" ref="Q19:X19" si="1">SUM(Q5:Q18)</f>
        <v>306</v>
      </c>
      <c r="R19" s="21">
        <f t="shared" si="1"/>
        <v>490</v>
      </c>
      <c r="S19" s="21">
        <f t="shared" si="1"/>
        <v>2807</v>
      </c>
      <c r="T19" s="21">
        <f t="shared" si="1"/>
        <v>150</v>
      </c>
      <c r="U19" s="21">
        <f t="shared" si="1"/>
        <v>939</v>
      </c>
      <c r="V19" s="21">
        <f t="shared" si="1"/>
        <v>1260</v>
      </c>
      <c r="W19" s="21">
        <f t="shared" si="1"/>
        <v>617</v>
      </c>
      <c r="X19" s="21">
        <f t="shared" si="1"/>
        <v>2465</v>
      </c>
    </row>
    <row r="20" spans="2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B21" s="7"/>
      <c r="C21" s="1"/>
      <c r="D21" s="5"/>
      <c r="E21" s="5"/>
      <c r="F21" s="267">
        <f>K19+J19+I19+H19+G19+F19+E19+D19+L19</f>
        <v>7829.5</v>
      </c>
      <c r="G21" s="268"/>
      <c r="H21" s="269"/>
      <c r="I21" s="5"/>
      <c r="J21" s="5"/>
      <c r="K21" s="5"/>
      <c r="L21" s="71"/>
      <c r="M21" s="74"/>
      <c r="N21" s="74"/>
      <c r="O21" s="7"/>
      <c r="Q21" s="5"/>
      <c r="R21" s="5"/>
      <c r="S21" s="270">
        <f>Q19+R19+S19+T19+U19+V19+W19+X19</f>
        <v>9034</v>
      </c>
      <c r="T21" s="271"/>
      <c r="U21" s="272"/>
      <c r="V21" s="5"/>
      <c r="W21" s="5"/>
      <c r="X21" s="5"/>
    </row>
    <row r="22" spans="2:24" s="80" customFormat="1" ht="21" x14ac:dyDescent="0.35"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29" spans="2:24" ht="15.75" thickBot="1" x14ac:dyDescent="0.3"/>
    <row r="30" spans="2:24" ht="22.5" thickTop="1" thickBot="1" x14ac:dyDescent="0.4">
      <c r="B30" s="7"/>
      <c r="C30" s="260" t="s">
        <v>36</v>
      </c>
      <c r="D30" s="261"/>
      <c r="E30" s="261"/>
      <c r="F30" s="261"/>
      <c r="G30" s="261"/>
      <c r="H30" s="261"/>
      <c r="I30" s="261"/>
      <c r="J30" s="261"/>
      <c r="K30" s="261"/>
      <c r="L30" s="128" t="s">
        <v>88</v>
      </c>
      <c r="M30" s="133"/>
      <c r="N30" s="81"/>
      <c r="O30" s="262" t="s">
        <v>19</v>
      </c>
      <c r="P30" s="263"/>
      <c r="Q30" s="263"/>
      <c r="R30" s="263"/>
      <c r="S30" s="263"/>
      <c r="T30" s="263"/>
      <c r="U30" s="263"/>
      <c r="V30" s="263"/>
      <c r="W30" s="263"/>
      <c r="X30" s="190" t="str">
        <f>L30</f>
        <v># 04</v>
      </c>
    </row>
    <row r="31" spans="2:24" ht="16.5" thickBot="1" x14ac:dyDescent="0.3">
      <c r="B31" s="7"/>
      <c r="C31" s="1"/>
      <c r="I31" s="264" t="s">
        <v>225</v>
      </c>
      <c r="J31" s="265"/>
      <c r="K31" s="266"/>
      <c r="L31" s="68"/>
      <c r="M31" s="134"/>
      <c r="N31" s="74"/>
      <c r="O31" s="7"/>
      <c r="V31" s="264" t="str">
        <f>I31</f>
        <v>del       21--- al  27    OCTUBRE-2023</v>
      </c>
      <c r="W31" s="265"/>
      <c r="X31" s="266"/>
    </row>
    <row r="32" spans="2:24" ht="64.5" thickTop="1" thickBot="1" x14ac:dyDescent="0.3">
      <c r="B32" s="6" t="s">
        <v>0</v>
      </c>
      <c r="C32" s="24" t="s">
        <v>1</v>
      </c>
      <c r="D32" s="25" t="s">
        <v>2</v>
      </c>
      <c r="E32" s="26" t="s">
        <v>7</v>
      </c>
      <c r="F32" s="56" t="s">
        <v>38</v>
      </c>
      <c r="G32" s="25" t="s">
        <v>3</v>
      </c>
      <c r="H32" s="27" t="s">
        <v>22</v>
      </c>
      <c r="I32" s="184" t="s">
        <v>4</v>
      </c>
      <c r="J32" s="61" t="s">
        <v>8</v>
      </c>
      <c r="K32" s="183" t="s">
        <v>5</v>
      </c>
      <c r="L32" s="99" t="s">
        <v>46</v>
      </c>
      <c r="M32" s="135"/>
      <c r="N32" s="82"/>
      <c r="O32" s="36" t="s">
        <v>0</v>
      </c>
      <c r="P32" s="143" t="s">
        <v>1</v>
      </c>
      <c r="Q32" s="137" t="s">
        <v>2</v>
      </c>
      <c r="R32" s="138" t="s">
        <v>16</v>
      </c>
      <c r="S32" s="138" t="s">
        <v>38</v>
      </c>
      <c r="T32" s="137" t="s">
        <v>3</v>
      </c>
      <c r="U32" s="137" t="s">
        <v>4</v>
      </c>
      <c r="V32" s="141" t="s">
        <v>25</v>
      </c>
      <c r="W32" s="136" t="s">
        <v>8</v>
      </c>
      <c r="X32" s="142" t="s">
        <v>5</v>
      </c>
    </row>
    <row r="33" spans="2:25" ht="45.75" customHeight="1" x14ac:dyDescent="0.25">
      <c r="B33" s="93" t="s">
        <v>224</v>
      </c>
      <c r="C33" s="234" t="s">
        <v>232</v>
      </c>
      <c r="D33" s="72"/>
      <c r="E33" s="72"/>
      <c r="F33" s="72"/>
      <c r="G33" s="72"/>
      <c r="H33" s="72"/>
      <c r="I33" s="72"/>
      <c r="J33" s="72"/>
      <c r="K33" s="72">
        <f>1396+211+673+180</f>
        <v>2460</v>
      </c>
      <c r="L33" s="71"/>
      <c r="M33" s="131"/>
      <c r="N33" s="74"/>
      <c r="O33" s="93" t="s">
        <v>224</v>
      </c>
      <c r="P33" s="234" t="s">
        <v>226</v>
      </c>
      <c r="Q33" s="72"/>
      <c r="R33" s="72"/>
      <c r="S33" s="72"/>
      <c r="T33" s="72"/>
      <c r="U33" s="72"/>
      <c r="V33" s="72"/>
      <c r="W33" s="72"/>
      <c r="X33" s="72">
        <f>1712+920+717</f>
        <v>3349</v>
      </c>
    </row>
    <row r="34" spans="2:25" ht="67.5" customHeight="1" x14ac:dyDescent="0.25">
      <c r="B34" s="93" t="s">
        <v>224</v>
      </c>
      <c r="C34" s="44" t="s">
        <v>233</v>
      </c>
      <c r="D34" s="67"/>
      <c r="E34" s="67"/>
      <c r="F34" s="67">
        <f>1385+264+197+490</f>
        <v>2336</v>
      </c>
      <c r="G34" s="67"/>
      <c r="H34" s="67"/>
      <c r="I34" s="67"/>
      <c r="J34" s="67"/>
      <c r="K34" s="67"/>
      <c r="L34" s="67"/>
      <c r="M34" s="131"/>
      <c r="N34" s="74"/>
      <c r="O34" s="93" t="s">
        <v>224</v>
      </c>
      <c r="P34" s="44" t="s">
        <v>228</v>
      </c>
      <c r="Q34" s="67"/>
      <c r="R34" s="67"/>
      <c r="S34" s="67">
        <f>19+2300+702+700+80</f>
        <v>3801</v>
      </c>
      <c r="T34" s="67"/>
      <c r="U34" s="67"/>
      <c r="V34" s="67"/>
      <c r="W34" s="67"/>
      <c r="X34" s="67"/>
    </row>
    <row r="35" spans="2:25" ht="34.5" customHeight="1" x14ac:dyDescent="0.25">
      <c r="B35" s="93" t="s">
        <v>224</v>
      </c>
      <c r="C35" s="44" t="s">
        <v>234</v>
      </c>
      <c r="D35" s="67">
        <f>110+188+220+210</f>
        <v>728</v>
      </c>
      <c r="E35" s="67"/>
      <c r="F35" s="67"/>
      <c r="G35" s="67"/>
      <c r="H35" s="67"/>
      <c r="I35" s="67"/>
      <c r="J35" s="67"/>
      <c r="K35" s="67"/>
      <c r="L35" s="67"/>
      <c r="M35" s="131"/>
      <c r="N35" s="74"/>
      <c r="O35" s="93" t="s">
        <v>224</v>
      </c>
      <c r="P35" s="44" t="s">
        <v>227</v>
      </c>
      <c r="Q35" s="67">
        <f>165+350+140+215+180+200+262</f>
        <v>1512</v>
      </c>
      <c r="R35" s="67"/>
      <c r="S35" s="67"/>
      <c r="T35" s="67"/>
      <c r="U35" s="67"/>
      <c r="V35" s="67"/>
      <c r="W35" s="67"/>
      <c r="X35" s="67"/>
    </row>
    <row r="36" spans="2:25" ht="43.5" customHeight="1" x14ac:dyDescent="0.25">
      <c r="B36" s="93" t="s">
        <v>224</v>
      </c>
      <c r="C36" s="96" t="s">
        <v>235</v>
      </c>
      <c r="D36" s="67"/>
      <c r="E36" s="67"/>
      <c r="F36" s="67"/>
      <c r="G36" s="67">
        <v>155</v>
      </c>
      <c r="H36" s="67"/>
      <c r="I36" s="67"/>
      <c r="J36" s="67"/>
      <c r="K36" s="67"/>
      <c r="L36" s="67"/>
      <c r="M36" s="131"/>
      <c r="N36" s="74"/>
      <c r="O36" s="93" t="s">
        <v>224</v>
      </c>
      <c r="P36" s="239" t="s">
        <v>12</v>
      </c>
      <c r="Q36" s="67"/>
      <c r="R36" s="67"/>
      <c r="S36" s="67"/>
      <c r="T36" s="67"/>
      <c r="U36" s="67">
        <v>905</v>
      </c>
      <c r="V36" s="67">
        <v>0</v>
      </c>
      <c r="W36" s="67"/>
      <c r="X36" s="67"/>
    </row>
    <row r="37" spans="2:25" ht="63" x14ac:dyDescent="0.25">
      <c r="B37" s="93" t="s">
        <v>224</v>
      </c>
      <c r="C37" s="44" t="s">
        <v>236</v>
      </c>
      <c r="D37" s="67"/>
      <c r="E37" s="67"/>
      <c r="F37" s="67"/>
      <c r="G37" s="67"/>
      <c r="H37" s="67"/>
      <c r="I37" s="67">
        <v>449</v>
      </c>
      <c r="J37" s="67"/>
      <c r="K37" s="67"/>
      <c r="L37" s="67"/>
      <c r="M37" s="131"/>
      <c r="N37" s="74"/>
      <c r="O37" s="93" t="s">
        <v>224</v>
      </c>
      <c r="P37" s="44" t="s">
        <v>230</v>
      </c>
      <c r="Q37" s="67"/>
      <c r="R37" s="67"/>
      <c r="S37" s="67"/>
      <c r="T37" s="67"/>
      <c r="U37" s="67"/>
      <c r="V37" s="67"/>
      <c r="W37" s="67">
        <f>127+1495+922</f>
        <v>2544</v>
      </c>
      <c r="X37" s="67"/>
      <c r="Y37" s="240" t="s">
        <v>229</v>
      </c>
    </row>
    <row r="38" spans="2:25" ht="38.25" customHeight="1" x14ac:dyDescent="0.25">
      <c r="B38" s="93" t="s">
        <v>224</v>
      </c>
      <c r="C38" s="44" t="s">
        <v>237</v>
      </c>
      <c r="D38" s="67"/>
      <c r="E38" s="67"/>
      <c r="F38" s="67"/>
      <c r="G38" s="67"/>
      <c r="H38" s="67"/>
      <c r="I38" s="67"/>
      <c r="J38" s="67">
        <f>127+693</f>
        <v>820</v>
      </c>
      <c r="K38" s="67"/>
      <c r="L38" s="67"/>
      <c r="M38" s="131"/>
      <c r="N38" s="74"/>
      <c r="O38" s="93" t="s">
        <v>224</v>
      </c>
      <c r="P38" s="241" t="s">
        <v>231</v>
      </c>
      <c r="Q38" s="72"/>
      <c r="R38" s="72">
        <f>795+76.5+235+363</f>
        <v>1469.5</v>
      </c>
      <c r="S38" s="72"/>
      <c r="T38" s="72"/>
      <c r="U38" s="72"/>
      <c r="V38" s="72"/>
      <c r="W38" s="72"/>
      <c r="X38" s="67"/>
    </row>
    <row r="39" spans="2:25" ht="33" customHeight="1" x14ac:dyDescent="0.25">
      <c r="B39" s="93" t="s">
        <v>224</v>
      </c>
      <c r="C39" s="44" t="s">
        <v>238</v>
      </c>
      <c r="D39" s="67"/>
      <c r="E39" s="67">
        <v>138</v>
      </c>
      <c r="F39" s="67"/>
      <c r="G39" s="67"/>
      <c r="H39" s="67"/>
      <c r="I39" s="67"/>
      <c r="J39" s="94"/>
      <c r="K39" s="67"/>
      <c r="L39" s="67"/>
      <c r="M39" s="131"/>
      <c r="N39" s="74"/>
      <c r="O39" s="93" t="s">
        <v>224</v>
      </c>
      <c r="P39" s="194" t="s">
        <v>217</v>
      </c>
      <c r="Q39" s="72"/>
      <c r="R39" s="72"/>
      <c r="S39" s="72"/>
      <c r="T39" s="72"/>
      <c r="U39" s="72"/>
      <c r="V39" s="72">
        <f>255+170+170+170+170</f>
        <v>935</v>
      </c>
      <c r="W39" s="72"/>
      <c r="X39" s="67"/>
      <c r="Y39" s="129"/>
    </row>
    <row r="40" spans="2:25" ht="37.5" customHeight="1" x14ac:dyDescent="0.25">
      <c r="B40" s="93" t="s">
        <v>224</v>
      </c>
      <c r="C40" s="42" t="s">
        <v>217</v>
      </c>
      <c r="D40" s="67"/>
      <c r="E40" s="67" t="s">
        <v>26</v>
      </c>
      <c r="F40" s="67"/>
      <c r="G40" s="67"/>
      <c r="H40" s="67">
        <f>68+85+68+68+68</f>
        <v>357</v>
      </c>
      <c r="I40" s="67"/>
      <c r="J40" s="67"/>
      <c r="K40" s="67"/>
      <c r="L40" s="67"/>
      <c r="M40" s="131"/>
      <c r="N40" s="74"/>
      <c r="O40" s="93" t="s">
        <v>224</v>
      </c>
      <c r="P40" s="194" t="s">
        <v>140</v>
      </c>
      <c r="Q40" s="72"/>
      <c r="R40" s="72"/>
      <c r="S40" s="72"/>
      <c r="T40" s="72"/>
      <c r="U40" s="72"/>
      <c r="V40" s="72">
        <f>750+664+750+2516.5+205+760</f>
        <v>5645.5</v>
      </c>
      <c r="W40" s="72"/>
      <c r="X40" s="67"/>
    </row>
    <row r="41" spans="2:25" ht="44.25" customHeight="1" x14ac:dyDescent="0.25">
      <c r="B41" s="93" t="s">
        <v>224</v>
      </c>
      <c r="C41" s="95" t="s">
        <v>239</v>
      </c>
      <c r="D41" s="67"/>
      <c r="E41" s="67"/>
      <c r="F41" s="67"/>
      <c r="G41" s="67"/>
      <c r="H41" s="67">
        <f>330+330+420</f>
        <v>1080</v>
      </c>
      <c r="I41" s="67"/>
      <c r="J41" s="67"/>
      <c r="K41" s="67"/>
      <c r="L41" s="67"/>
      <c r="M41" s="131"/>
      <c r="N41" s="74"/>
      <c r="O41" s="93" t="s">
        <v>224</v>
      </c>
      <c r="P41" s="192"/>
      <c r="Q41" s="72"/>
      <c r="R41" s="72"/>
      <c r="S41" s="72"/>
      <c r="T41" s="72"/>
      <c r="U41" s="72"/>
      <c r="V41" s="72"/>
      <c r="W41" s="72"/>
      <c r="X41" s="67"/>
    </row>
    <row r="42" spans="2:25" ht="24" customHeight="1" thickBot="1" x14ac:dyDescent="0.3">
      <c r="B42" s="93" t="s">
        <v>240</v>
      </c>
      <c r="C42" s="42" t="s">
        <v>207</v>
      </c>
      <c r="D42" s="67"/>
      <c r="E42" s="67"/>
      <c r="F42" s="67"/>
      <c r="G42" s="67"/>
      <c r="H42" s="67"/>
      <c r="I42" s="67"/>
      <c r="J42" s="67"/>
      <c r="K42" s="67"/>
      <c r="L42" s="11">
        <f>159+159+500</f>
        <v>818</v>
      </c>
      <c r="M42" s="131"/>
      <c r="N42" s="74"/>
      <c r="O42" s="191"/>
      <c r="P42" s="193"/>
      <c r="Q42" s="72"/>
      <c r="R42" s="72"/>
      <c r="S42" s="72"/>
      <c r="T42" s="72"/>
      <c r="U42" s="72"/>
      <c r="V42" s="72"/>
      <c r="W42" s="72"/>
      <c r="X42" s="67"/>
    </row>
    <row r="43" spans="2:25" ht="15.75" hidden="1" thickBot="1" x14ac:dyDescent="0.3">
      <c r="B43" s="93"/>
      <c r="C43" s="95"/>
      <c r="D43" s="67"/>
      <c r="E43" s="67"/>
      <c r="F43" s="67"/>
      <c r="G43" s="67"/>
      <c r="H43" s="67"/>
      <c r="I43" s="67"/>
      <c r="J43" s="67"/>
      <c r="K43" s="67"/>
      <c r="L43" s="11"/>
      <c r="M43" s="131"/>
      <c r="N43" s="74"/>
      <c r="O43" s="93"/>
      <c r="P43" s="88"/>
      <c r="Q43" s="72"/>
      <c r="R43" s="72"/>
      <c r="S43" s="72"/>
      <c r="T43" s="72"/>
      <c r="U43" s="72"/>
      <c r="V43" s="72"/>
      <c r="W43" s="72"/>
      <c r="X43" s="67"/>
    </row>
    <row r="44" spans="2:25" ht="15.75" hidden="1" thickBot="1" x14ac:dyDescent="0.3">
      <c r="B44" s="93"/>
      <c r="C44" s="10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93"/>
      <c r="P44" s="91"/>
      <c r="Q44" s="67"/>
      <c r="R44" s="67"/>
      <c r="S44" s="67"/>
      <c r="T44" s="67"/>
      <c r="U44" s="67"/>
      <c r="V44" s="67"/>
      <c r="W44" s="67"/>
      <c r="X44" s="67"/>
    </row>
    <row r="45" spans="2:25" ht="15.75" hidden="1" thickBot="1" x14ac:dyDescent="0.3">
      <c r="B45" s="93"/>
      <c r="C45" s="10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91"/>
      <c r="Q45" s="67"/>
      <c r="R45" s="67"/>
      <c r="S45" s="67"/>
      <c r="T45" s="67"/>
      <c r="U45" s="67"/>
      <c r="V45" s="67"/>
      <c r="W45" s="67"/>
      <c r="X45" s="67"/>
    </row>
    <row r="46" spans="2:25" ht="15.75" hidden="1" thickBot="1" x14ac:dyDescent="0.3">
      <c r="B46" s="9"/>
      <c r="C46" s="34"/>
      <c r="D46" s="73"/>
      <c r="E46" s="73"/>
      <c r="F46" s="73"/>
      <c r="G46" s="73"/>
      <c r="H46" s="73"/>
      <c r="I46" s="73"/>
      <c r="J46" s="73"/>
      <c r="K46" s="73"/>
      <c r="L46" s="20"/>
      <c r="M46" s="131"/>
      <c r="N46" s="74"/>
      <c r="O46" s="46"/>
      <c r="P46" s="51"/>
      <c r="Q46" s="73">
        <v>0</v>
      </c>
      <c r="R46" s="73"/>
      <c r="S46" s="73"/>
      <c r="T46" s="73"/>
      <c r="U46" s="73"/>
      <c r="V46" s="73"/>
      <c r="W46" s="73"/>
      <c r="X46" s="73"/>
    </row>
    <row r="47" spans="2:25" ht="24" thickBot="1" x14ac:dyDescent="0.3">
      <c r="B47" s="7"/>
      <c r="C47" s="35" t="s">
        <v>18</v>
      </c>
      <c r="D47" s="30">
        <f>SUM(D33:D46)</f>
        <v>728</v>
      </c>
      <c r="E47" s="30">
        <f t="shared" ref="E47:L47" si="2">SUM(E33:E46)</f>
        <v>138</v>
      </c>
      <c r="F47" s="30">
        <f t="shared" si="2"/>
        <v>2336</v>
      </c>
      <c r="G47" s="30">
        <f t="shared" si="2"/>
        <v>155</v>
      </c>
      <c r="H47" s="30">
        <f t="shared" si="2"/>
        <v>1437</v>
      </c>
      <c r="I47" s="30">
        <f t="shared" si="2"/>
        <v>449</v>
      </c>
      <c r="J47" s="30">
        <f t="shared" si="2"/>
        <v>820</v>
      </c>
      <c r="K47" s="30">
        <f t="shared" si="2"/>
        <v>2460</v>
      </c>
      <c r="L47" s="30">
        <f t="shared" si="2"/>
        <v>818</v>
      </c>
      <c r="M47" s="132"/>
      <c r="N47" s="74"/>
      <c r="O47" s="7"/>
      <c r="P47" s="33" t="s">
        <v>18</v>
      </c>
      <c r="Q47" s="21">
        <f t="shared" ref="Q47:X47" si="3">SUM(Q33:Q46)</f>
        <v>1512</v>
      </c>
      <c r="R47" s="21">
        <f t="shared" si="3"/>
        <v>1469.5</v>
      </c>
      <c r="S47" s="21">
        <f t="shared" si="3"/>
        <v>3801</v>
      </c>
      <c r="T47" s="21">
        <f t="shared" si="3"/>
        <v>0</v>
      </c>
      <c r="U47" s="21">
        <f t="shared" si="3"/>
        <v>905</v>
      </c>
      <c r="V47" s="21">
        <f t="shared" si="3"/>
        <v>6580.5</v>
      </c>
      <c r="W47" s="21">
        <f t="shared" si="3"/>
        <v>2544</v>
      </c>
      <c r="X47" s="21">
        <f t="shared" si="3"/>
        <v>3349</v>
      </c>
    </row>
    <row r="48" spans="2:25" ht="15.75" thickBot="1" x14ac:dyDescent="0.3">
      <c r="B48" s="7"/>
      <c r="C48" s="1"/>
      <c r="D48" s="5"/>
      <c r="E48" s="5"/>
      <c r="F48" s="5"/>
      <c r="G48" s="5"/>
      <c r="H48" s="5"/>
      <c r="I48" s="5"/>
      <c r="J48" s="5"/>
      <c r="K48" s="5"/>
      <c r="L48" s="78"/>
      <c r="M48" s="76"/>
      <c r="N48" s="74"/>
      <c r="O48" s="7"/>
      <c r="Q48" s="5"/>
      <c r="R48" s="5"/>
      <c r="S48" s="5"/>
      <c r="T48" s="5"/>
      <c r="U48" s="5"/>
      <c r="V48" s="5"/>
      <c r="W48" s="5"/>
      <c r="X48" s="5"/>
    </row>
    <row r="49" spans="2:24" ht="21.75" thickBot="1" x14ac:dyDescent="0.4">
      <c r="B49" s="7"/>
      <c r="C49" s="1"/>
      <c r="D49" s="5"/>
      <c r="E49" s="5"/>
      <c r="F49" s="267">
        <f>K47+J47+I47+H47+G47+F47+E47+D47+L47</f>
        <v>9341</v>
      </c>
      <c r="G49" s="268"/>
      <c r="H49" s="269"/>
      <c r="I49" s="5"/>
      <c r="J49" s="5"/>
      <c r="K49" s="5"/>
      <c r="L49" s="71"/>
      <c r="M49" s="74"/>
      <c r="N49" s="74"/>
      <c r="O49" s="7"/>
      <c r="Q49" s="5"/>
      <c r="R49" s="5"/>
      <c r="S49" s="270">
        <f>Q47+R47+S47+T47+U47+V47+W47+X47</f>
        <v>20161</v>
      </c>
      <c r="T49" s="271"/>
      <c r="U49" s="272"/>
      <c r="V49" s="5"/>
      <c r="W49" s="5"/>
      <c r="X49" s="5"/>
    </row>
    <row r="50" spans="2:24" s="80" customFormat="1" ht="21" x14ac:dyDescent="0.35">
      <c r="B50" s="235"/>
      <c r="C50" s="129"/>
      <c r="D50" s="78"/>
      <c r="E50" s="78"/>
      <c r="F50" s="236"/>
      <c r="G50" s="237"/>
      <c r="H50" s="237"/>
      <c r="I50" s="78"/>
      <c r="J50" s="78"/>
      <c r="K50" s="78"/>
      <c r="L50" s="71"/>
      <c r="M50" s="74"/>
      <c r="N50" s="74"/>
      <c r="O50" s="235"/>
      <c r="Q50" s="78"/>
      <c r="R50" s="78"/>
      <c r="S50" s="236"/>
      <c r="T50" s="237"/>
      <c r="U50" s="237"/>
      <c r="V50" s="78"/>
      <c r="W50" s="78"/>
      <c r="X50" s="78"/>
    </row>
    <row r="59" spans="2:24" ht="20.25" customHeight="1" thickBot="1" x14ac:dyDescent="0.3"/>
    <row r="60" spans="2:24" ht="22.5" thickTop="1" thickBot="1" x14ac:dyDescent="0.4">
      <c r="B60" s="7"/>
      <c r="C60" s="260" t="s">
        <v>36</v>
      </c>
      <c r="D60" s="261"/>
      <c r="E60" s="261"/>
      <c r="F60" s="261"/>
      <c r="G60" s="261"/>
      <c r="H60" s="261"/>
      <c r="I60" s="261"/>
      <c r="J60" s="261"/>
      <c r="K60" s="261"/>
      <c r="L60" s="128" t="s">
        <v>66</v>
      </c>
      <c r="M60" s="133"/>
      <c r="N60" s="81"/>
      <c r="O60" s="262" t="s">
        <v>19</v>
      </c>
      <c r="P60" s="263"/>
      <c r="Q60" s="263"/>
      <c r="R60" s="263"/>
      <c r="S60" s="263"/>
      <c r="T60" s="263"/>
      <c r="U60" s="263"/>
      <c r="V60" s="263"/>
      <c r="W60" s="263"/>
      <c r="X60" s="190" t="s">
        <v>66</v>
      </c>
    </row>
    <row r="61" spans="2:24" ht="16.5" thickBot="1" x14ac:dyDescent="0.3">
      <c r="B61" s="7"/>
      <c r="C61" s="1"/>
      <c r="I61" s="264" t="s">
        <v>209</v>
      </c>
      <c r="J61" s="265"/>
      <c r="K61" s="266"/>
      <c r="L61" s="68"/>
      <c r="M61" s="134"/>
      <c r="N61" s="74"/>
      <c r="O61" s="7"/>
      <c r="V61" s="264" t="str">
        <f>I61</f>
        <v>del       14--- al  20    OCTUBRE-2023</v>
      </c>
      <c r="W61" s="265"/>
      <c r="X61" s="266"/>
    </row>
    <row r="62" spans="2:24" ht="64.5" thickTop="1" thickBot="1" x14ac:dyDescent="0.3">
      <c r="B62" s="6" t="s">
        <v>0</v>
      </c>
      <c r="C62" s="24" t="s">
        <v>1</v>
      </c>
      <c r="D62" s="25" t="s">
        <v>2</v>
      </c>
      <c r="E62" s="26" t="s">
        <v>7</v>
      </c>
      <c r="F62" s="56" t="s">
        <v>38</v>
      </c>
      <c r="G62" s="25" t="s">
        <v>3</v>
      </c>
      <c r="H62" s="27" t="s">
        <v>22</v>
      </c>
      <c r="I62" s="184" t="s">
        <v>4</v>
      </c>
      <c r="J62" s="61" t="s">
        <v>8</v>
      </c>
      <c r="K62" s="183" t="s">
        <v>5</v>
      </c>
      <c r="L62" s="99" t="s">
        <v>46</v>
      </c>
      <c r="M62" s="135"/>
      <c r="N62" s="82"/>
      <c r="O62" s="36" t="s">
        <v>0</v>
      </c>
      <c r="P62" s="143" t="s">
        <v>1</v>
      </c>
      <c r="Q62" s="137" t="s">
        <v>2</v>
      </c>
      <c r="R62" s="138" t="s">
        <v>16</v>
      </c>
      <c r="S62" s="138" t="s">
        <v>38</v>
      </c>
      <c r="T62" s="137" t="s">
        <v>3</v>
      </c>
      <c r="U62" s="137" t="s">
        <v>4</v>
      </c>
      <c r="V62" s="141" t="s">
        <v>25</v>
      </c>
      <c r="W62" s="136" t="s">
        <v>8</v>
      </c>
      <c r="X62" s="142" t="s">
        <v>5</v>
      </c>
    </row>
    <row r="63" spans="2:24" ht="48.75" x14ac:dyDescent="0.25">
      <c r="B63" s="93" t="s">
        <v>210</v>
      </c>
      <c r="C63" s="234" t="s">
        <v>218</v>
      </c>
      <c r="D63" s="72"/>
      <c r="E63" s="72"/>
      <c r="F63" s="72"/>
      <c r="G63" s="72"/>
      <c r="H63" s="72"/>
      <c r="I63" s="72"/>
      <c r="J63" s="72"/>
      <c r="K63" s="72">
        <f>1005+1010+294+788+560+1996</f>
        <v>5653</v>
      </c>
      <c r="L63" s="71"/>
      <c r="M63" s="131"/>
      <c r="N63" s="74"/>
      <c r="O63" s="93" t="s">
        <v>210</v>
      </c>
      <c r="P63" s="86" t="s">
        <v>211</v>
      </c>
      <c r="Q63" s="72"/>
      <c r="R63" s="72"/>
      <c r="S63" s="72"/>
      <c r="T63" s="72"/>
      <c r="U63" s="72"/>
      <c r="V63" s="72"/>
      <c r="W63" s="72"/>
      <c r="X63" s="72">
        <f>2155+252+2415+527+2054</f>
        <v>7403</v>
      </c>
    </row>
    <row r="64" spans="2:24" ht="67.5" customHeight="1" x14ac:dyDescent="0.25">
      <c r="B64" s="93" t="s">
        <v>210</v>
      </c>
      <c r="C64" s="44" t="s">
        <v>219</v>
      </c>
      <c r="D64" s="67"/>
      <c r="E64" s="67"/>
      <c r="F64" s="67">
        <f>960+275+300+595+65</f>
        <v>2195</v>
      </c>
      <c r="G64" s="67"/>
      <c r="H64" s="67"/>
      <c r="I64" s="67"/>
      <c r="J64" s="67"/>
      <c r="K64" s="67"/>
      <c r="L64" s="67"/>
      <c r="M64" s="131"/>
      <c r="N64" s="74"/>
      <c r="O64" s="93" t="s">
        <v>210</v>
      </c>
      <c r="P64" s="89" t="s">
        <v>212</v>
      </c>
      <c r="Q64" s="72"/>
      <c r="R64" s="72"/>
      <c r="S64" s="72">
        <f>1030+275+375+23+23+15+480+595</f>
        <v>2816</v>
      </c>
      <c r="T64" s="72"/>
      <c r="U64" s="72"/>
      <c r="V64" s="72"/>
      <c r="W64" s="72"/>
      <c r="X64" s="67"/>
    </row>
    <row r="65" spans="2:25" ht="34.5" customHeight="1" x14ac:dyDescent="0.25">
      <c r="B65" s="93" t="s">
        <v>210</v>
      </c>
      <c r="C65" s="44" t="s">
        <v>220</v>
      </c>
      <c r="D65" s="67">
        <f>200+23+13+212</f>
        <v>448</v>
      </c>
      <c r="E65" s="67"/>
      <c r="F65" s="67"/>
      <c r="G65" s="67"/>
      <c r="H65" s="67"/>
      <c r="I65" s="67"/>
      <c r="J65" s="67"/>
      <c r="K65" s="67"/>
      <c r="L65" s="67"/>
      <c r="M65" s="131"/>
      <c r="N65" s="74"/>
      <c r="O65" s="93" t="s">
        <v>210</v>
      </c>
      <c r="P65" s="87" t="s">
        <v>213</v>
      </c>
      <c r="Q65" s="72"/>
      <c r="R65" s="72"/>
      <c r="S65" s="72"/>
      <c r="T65" s="72">
        <f>105+40+60+5</f>
        <v>210</v>
      </c>
      <c r="U65" s="72"/>
      <c r="V65" s="72"/>
      <c r="W65" s="72"/>
      <c r="X65" s="67"/>
    </row>
    <row r="66" spans="2:25" ht="43.5" customHeight="1" x14ac:dyDescent="0.25">
      <c r="B66" s="93" t="s">
        <v>210</v>
      </c>
      <c r="C66" s="96" t="s">
        <v>221</v>
      </c>
      <c r="D66" s="67"/>
      <c r="E66" s="67"/>
      <c r="F66" s="67">
        <v>66</v>
      </c>
      <c r="G66" s="67"/>
      <c r="H66" s="67"/>
      <c r="I66" s="67"/>
      <c r="J66" s="67"/>
      <c r="K66" s="67"/>
      <c r="L66" s="67"/>
      <c r="M66" s="131"/>
      <c r="N66" s="74"/>
      <c r="O66" s="93" t="s">
        <v>210</v>
      </c>
      <c r="P66" s="89" t="s">
        <v>214</v>
      </c>
      <c r="Q66" s="72"/>
      <c r="R66" s="72"/>
      <c r="S66" s="72"/>
      <c r="T66" s="72"/>
      <c r="U66" s="72"/>
      <c r="V66" s="72"/>
      <c r="W66" s="72">
        <f>664.5+127+26+500+841</f>
        <v>2158.5</v>
      </c>
      <c r="X66" s="67"/>
    </row>
    <row r="67" spans="2:25" ht="39" customHeight="1" x14ac:dyDescent="0.25">
      <c r="B67" s="93" t="s">
        <v>210</v>
      </c>
      <c r="C67" s="44" t="s">
        <v>222</v>
      </c>
      <c r="D67" s="67"/>
      <c r="E67" s="67"/>
      <c r="F67" s="67"/>
      <c r="G67" s="67"/>
      <c r="H67" s="67"/>
      <c r="I67" s="67"/>
      <c r="J67" s="67">
        <f>1004</f>
        <v>1004</v>
      </c>
      <c r="K67" s="67"/>
      <c r="L67" s="67"/>
      <c r="M67" s="131"/>
      <c r="N67" s="74"/>
      <c r="O67" s="93" t="s">
        <v>210</v>
      </c>
      <c r="P67" s="89" t="s">
        <v>215</v>
      </c>
      <c r="Q67" s="72"/>
      <c r="R67" s="72">
        <v>851</v>
      </c>
      <c r="S67" s="72"/>
      <c r="T67" s="72"/>
      <c r="U67" s="72"/>
      <c r="V67" s="72"/>
      <c r="W67" s="72"/>
      <c r="X67" s="67"/>
    </row>
    <row r="68" spans="2:25" ht="38.25" customHeight="1" x14ac:dyDescent="0.25">
      <c r="B68" s="93" t="s">
        <v>210</v>
      </c>
      <c r="C68" s="44" t="s">
        <v>223</v>
      </c>
      <c r="D68" s="67"/>
      <c r="E68" s="67">
        <v>759</v>
      </c>
      <c r="F68" s="67"/>
      <c r="G68" s="67"/>
      <c r="H68" s="67"/>
      <c r="I68" s="67"/>
      <c r="J68" s="67"/>
      <c r="K68" s="67"/>
      <c r="L68" s="67"/>
      <c r="M68" s="131"/>
      <c r="N68" s="74"/>
      <c r="O68" s="93" t="s">
        <v>210</v>
      </c>
      <c r="P68" s="195" t="s">
        <v>4</v>
      </c>
      <c r="Q68" s="72"/>
      <c r="R68" s="72"/>
      <c r="S68" s="72"/>
      <c r="T68" s="72"/>
      <c r="U68" s="72">
        <v>805</v>
      </c>
      <c r="V68" s="72"/>
      <c r="W68" s="72"/>
      <c r="X68" s="67"/>
    </row>
    <row r="69" spans="2:25" ht="33" customHeight="1" x14ac:dyDescent="0.25">
      <c r="B69" s="93" t="s">
        <v>210</v>
      </c>
      <c r="C69" s="44" t="s">
        <v>96</v>
      </c>
      <c r="D69" s="67"/>
      <c r="E69" s="67"/>
      <c r="F69" s="67"/>
      <c r="G69" s="67"/>
      <c r="H69" s="67">
        <f>85+68+255+85</f>
        <v>493</v>
      </c>
      <c r="I69" s="67"/>
      <c r="J69" s="94"/>
      <c r="K69" s="67"/>
      <c r="L69" s="67"/>
      <c r="M69" s="131"/>
      <c r="N69" s="74"/>
      <c r="O69" s="93" t="s">
        <v>210</v>
      </c>
      <c r="P69" s="194" t="s">
        <v>216</v>
      </c>
      <c r="Q69" s="72">
        <f>268+220+240+50+265</f>
        <v>1043</v>
      </c>
      <c r="R69" s="72"/>
      <c r="S69" s="72"/>
      <c r="T69" s="72"/>
      <c r="U69" s="72"/>
      <c r="V69" s="72"/>
      <c r="W69" s="72"/>
      <c r="X69" s="67"/>
      <c r="Y69" s="129"/>
    </row>
    <row r="70" spans="2:25" ht="37.5" customHeight="1" x14ac:dyDescent="0.25">
      <c r="B70" s="93" t="s">
        <v>210</v>
      </c>
      <c r="C70" s="42" t="s">
        <v>11</v>
      </c>
      <c r="D70" s="67"/>
      <c r="E70" s="67"/>
      <c r="F70" s="67"/>
      <c r="G70" s="67"/>
      <c r="H70" s="67">
        <f>330+330+420</f>
        <v>1080</v>
      </c>
      <c r="I70" s="67"/>
      <c r="J70" s="67"/>
      <c r="K70" s="67"/>
      <c r="L70" s="67"/>
      <c r="M70" s="131"/>
      <c r="N70" s="74"/>
      <c r="O70" s="93" t="s">
        <v>210</v>
      </c>
      <c r="P70" s="194" t="s">
        <v>140</v>
      </c>
      <c r="Q70" s="72"/>
      <c r="R70" s="72"/>
      <c r="S70" s="72"/>
      <c r="T70" s="72"/>
      <c r="U70" s="72"/>
      <c r="V70" s="72">
        <f>750+750+750+1532</f>
        <v>3782</v>
      </c>
      <c r="W70" s="72"/>
      <c r="X70" s="67"/>
    </row>
    <row r="71" spans="2:25" ht="44.25" customHeight="1" x14ac:dyDescent="0.25">
      <c r="B71" s="93" t="s">
        <v>210</v>
      </c>
      <c r="C71" s="95" t="s">
        <v>207</v>
      </c>
      <c r="D71" s="67"/>
      <c r="E71" s="67"/>
      <c r="F71" s="67"/>
      <c r="G71" s="67"/>
      <c r="H71" s="67"/>
      <c r="I71" s="67"/>
      <c r="J71" s="67"/>
      <c r="K71" s="67"/>
      <c r="L71" s="67">
        <v>500</v>
      </c>
      <c r="M71" s="131"/>
      <c r="N71" s="74"/>
      <c r="O71" s="93" t="s">
        <v>210</v>
      </c>
      <c r="P71" s="192" t="s">
        <v>217</v>
      </c>
      <c r="Q71" s="72"/>
      <c r="R71" s="72"/>
      <c r="S71" s="72"/>
      <c r="T71" s="72"/>
      <c r="U71" s="72"/>
      <c r="V71" s="72">
        <f>204+170+272+204+204</f>
        <v>1054</v>
      </c>
      <c r="W71" s="72"/>
      <c r="X71" s="67"/>
    </row>
    <row r="72" spans="2:25" ht="24" customHeight="1" thickBot="1" x14ac:dyDescent="0.3">
      <c r="B72" s="93"/>
      <c r="C72" s="42"/>
      <c r="D72" s="67"/>
      <c r="E72" s="67"/>
      <c r="F72" s="67"/>
      <c r="G72" s="67"/>
      <c r="H72" s="67"/>
      <c r="I72" s="67"/>
      <c r="J72" s="67"/>
      <c r="K72" s="67"/>
      <c r="L72" s="11"/>
      <c r="M72" s="131"/>
      <c r="N72" s="74"/>
      <c r="O72" s="191"/>
      <c r="P72" s="193"/>
      <c r="Q72" s="72"/>
      <c r="R72" s="72"/>
      <c r="S72" s="72"/>
      <c r="T72" s="72"/>
      <c r="U72" s="72"/>
      <c r="V72" s="72"/>
      <c r="W72" s="72"/>
      <c r="X72" s="67"/>
    </row>
    <row r="73" spans="2:25" ht="15.75" hidden="1" thickBot="1" x14ac:dyDescent="0.3">
      <c r="B73" s="93"/>
      <c r="C73" s="95"/>
      <c r="D73" s="67"/>
      <c r="E73" s="67"/>
      <c r="F73" s="67"/>
      <c r="G73" s="67"/>
      <c r="H73" s="67"/>
      <c r="I73" s="67"/>
      <c r="J73" s="67"/>
      <c r="K73" s="67"/>
      <c r="L73" s="11"/>
      <c r="M73" s="131"/>
      <c r="N73" s="74"/>
      <c r="O73" s="93"/>
      <c r="P73" s="88"/>
      <c r="Q73" s="72"/>
      <c r="R73" s="72"/>
      <c r="S73" s="72"/>
      <c r="T73" s="72"/>
      <c r="U73" s="72"/>
      <c r="V73" s="72"/>
      <c r="W73" s="72"/>
      <c r="X73" s="67"/>
    </row>
    <row r="74" spans="2:25" ht="15.75" hidden="1" thickBot="1" x14ac:dyDescent="0.3">
      <c r="B74" s="93"/>
      <c r="C74" s="10"/>
      <c r="D74" s="67"/>
      <c r="E74" s="67"/>
      <c r="F74" s="67"/>
      <c r="G74" s="67"/>
      <c r="H74" s="67"/>
      <c r="I74" s="67"/>
      <c r="J74" s="67"/>
      <c r="K74" s="67"/>
      <c r="L74" s="11"/>
      <c r="M74" s="131"/>
      <c r="N74" s="74"/>
      <c r="O74" s="93"/>
      <c r="P74" s="91"/>
      <c r="Q74" s="67"/>
      <c r="R74" s="67"/>
      <c r="S74" s="67"/>
      <c r="T74" s="67"/>
      <c r="U74" s="67"/>
      <c r="V74" s="67"/>
      <c r="W74" s="67"/>
      <c r="X74" s="67"/>
    </row>
    <row r="75" spans="2:25" ht="15.75" hidden="1" thickBot="1" x14ac:dyDescent="0.3">
      <c r="B75" s="93"/>
      <c r="C75" s="10"/>
      <c r="D75" s="67"/>
      <c r="E75" s="67"/>
      <c r="F75" s="67"/>
      <c r="G75" s="67"/>
      <c r="H75" s="67"/>
      <c r="I75" s="67"/>
      <c r="J75" s="67"/>
      <c r="K75" s="67"/>
      <c r="L75" s="11"/>
      <c r="M75" s="131"/>
      <c r="N75" s="74"/>
      <c r="O75" s="93"/>
      <c r="P75" s="91"/>
      <c r="Q75" s="67"/>
      <c r="R75" s="67"/>
      <c r="S75" s="67"/>
      <c r="T75" s="67"/>
      <c r="U75" s="67"/>
      <c r="V75" s="67"/>
      <c r="W75" s="67"/>
      <c r="X75" s="67"/>
    </row>
    <row r="76" spans="2:25" ht="15.75" hidden="1" thickBot="1" x14ac:dyDescent="0.3">
      <c r="B76" s="9"/>
      <c r="C76" s="34"/>
      <c r="D76" s="73"/>
      <c r="E76" s="73"/>
      <c r="F76" s="73"/>
      <c r="G76" s="73"/>
      <c r="H76" s="73"/>
      <c r="I76" s="73"/>
      <c r="J76" s="73"/>
      <c r="K76" s="73"/>
      <c r="L76" s="20"/>
      <c r="M76" s="131"/>
      <c r="N76" s="74"/>
      <c r="O76" s="46"/>
      <c r="P76" s="51"/>
      <c r="Q76" s="73">
        <v>0</v>
      </c>
      <c r="R76" s="73"/>
      <c r="S76" s="73"/>
      <c r="T76" s="73"/>
      <c r="U76" s="73"/>
      <c r="V76" s="73"/>
      <c r="W76" s="73"/>
      <c r="X76" s="73"/>
    </row>
    <row r="77" spans="2:25" ht="24" thickBot="1" x14ac:dyDescent="0.3">
      <c r="B77" s="7"/>
      <c r="C77" s="35" t="s">
        <v>18</v>
      </c>
      <c r="D77" s="30">
        <f>SUM(D63:D76)</f>
        <v>448</v>
      </c>
      <c r="E77" s="30">
        <f t="shared" ref="E77:L77" si="4">SUM(E63:E76)</f>
        <v>759</v>
      </c>
      <c r="F77" s="30">
        <f t="shared" si="4"/>
        <v>2261</v>
      </c>
      <c r="G77" s="30">
        <f t="shared" si="4"/>
        <v>0</v>
      </c>
      <c r="H77" s="30">
        <f t="shared" si="4"/>
        <v>1573</v>
      </c>
      <c r="I77" s="30">
        <f t="shared" si="4"/>
        <v>0</v>
      </c>
      <c r="J77" s="30">
        <f t="shared" si="4"/>
        <v>1004</v>
      </c>
      <c r="K77" s="30">
        <f t="shared" si="4"/>
        <v>5653</v>
      </c>
      <c r="L77" s="30">
        <f t="shared" si="4"/>
        <v>500</v>
      </c>
      <c r="M77" s="132"/>
      <c r="N77" s="74"/>
      <c r="O77" s="7"/>
      <c r="P77" s="33" t="s">
        <v>18</v>
      </c>
      <c r="Q77" s="21">
        <f t="shared" ref="Q77:X77" si="5">SUM(Q63:Q76)</f>
        <v>1043</v>
      </c>
      <c r="R77" s="21">
        <f t="shared" si="5"/>
        <v>851</v>
      </c>
      <c r="S77" s="21">
        <f t="shared" si="5"/>
        <v>2816</v>
      </c>
      <c r="T77" s="21">
        <f t="shared" si="5"/>
        <v>210</v>
      </c>
      <c r="U77" s="21">
        <f t="shared" si="5"/>
        <v>805</v>
      </c>
      <c r="V77" s="21">
        <f t="shared" si="5"/>
        <v>4836</v>
      </c>
      <c r="W77" s="21">
        <f t="shared" si="5"/>
        <v>2158.5</v>
      </c>
      <c r="X77" s="21">
        <f t="shared" si="5"/>
        <v>7403</v>
      </c>
    </row>
    <row r="78" spans="2:25" ht="15.75" thickBot="1" x14ac:dyDescent="0.3">
      <c r="B78" s="7"/>
      <c r="C78" s="1"/>
      <c r="D78" s="5"/>
      <c r="E78" s="5"/>
      <c r="F78" s="5"/>
      <c r="G78" s="5"/>
      <c r="H78" s="5"/>
      <c r="I78" s="5"/>
      <c r="J78" s="5"/>
      <c r="K78" s="5"/>
      <c r="L78" s="78"/>
      <c r="M78" s="76"/>
      <c r="N78" s="74"/>
      <c r="O78" s="7"/>
      <c r="Q78" s="5"/>
      <c r="R78" s="5"/>
      <c r="S78" s="5"/>
      <c r="T78" s="5"/>
      <c r="U78" s="5"/>
      <c r="V78" s="5"/>
      <c r="W78" s="5"/>
      <c r="X78" s="5"/>
    </row>
    <row r="79" spans="2:25" ht="21.75" thickBot="1" x14ac:dyDescent="0.4">
      <c r="B79" s="7"/>
      <c r="C79" s="1"/>
      <c r="D79" s="5"/>
      <c r="E79" s="5"/>
      <c r="F79" s="267">
        <f>K77+J77+I77+H77+G77+F77+E77+D77+L77</f>
        <v>12198</v>
      </c>
      <c r="G79" s="268"/>
      <c r="H79" s="269"/>
      <c r="I79" s="5"/>
      <c r="J79" s="5"/>
      <c r="K79" s="5"/>
      <c r="L79" s="71"/>
      <c r="M79" s="74"/>
      <c r="N79" s="74"/>
      <c r="O79" s="7"/>
      <c r="Q79" s="5"/>
      <c r="R79" s="5"/>
      <c r="S79" s="270">
        <f>Q77+R77+S77+T77+U77+V77+W77+X77</f>
        <v>20122.5</v>
      </c>
      <c r="T79" s="271"/>
      <c r="U79" s="272"/>
      <c r="V79" s="5"/>
      <c r="W79" s="5"/>
      <c r="X79" s="5"/>
    </row>
    <row r="80" spans="2:25" s="80" customFormat="1" ht="21" x14ac:dyDescent="0.35">
      <c r="B80" s="235"/>
      <c r="C80" s="129"/>
      <c r="D80" s="78"/>
      <c r="E80" s="78"/>
      <c r="F80" s="236"/>
      <c r="G80" s="237"/>
      <c r="H80" s="237"/>
      <c r="I80" s="78"/>
      <c r="J80" s="78"/>
      <c r="K80" s="78"/>
      <c r="L80" s="71"/>
      <c r="M80" s="74"/>
      <c r="N80" s="74"/>
      <c r="O80" s="235"/>
      <c r="Q80" s="78"/>
      <c r="R80" s="78"/>
      <c r="S80" s="236"/>
      <c r="T80" s="237"/>
      <c r="U80" s="237"/>
      <c r="V80" s="78"/>
      <c r="W80" s="78"/>
      <c r="X80" s="78"/>
    </row>
    <row r="81" spans="2:24" s="80" customFormat="1" ht="21" x14ac:dyDescent="0.35">
      <c r="B81" s="235"/>
      <c r="C81" s="129"/>
      <c r="D81" s="78"/>
      <c r="E81" s="78"/>
      <c r="F81" s="236"/>
      <c r="G81" s="237"/>
      <c r="H81" s="237"/>
      <c r="I81" s="78"/>
      <c r="J81" s="78"/>
      <c r="K81" s="78"/>
      <c r="L81" s="71"/>
      <c r="M81" s="74"/>
      <c r="N81" s="74"/>
      <c r="O81" s="235"/>
      <c r="Q81" s="78"/>
      <c r="R81" s="78"/>
      <c r="S81" s="236"/>
      <c r="T81" s="237"/>
      <c r="U81" s="237"/>
      <c r="V81" s="78"/>
      <c r="W81" s="78"/>
      <c r="X81" s="78"/>
    </row>
    <row r="82" spans="2:24" s="80" customFormat="1" ht="21" x14ac:dyDescent="0.35">
      <c r="B82" s="235"/>
      <c r="C82" s="129"/>
      <c r="D82" s="78"/>
      <c r="E82" s="78"/>
      <c r="F82" s="236"/>
      <c r="G82" s="237"/>
      <c r="H82" s="237"/>
      <c r="I82" s="78"/>
      <c r="J82" s="78"/>
      <c r="K82" s="78"/>
      <c r="L82" s="71"/>
      <c r="M82" s="74"/>
      <c r="N82" s="74"/>
      <c r="O82" s="235"/>
      <c r="Q82" s="78"/>
      <c r="R82" s="78"/>
      <c r="S82" s="236"/>
      <c r="T82" s="237"/>
      <c r="U82" s="237"/>
      <c r="V82" s="78"/>
      <c r="W82" s="78"/>
      <c r="X82" s="78"/>
    </row>
    <row r="83" spans="2:24" s="80" customFormat="1" ht="21" x14ac:dyDescent="0.35">
      <c r="B83" s="235"/>
      <c r="C83" s="129"/>
      <c r="D83" s="78"/>
      <c r="E83" s="78"/>
      <c r="F83" s="236"/>
      <c r="G83" s="237"/>
      <c r="H83" s="237"/>
      <c r="I83" s="78"/>
      <c r="J83" s="78"/>
      <c r="K83" s="78"/>
      <c r="L83" s="71"/>
      <c r="M83" s="74"/>
      <c r="N83" s="74"/>
      <c r="O83" s="235"/>
      <c r="Q83" s="78"/>
      <c r="R83" s="78"/>
      <c r="S83" s="236"/>
      <c r="T83" s="237"/>
      <c r="U83" s="237"/>
      <c r="V83" s="78"/>
      <c r="W83" s="78"/>
      <c r="X83" s="78"/>
    </row>
    <row r="84" spans="2:24" s="80" customFormat="1" ht="21" x14ac:dyDescent="0.35">
      <c r="B84" s="235"/>
      <c r="C84" s="129"/>
      <c r="D84" s="78"/>
      <c r="E84" s="78"/>
      <c r="F84" s="236"/>
      <c r="G84" s="237"/>
      <c r="H84" s="237"/>
      <c r="I84" s="78"/>
      <c r="J84" s="78"/>
      <c r="K84" s="78"/>
      <c r="L84" s="71"/>
      <c r="M84" s="74"/>
      <c r="N84" s="74"/>
      <c r="O84" s="235"/>
      <c r="Q84" s="78"/>
      <c r="R84" s="78"/>
      <c r="S84" s="236"/>
      <c r="T84" s="237"/>
      <c r="U84" s="237"/>
      <c r="V84" s="78"/>
      <c r="W84" s="78"/>
      <c r="X84" s="78"/>
    </row>
    <row r="85" spans="2:24" x14ac:dyDescent="0.25">
      <c r="B85" s="7"/>
      <c r="C85" s="1"/>
      <c r="D85" s="5"/>
      <c r="E85" s="5"/>
      <c r="F85" s="5"/>
      <c r="G85" s="5"/>
      <c r="H85" s="5"/>
      <c r="J85" s="5"/>
      <c r="K85" s="5"/>
      <c r="L85" s="71"/>
      <c r="M85" s="74"/>
      <c r="N85" s="74"/>
      <c r="O85" s="7"/>
      <c r="Q85" s="5"/>
      <c r="R85" s="5"/>
      <c r="S85" s="5"/>
      <c r="T85" s="5"/>
      <c r="U85" s="5"/>
      <c r="V85" s="5"/>
      <c r="W85" s="5"/>
      <c r="X85" s="5"/>
    </row>
    <row r="90" spans="2:24" ht="6.75" customHeight="1" thickBot="1" x14ac:dyDescent="0.3"/>
    <row r="91" spans="2:24" ht="22.5" thickTop="1" thickBot="1" x14ac:dyDescent="0.4">
      <c r="B91" s="7"/>
      <c r="C91" s="260" t="s">
        <v>36</v>
      </c>
      <c r="D91" s="261"/>
      <c r="E91" s="261"/>
      <c r="F91" s="261"/>
      <c r="G91" s="261"/>
      <c r="H91" s="261"/>
      <c r="I91" s="261"/>
      <c r="J91" s="261"/>
      <c r="K91" s="261"/>
      <c r="L91" s="128" t="s">
        <v>42</v>
      </c>
      <c r="M91" s="133"/>
      <c r="N91" s="81"/>
      <c r="O91" s="262" t="s">
        <v>19</v>
      </c>
      <c r="P91" s="263"/>
      <c r="Q91" s="263"/>
      <c r="R91" s="263"/>
      <c r="S91" s="263"/>
      <c r="T91" s="263"/>
      <c r="U91" s="263"/>
      <c r="V91" s="263"/>
      <c r="W91" s="263"/>
      <c r="X91" s="190" t="s">
        <v>42</v>
      </c>
    </row>
    <row r="92" spans="2:24" ht="16.5" thickBot="1" x14ac:dyDescent="0.3">
      <c r="B92" s="7"/>
      <c r="C92" s="1"/>
      <c r="I92" s="264" t="s">
        <v>194</v>
      </c>
      <c r="J92" s="265"/>
      <c r="K92" s="266"/>
      <c r="L92" s="68"/>
      <c r="M92" s="134"/>
      <c r="N92" s="74"/>
      <c r="O92" s="7"/>
      <c r="V92" s="264" t="str">
        <f>I92</f>
        <v>del       07--- al  13    OCTUBRE-2023</v>
      </c>
      <c r="W92" s="265"/>
      <c r="X92" s="266"/>
    </row>
    <row r="93" spans="2:24" ht="64.5" thickTop="1" thickBot="1" x14ac:dyDescent="0.3">
      <c r="B93" s="6" t="s">
        <v>0</v>
      </c>
      <c r="C93" s="24" t="s">
        <v>1</v>
      </c>
      <c r="D93" s="25" t="s">
        <v>2</v>
      </c>
      <c r="E93" s="26" t="s">
        <v>7</v>
      </c>
      <c r="F93" s="56" t="s">
        <v>38</v>
      </c>
      <c r="G93" s="25" t="s">
        <v>3</v>
      </c>
      <c r="H93" s="27" t="s">
        <v>22</v>
      </c>
      <c r="I93" s="184" t="s">
        <v>4</v>
      </c>
      <c r="J93" s="61" t="s">
        <v>8</v>
      </c>
      <c r="K93" s="183" t="s">
        <v>5</v>
      </c>
      <c r="L93" s="99" t="s">
        <v>46</v>
      </c>
      <c r="M93" s="135"/>
      <c r="N93" s="82"/>
      <c r="O93" s="36" t="s">
        <v>0</v>
      </c>
      <c r="P93" s="143" t="s">
        <v>1</v>
      </c>
      <c r="Q93" s="137" t="s">
        <v>2</v>
      </c>
      <c r="R93" s="138" t="s">
        <v>16</v>
      </c>
      <c r="S93" s="138" t="s">
        <v>38</v>
      </c>
      <c r="T93" s="137" t="s">
        <v>3</v>
      </c>
      <c r="U93" s="137" t="s">
        <v>4</v>
      </c>
      <c r="V93" s="141" t="s">
        <v>25</v>
      </c>
      <c r="W93" s="136" t="s">
        <v>8</v>
      </c>
      <c r="X93" s="142" t="s">
        <v>5</v>
      </c>
    </row>
    <row r="94" spans="2:24" ht="42.75" customHeight="1" x14ac:dyDescent="0.25">
      <c r="B94" s="93" t="s">
        <v>201</v>
      </c>
      <c r="C94" s="234" t="s">
        <v>202</v>
      </c>
      <c r="D94" s="72"/>
      <c r="E94" s="72"/>
      <c r="F94" s="72"/>
      <c r="G94" s="72"/>
      <c r="H94" s="72"/>
      <c r="I94" s="72"/>
      <c r="J94" s="72"/>
      <c r="K94" s="72">
        <f>1358+469+1088+1049</f>
        <v>3964</v>
      </c>
      <c r="L94" s="71"/>
      <c r="M94" s="131"/>
      <c r="N94" s="74"/>
      <c r="O94" s="93" t="s">
        <v>201</v>
      </c>
      <c r="P94" s="86" t="s">
        <v>195</v>
      </c>
      <c r="Q94" s="72"/>
      <c r="R94" s="72"/>
      <c r="S94" s="72"/>
      <c r="T94" s="72"/>
      <c r="U94" s="72"/>
      <c r="V94" s="72"/>
      <c r="W94" s="72"/>
      <c r="X94" s="72">
        <f>1592+544+1586+1136</f>
        <v>4858</v>
      </c>
    </row>
    <row r="95" spans="2:24" ht="67.5" customHeight="1" x14ac:dyDescent="0.25">
      <c r="B95" s="93" t="s">
        <v>201</v>
      </c>
      <c r="C95" s="44" t="s">
        <v>203</v>
      </c>
      <c r="D95" s="67"/>
      <c r="E95" s="67"/>
      <c r="F95" s="67">
        <f>2134+45+70+55+30+90</f>
        <v>2424</v>
      </c>
      <c r="G95" s="67"/>
      <c r="H95" s="67"/>
      <c r="I95" s="67"/>
      <c r="J95" s="67"/>
      <c r="K95" s="67"/>
      <c r="L95" s="67"/>
      <c r="M95" s="131"/>
      <c r="N95" s="74"/>
      <c r="O95" s="93" t="s">
        <v>201</v>
      </c>
      <c r="P95" s="89" t="s">
        <v>196</v>
      </c>
      <c r="Q95" s="72"/>
      <c r="R95" s="72"/>
      <c r="S95" s="72">
        <f>2864+30+45+50+60+20</f>
        <v>3069</v>
      </c>
      <c r="T95" s="72"/>
      <c r="U95" s="72"/>
      <c r="V95" s="72"/>
      <c r="W95" s="72"/>
      <c r="X95" s="67"/>
    </row>
    <row r="96" spans="2:24" ht="34.5" customHeight="1" x14ac:dyDescent="0.25">
      <c r="B96" s="93" t="s">
        <v>201</v>
      </c>
      <c r="C96" s="44" t="s">
        <v>204</v>
      </c>
      <c r="D96" s="67">
        <f>115+195+65+217+150+214</f>
        <v>956</v>
      </c>
      <c r="E96" s="67"/>
      <c r="F96" s="67"/>
      <c r="G96" s="67"/>
      <c r="H96" s="67"/>
      <c r="I96" s="67"/>
      <c r="J96" s="67"/>
      <c r="K96" s="67"/>
      <c r="L96" s="67"/>
      <c r="M96" s="131"/>
      <c r="N96" s="74"/>
      <c r="O96" s="93" t="s">
        <v>201</v>
      </c>
      <c r="P96" s="87" t="s">
        <v>197</v>
      </c>
      <c r="Q96" s="72">
        <f>271+240+310</f>
        <v>821</v>
      </c>
      <c r="R96" s="72"/>
      <c r="S96" s="72"/>
      <c r="T96" s="72"/>
      <c r="U96" s="72"/>
      <c r="V96" s="72"/>
      <c r="W96" s="72"/>
      <c r="X96" s="67"/>
    </row>
    <row r="97" spans="2:25" ht="43.5" customHeight="1" x14ac:dyDescent="0.25">
      <c r="B97" s="93" t="s">
        <v>201</v>
      </c>
      <c r="C97" s="96" t="s">
        <v>205</v>
      </c>
      <c r="D97" s="67"/>
      <c r="E97" s="67"/>
      <c r="F97" s="67"/>
      <c r="G97" s="67"/>
      <c r="H97" s="67"/>
      <c r="I97" s="67"/>
      <c r="J97" s="67">
        <v>112</v>
      </c>
      <c r="K97" s="67"/>
      <c r="L97" s="67"/>
      <c r="M97" s="131"/>
      <c r="N97" s="74"/>
      <c r="O97" s="93" t="s">
        <v>201</v>
      </c>
      <c r="P97" s="89" t="s">
        <v>198</v>
      </c>
      <c r="Q97" s="72"/>
      <c r="R97" s="72"/>
      <c r="S97" s="72"/>
      <c r="T97" s="72"/>
      <c r="U97" s="72"/>
      <c r="V97" s="72"/>
      <c r="W97" s="72">
        <f>393+1291+64.5+360+302</f>
        <v>2410.5</v>
      </c>
      <c r="X97" s="67"/>
    </row>
    <row r="98" spans="2:25" ht="39" customHeight="1" x14ac:dyDescent="0.25">
      <c r="B98" s="93" t="s">
        <v>201</v>
      </c>
      <c r="C98" s="44" t="s">
        <v>172</v>
      </c>
      <c r="D98" s="67"/>
      <c r="E98" s="67"/>
      <c r="F98" s="67"/>
      <c r="G98" s="67"/>
      <c r="H98" s="67"/>
      <c r="I98" s="67">
        <v>704</v>
      </c>
      <c r="J98" s="67"/>
      <c r="K98" s="67"/>
      <c r="L98" s="67"/>
      <c r="M98" s="131"/>
      <c r="N98" s="74"/>
      <c r="O98" s="93" t="s">
        <v>201</v>
      </c>
      <c r="P98" s="89" t="s">
        <v>199</v>
      </c>
      <c r="Q98" s="72"/>
      <c r="R98" s="72">
        <f>941+931</f>
        <v>1872</v>
      </c>
      <c r="S98" s="72"/>
      <c r="T98" s="72"/>
      <c r="U98" s="72"/>
      <c r="V98" s="72"/>
      <c r="W98" s="72"/>
      <c r="X98" s="67"/>
    </row>
    <row r="99" spans="2:25" ht="38.25" customHeight="1" x14ac:dyDescent="0.25">
      <c r="B99" s="93" t="s">
        <v>201</v>
      </c>
      <c r="C99" s="44" t="s">
        <v>206</v>
      </c>
      <c r="D99" s="67"/>
      <c r="E99" s="67"/>
      <c r="F99" s="67"/>
      <c r="G99" s="67"/>
      <c r="H99" s="67"/>
      <c r="I99" s="67"/>
      <c r="J99" s="67">
        <f>266+1719+26+38+264</f>
        <v>2313</v>
      </c>
      <c r="K99" s="67"/>
      <c r="L99" s="67"/>
      <c r="M99" s="131"/>
      <c r="N99" s="74"/>
      <c r="O99" s="93" t="s">
        <v>201</v>
      </c>
      <c r="P99" s="195" t="s">
        <v>164</v>
      </c>
      <c r="Q99" s="72"/>
      <c r="R99" s="72"/>
      <c r="S99" s="72"/>
      <c r="T99" s="72"/>
      <c r="U99" s="72"/>
      <c r="V99" s="72">
        <f>170+204+204+204</f>
        <v>782</v>
      </c>
      <c r="W99" s="72"/>
      <c r="X99" s="67"/>
    </row>
    <row r="100" spans="2:25" ht="33" customHeight="1" x14ac:dyDescent="0.25">
      <c r="B100" s="93" t="s">
        <v>201</v>
      </c>
      <c r="C100" s="44" t="s">
        <v>96</v>
      </c>
      <c r="D100" s="67"/>
      <c r="E100" s="67"/>
      <c r="F100" s="67"/>
      <c r="G100" s="67"/>
      <c r="H100" s="67">
        <f>17+68+68+85+68</f>
        <v>306</v>
      </c>
      <c r="I100" s="67"/>
      <c r="J100" s="94"/>
      <c r="K100" s="67"/>
      <c r="L100" s="67"/>
      <c r="M100" s="131"/>
      <c r="N100" s="74"/>
      <c r="O100" s="93" t="s">
        <v>201</v>
      </c>
      <c r="P100" s="194" t="s">
        <v>4</v>
      </c>
      <c r="Q100" s="72"/>
      <c r="R100" s="72"/>
      <c r="S100" s="72"/>
      <c r="T100" s="72"/>
      <c r="U100" s="72">
        <v>704</v>
      </c>
      <c r="V100" s="72"/>
      <c r="W100" s="72"/>
      <c r="X100" s="67"/>
      <c r="Y100" s="129"/>
    </row>
    <row r="101" spans="2:25" ht="37.5" customHeight="1" x14ac:dyDescent="0.25">
      <c r="B101" s="93" t="s">
        <v>201</v>
      </c>
      <c r="C101" s="42" t="s">
        <v>11</v>
      </c>
      <c r="D101" s="67"/>
      <c r="E101" s="67"/>
      <c r="F101" s="67"/>
      <c r="G101" s="67"/>
      <c r="H101" s="67">
        <f>330+330+420</f>
        <v>1080</v>
      </c>
      <c r="I101" s="67"/>
      <c r="J101" s="67"/>
      <c r="K101" s="67"/>
      <c r="L101" s="67"/>
      <c r="M101" s="131"/>
      <c r="N101" s="74"/>
      <c r="O101" s="93" t="s">
        <v>201</v>
      </c>
      <c r="P101" s="194" t="s">
        <v>140</v>
      </c>
      <c r="Q101" s="72"/>
      <c r="R101" s="72"/>
      <c r="S101" s="72"/>
      <c r="T101" s="72"/>
      <c r="U101" s="72"/>
      <c r="V101" s="72">
        <f>750+750+760+1335</f>
        <v>3595</v>
      </c>
      <c r="W101" s="72"/>
      <c r="X101" s="67"/>
    </row>
    <row r="102" spans="2:25" ht="44.25" customHeight="1" x14ac:dyDescent="0.25">
      <c r="B102" s="93" t="s">
        <v>201</v>
      </c>
      <c r="C102" s="95" t="s">
        <v>207</v>
      </c>
      <c r="D102" s="67"/>
      <c r="E102" s="67"/>
      <c r="F102" s="67"/>
      <c r="G102" s="67"/>
      <c r="H102" s="67"/>
      <c r="I102" s="67"/>
      <c r="J102" s="67"/>
      <c r="K102" s="67"/>
      <c r="L102" s="67">
        <v>500</v>
      </c>
      <c r="M102" s="131"/>
      <c r="N102" s="74"/>
      <c r="O102" s="93" t="s">
        <v>201</v>
      </c>
      <c r="P102" s="192" t="s">
        <v>200</v>
      </c>
      <c r="Q102" s="72"/>
      <c r="R102" s="72"/>
      <c r="S102" s="72"/>
      <c r="T102" s="72">
        <f>115+30</f>
        <v>145</v>
      </c>
      <c r="U102" s="72"/>
      <c r="V102" s="72"/>
      <c r="W102" s="72"/>
      <c r="X102" s="67"/>
    </row>
    <row r="103" spans="2:25" ht="24" customHeight="1" thickBot="1" x14ac:dyDescent="0.3">
      <c r="B103" s="93"/>
      <c r="C103" s="42"/>
      <c r="D103" s="67"/>
      <c r="E103" s="67"/>
      <c r="F103" s="67"/>
      <c r="G103" s="67"/>
      <c r="H103" s="67"/>
      <c r="I103" s="67"/>
      <c r="J103" s="67"/>
      <c r="K103" s="67"/>
      <c r="L103" s="11"/>
      <c r="M103" s="131"/>
      <c r="N103" s="74"/>
      <c r="O103" s="191"/>
      <c r="P103" s="193"/>
      <c r="Q103" s="72"/>
      <c r="R103" s="72"/>
      <c r="S103" s="72"/>
      <c r="T103" s="72"/>
      <c r="U103" s="72"/>
      <c r="V103" s="72"/>
      <c r="W103" s="72"/>
      <c r="X103" s="67"/>
    </row>
    <row r="104" spans="2:25" ht="15.75" hidden="1" thickBot="1" x14ac:dyDescent="0.3">
      <c r="B104" s="93"/>
      <c r="C104" s="95"/>
      <c r="D104" s="67"/>
      <c r="E104" s="67"/>
      <c r="F104" s="67"/>
      <c r="G104" s="67"/>
      <c r="H104" s="67"/>
      <c r="I104" s="67"/>
      <c r="J104" s="67"/>
      <c r="K104" s="67"/>
      <c r="L104" s="11"/>
      <c r="M104" s="131"/>
      <c r="N104" s="74"/>
      <c r="O104" s="93"/>
      <c r="P104" s="88"/>
      <c r="Q104" s="72"/>
      <c r="R104" s="72"/>
      <c r="S104" s="72"/>
      <c r="T104" s="72"/>
      <c r="U104" s="72"/>
      <c r="V104" s="72"/>
      <c r="W104" s="72"/>
      <c r="X104" s="67"/>
    </row>
    <row r="105" spans="2:25" ht="15.75" hidden="1" thickBot="1" x14ac:dyDescent="0.3">
      <c r="B105" s="93"/>
      <c r="C105" s="10"/>
      <c r="D105" s="67"/>
      <c r="E105" s="67"/>
      <c r="F105" s="67"/>
      <c r="G105" s="67"/>
      <c r="H105" s="67"/>
      <c r="I105" s="67"/>
      <c r="J105" s="67"/>
      <c r="K105" s="67"/>
      <c r="L105" s="11"/>
      <c r="M105" s="131"/>
      <c r="N105" s="74"/>
      <c r="O105" s="93"/>
      <c r="P105" s="91"/>
      <c r="Q105" s="67"/>
      <c r="R105" s="67"/>
      <c r="S105" s="67"/>
      <c r="T105" s="67"/>
      <c r="U105" s="67"/>
      <c r="V105" s="67"/>
      <c r="W105" s="67"/>
      <c r="X105" s="67"/>
    </row>
    <row r="106" spans="2:25" ht="15.75" hidden="1" thickBot="1" x14ac:dyDescent="0.3">
      <c r="B106" s="93"/>
      <c r="C106" s="10"/>
      <c r="D106" s="67"/>
      <c r="E106" s="67"/>
      <c r="F106" s="67"/>
      <c r="G106" s="67"/>
      <c r="H106" s="67"/>
      <c r="I106" s="67"/>
      <c r="J106" s="67"/>
      <c r="K106" s="67"/>
      <c r="L106" s="11"/>
      <c r="M106" s="131"/>
      <c r="N106" s="74"/>
      <c r="O106" s="93"/>
      <c r="P106" s="91"/>
      <c r="Q106" s="67"/>
      <c r="R106" s="67"/>
      <c r="S106" s="67"/>
      <c r="T106" s="67"/>
      <c r="U106" s="67"/>
      <c r="V106" s="67"/>
      <c r="W106" s="67"/>
      <c r="X106" s="67"/>
    </row>
    <row r="107" spans="2:25" ht="15.75" hidden="1" thickBot="1" x14ac:dyDescent="0.3">
      <c r="B107" s="9"/>
      <c r="C107" s="34"/>
      <c r="D107" s="73"/>
      <c r="E107" s="73"/>
      <c r="F107" s="73"/>
      <c r="G107" s="73"/>
      <c r="H107" s="73"/>
      <c r="I107" s="73"/>
      <c r="J107" s="73"/>
      <c r="K107" s="73"/>
      <c r="L107" s="20"/>
      <c r="M107" s="131"/>
      <c r="N107" s="74"/>
      <c r="O107" s="46"/>
      <c r="P107" s="51"/>
      <c r="Q107" s="73">
        <v>0</v>
      </c>
      <c r="R107" s="73"/>
      <c r="S107" s="73"/>
      <c r="T107" s="73"/>
      <c r="U107" s="73"/>
      <c r="V107" s="73"/>
      <c r="W107" s="73"/>
      <c r="X107" s="73"/>
    </row>
    <row r="108" spans="2:25" ht="24" thickBot="1" x14ac:dyDescent="0.3">
      <c r="B108" s="7"/>
      <c r="C108" s="35" t="s">
        <v>18</v>
      </c>
      <c r="D108" s="30">
        <f>SUM(D94:D107)</f>
        <v>956</v>
      </c>
      <c r="E108" s="30">
        <f t="shared" ref="E108:L108" si="6">SUM(E94:E107)</f>
        <v>0</v>
      </c>
      <c r="F108" s="30">
        <f t="shared" si="6"/>
        <v>2424</v>
      </c>
      <c r="G108" s="30">
        <f t="shared" si="6"/>
        <v>0</v>
      </c>
      <c r="H108" s="30">
        <f t="shared" si="6"/>
        <v>1386</v>
      </c>
      <c r="I108" s="30">
        <f t="shared" si="6"/>
        <v>704</v>
      </c>
      <c r="J108" s="30">
        <f t="shared" si="6"/>
        <v>2425</v>
      </c>
      <c r="K108" s="30">
        <f t="shared" si="6"/>
        <v>3964</v>
      </c>
      <c r="L108" s="30">
        <f t="shared" si="6"/>
        <v>500</v>
      </c>
      <c r="M108" s="132"/>
      <c r="N108" s="74"/>
      <c r="O108" s="7"/>
      <c r="P108" s="33" t="s">
        <v>18</v>
      </c>
      <c r="Q108" s="21">
        <f t="shared" ref="Q108:X108" si="7">SUM(Q94:Q107)</f>
        <v>821</v>
      </c>
      <c r="R108" s="21">
        <f t="shared" si="7"/>
        <v>1872</v>
      </c>
      <c r="S108" s="21">
        <f t="shared" si="7"/>
        <v>3069</v>
      </c>
      <c r="T108" s="21">
        <f t="shared" si="7"/>
        <v>145</v>
      </c>
      <c r="U108" s="21">
        <f t="shared" si="7"/>
        <v>704</v>
      </c>
      <c r="V108" s="21">
        <f t="shared" si="7"/>
        <v>4377</v>
      </c>
      <c r="W108" s="21">
        <f t="shared" si="7"/>
        <v>2410.5</v>
      </c>
      <c r="X108" s="21">
        <f t="shared" si="7"/>
        <v>4858</v>
      </c>
    </row>
    <row r="109" spans="2:25" ht="15.75" thickBot="1" x14ac:dyDescent="0.3">
      <c r="B109" s="7"/>
      <c r="C109" s="1"/>
      <c r="D109" s="5"/>
      <c r="E109" s="5"/>
      <c r="F109" s="5"/>
      <c r="G109" s="5"/>
      <c r="H109" s="5"/>
      <c r="I109" s="5"/>
      <c r="J109" s="5"/>
      <c r="K109" s="5"/>
      <c r="L109" s="78"/>
      <c r="M109" s="76"/>
      <c r="N109" s="74"/>
      <c r="O109" s="7"/>
      <c r="Q109" s="5"/>
      <c r="R109" s="5"/>
      <c r="S109" s="5"/>
      <c r="T109" s="5"/>
      <c r="U109" s="5"/>
      <c r="V109" s="5"/>
      <c r="W109" s="5"/>
      <c r="X109" s="5"/>
    </row>
    <row r="110" spans="2:25" ht="21.75" thickBot="1" x14ac:dyDescent="0.4">
      <c r="B110" s="7"/>
      <c r="C110" s="1"/>
      <c r="D110" s="5"/>
      <c r="E110" s="5"/>
      <c r="F110" s="267">
        <f>K108+J108+I108+H108+G108+F108+E108+D108+L108</f>
        <v>12359</v>
      </c>
      <c r="G110" s="268"/>
      <c r="H110" s="269"/>
      <c r="I110" s="5"/>
      <c r="J110" s="5"/>
      <c r="K110" s="5"/>
      <c r="L110" s="71"/>
      <c r="M110" s="74"/>
      <c r="N110" s="74"/>
      <c r="O110" s="7"/>
      <c r="Q110" s="5"/>
      <c r="R110" s="5"/>
      <c r="S110" s="270">
        <f>Q108+R108+S108+T108+U108+V108+W108+X108</f>
        <v>18256.5</v>
      </c>
      <c r="T110" s="271"/>
      <c r="U110" s="272"/>
      <c r="V110" s="5"/>
      <c r="W110" s="5"/>
      <c r="X110" s="5"/>
    </row>
    <row r="111" spans="2:25" x14ac:dyDescent="0.25">
      <c r="B111" s="7"/>
      <c r="C111" s="1"/>
      <c r="D111" s="5"/>
      <c r="E111" s="5"/>
      <c r="F111" s="5"/>
      <c r="G111" s="5"/>
      <c r="H111" s="5"/>
      <c r="J111" s="5"/>
      <c r="K111" s="5"/>
      <c r="L111" s="71"/>
      <c r="M111" s="74"/>
      <c r="N111" s="74"/>
      <c r="O111" s="7"/>
      <c r="Q111" s="5"/>
      <c r="R111" s="5"/>
      <c r="S111" s="5"/>
      <c r="T111" s="5"/>
      <c r="U111" s="5"/>
      <c r="V111" s="5"/>
      <c r="W111" s="5"/>
      <c r="X111" s="5"/>
    </row>
    <row r="115" spans="2:25" ht="15.75" thickBot="1" x14ac:dyDescent="0.3"/>
    <row r="116" spans="2:25" ht="22.5" thickTop="1" thickBot="1" x14ac:dyDescent="0.4">
      <c r="B116" s="7"/>
      <c r="C116" s="260" t="s">
        <v>36</v>
      </c>
      <c r="D116" s="261"/>
      <c r="E116" s="261"/>
      <c r="F116" s="261"/>
      <c r="G116" s="261"/>
      <c r="H116" s="261"/>
      <c r="I116" s="261"/>
      <c r="J116" s="261"/>
      <c r="K116" s="261"/>
      <c r="L116" s="128" t="s">
        <v>41</v>
      </c>
      <c r="M116" s="133"/>
      <c r="N116" s="81"/>
      <c r="O116" s="262" t="s">
        <v>19</v>
      </c>
      <c r="P116" s="263"/>
      <c r="Q116" s="263"/>
      <c r="R116" s="263"/>
      <c r="S116" s="263"/>
      <c r="T116" s="263"/>
      <c r="U116" s="263"/>
      <c r="V116" s="263"/>
      <c r="W116" s="263"/>
      <c r="X116" s="190" t="s">
        <v>41</v>
      </c>
    </row>
    <row r="117" spans="2:25" ht="16.5" thickBot="1" x14ac:dyDescent="0.3">
      <c r="B117" s="7"/>
      <c r="C117" s="1"/>
      <c r="I117" s="264" t="s">
        <v>167</v>
      </c>
      <c r="J117" s="265"/>
      <c r="K117" s="266"/>
      <c r="L117" s="68"/>
      <c r="M117" s="134"/>
      <c r="N117" s="74"/>
      <c r="O117" s="7"/>
      <c r="V117" s="264" t="str">
        <f>I117</f>
        <v>del       30--- al  06    OCTUBRE-2023</v>
      </c>
      <c r="W117" s="265"/>
      <c r="X117" s="266"/>
    </row>
    <row r="118" spans="2:25" ht="64.5" thickTop="1" thickBot="1" x14ac:dyDescent="0.3">
      <c r="B118" s="6" t="s">
        <v>0</v>
      </c>
      <c r="C118" s="24" t="s">
        <v>1</v>
      </c>
      <c r="D118" s="25" t="s">
        <v>2</v>
      </c>
      <c r="E118" s="26" t="s">
        <v>7</v>
      </c>
      <c r="F118" s="56" t="s">
        <v>38</v>
      </c>
      <c r="G118" s="25" t="s">
        <v>3</v>
      </c>
      <c r="H118" s="27" t="s">
        <v>22</v>
      </c>
      <c r="I118" s="184" t="s">
        <v>4</v>
      </c>
      <c r="J118" s="61" t="s">
        <v>8</v>
      </c>
      <c r="K118" s="183" t="s">
        <v>5</v>
      </c>
      <c r="L118" s="99" t="s">
        <v>46</v>
      </c>
      <c r="M118" s="135"/>
      <c r="N118" s="82"/>
      <c r="O118" s="36" t="s">
        <v>0</v>
      </c>
      <c r="P118" s="143" t="s">
        <v>1</v>
      </c>
      <c r="Q118" s="137" t="s">
        <v>2</v>
      </c>
      <c r="R118" s="138" t="s">
        <v>16</v>
      </c>
      <c r="S118" s="138" t="s">
        <v>38</v>
      </c>
      <c r="T118" s="137" t="s">
        <v>3</v>
      </c>
      <c r="U118" s="137" t="s">
        <v>4</v>
      </c>
      <c r="V118" s="141" t="s">
        <v>25</v>
      </c>
      <c r="W118" s="136" t="s">
        <v>8</v>
      </c>
      <c r="X118" s="142" t="s">
        <v>5</v>
      </c>
    </row>
    <row r="119" spans="2:25" ht="60" x14ac:dyDescent="0.25">
      <c r="B119" s="93" t="s">
        <v>168</v>
      </c>
      <c r="C119" s="107" t="s">
        <v>169</v>
      </c>
      <c r="D119" s="72"/>
      <c r="E119" s="72"/>
      <c r="F119" s="72"/>
      <c r="G119" s="72"/>
      <c r="H119" s="72"/>
      <c r="I119" s="72"/>
      <c r="J119" s="72"/>
      <c r="K119" s="243">
        <f>1150+1167+1554+234+1684</f>
        <v>5789</v>
      </c>
      <c r="L119" s="70"/>
      <c r="M119" s="131"/>
      <c r="N119" s="74"/>
      <c r="O119" s="93" t="s">
        <v>168</v>
      </c>
      <c r="P119" s="86" t="s">
        <v>174</v>
      </c>
      <c r="Q119" s="72"/>
      <c r="R119" s="72"/>
      <c r="S119" s="72"/>
      <c r="T119" s="72"/>
      <c r="U119" s="72"/>
      <c r="V119" s="72"/>
      <c r="W119" s="72"/>
      <c r="X119" s="243">
        <f>1459+1661+1598+779+1647</f>
        <v>7144</v>
      </c>
    </row>
    <row r="120" spans="2:25" ht="35.25" customHeight="1" x14ac:dyDescent="0.25">
      <c r="B120" s="93" t="s">
        <v>168</v>
      </c>
      <c r="C120" s="44" t="s">
        <v>263</v>
      </c>
      <c r="D120" s="67"/>
      <c r="E120" s="67"/>
      <c r="F120" s="244">
        <f>18+60+30</f>
        <v>108</v>
      </c>
      <c r="G120" s="67"/>
      <c r="H120" s="67"/>
      <c r="I120" s="67"/>
      <c r="J120" s="67"/>
      <c r="K120" s="67"/>
      <c r="L120" s="67"/>
      <c r="M120" s="131"/>
      <c r="N120" s="74"/>
      <c r="O120" s="93" t="s">
        <v>168</v>
      </c>
      <c r="P120" s="89" t="s">
        <v>265</v>
      </c>
      <c r="Q120" s="72"/>
      <c r="R120" s="72"/>
      <c r="S120" s="243">
        <f>30+70+56+36</f>
        <v>192</v>
      </c>
      <c r="T120" s="72"/>
      <c r="U120" s="72"/>
      <c r="V120" s="72"/>
      <c r="W120" s="72"/>
      <c r="X120" s="67"/>
    </row>
    <row r="121" spans="2:25" ht="34.5" customHeight="1" x14ac:dyDescent="0.25">
      <c r="B121" s="93" t="s">
        <v>168</v>
      </c>
      <c r="C121" s="44" t="s">
        <v>264</v>
      </c>
      <c r="D121" s="244">
        <f>190</f>
        <v>190</v>
      </c>
      <c r="E121" s="67"/>
      <c r="F121" s="67"/>
      <c r="G121" s="67"/>
      <c r="H121" s="67"/>
      <c r="I121" s="67"/>
      <c r="J121" s="67"/>
      <c r="K121" s="67"/>
      <c r="L121" s="11"/>
      <c r="M121" s="131"/>
      <c r="N121" s="74"/>
      <c r="O121" s="93" t="s">
        <v>168</v>
      </c>
      <c r="P121" s="87" t="s">
        <v>266</v>
      </c>
      <c r="Q121" s="243">
        <f>253+35+215</f>
        <v>503</v>
      </c>
      <c r="R121" s="72"/>
      <c r="S121" s="72"/>
      <c r="T121" s="72"/>
      <c r="U121" s="72"/>
      <c r="V121" s="72"/>
      <c r="W121" s="72"/>
      <c r="X121" s="67"/>
    </row>
    <row r="122" spans="2:25" ht="43.5" customHeight="1" x14ac:dyDescent="0.25">
      <c r="B122" s="93" t="s">
        <v>168</v>
      </c>
      <c r="C122" s="96" t="s">
        <v>170</v>
      </c>
      <c r="D122" s="67"/>
      <c r="E122" s="67"/>
      <c r="F122" s="67"/>
      <c r="G122" s="244">
        <v>15</v>
      </c>
      <c r="H122" s="67"/>
      <c r="I122" s="67"/>
      <c r="J122" s="67"/>
      <c r="K122" s="67"/>
      <c r="L122" s="11"/>
      <c r="M122" s="131"/>
      <c r="N122" s="74"/>
      <c r="O122" s="93" t="s">
        <v>168</v>
      </c>
      <c r="P122" s="245"/>
      <c r="Q122" s="72"/>
      <c r="R122" s="72"/>
      <c r="S122" s="72"/>
      <c r="T122" s="72"/>
      <c r="U122" s="72"/>
      <c r="V122" s="72"/>
      <c r="W122" s="72">
        <v>0</v>
      </c>
      <c r="X122" s="67"/>
    </row>
    <row r="123" spans="2:25" ht="39" customHeight="1" x14ac:dyDescent="0.25">
      <c r="B123" s="93" t="s">
        <v>168</v>
      </c>
      <c r="C123" s="44" t="s">
        <v>172</v>
      </c>
      <c r="D123" s="67"/>
      <c r="E123" s="67"/>
      <c r="F123" s="67"/>
      <c r="G123" s="67"/>
      <c r="H123" s="67"/>
      <c r="I123" s="67"/>
      <c r="J123" s="67"/>
      <c r="K123" s="67"/>
      <c r="L123" s="11"/>
      <c r="M123" s="131"/>
      <c r="N123" s="74"/>
      <c r="O123" s="93" t="s">
        <v>168</v>
      </c>
      <c r="P123" s="194"/>
      <c r="Q123" s="72"/>
      <c r="R123" s="72"/>
      <c r="S123" s="72"/>
      <c r="T123" s="72"/>
      <c r="U123" s="72"/>
      <c r="V123" s="72"/>
      <c r="W123" s="72"/>
      <c r="X123" s="67"/>
    </row>
    <row r="124" spans="2:25" ht="38.25" customHeight="1" x14ac:dyDescent="0.25">
      <c r="B124" s="93" t="s">
        <v>168</v>
      </c>
      <c r="C124" s="44" t="s">
        <v>259</v>
      </c>
      <c r="D124" s="67"/>
      <c r="E124" s="67"/>
      <c r="F124" s="67"/>
      <c r="G124" s="67"/>
      <c r="H124" s="67"/>
      <c r="I124" s="67"/>
      <c r="J124" s="244">
        <f>127</f>
        <v>127</v>
      </c>
      <c r="K124" s="67"/>
      <c r="L124" s="11"/>
      <c r="M124" s="131"/>
      <c r="N124" s="74"/>
      <c r="O124" s="93" t="s">
        <v>168</v>
      </c>
      <c r="P124" s="195" t="s">
        <v>164</v>
      </c>
      <c r="Q124" s="72"/>
      <c r="R124" s="72"/>
      <c r="S124" s="72"/>
      <c r="T124" s="72"/>
      <c r="U124" s="72"/>
      <c r="V124" s="243">
        <f>238+204+204+270+238</f>
        <v>1154</v>
      </c>
      <c r="W124" s="72"/>
      <c r="X124" s="67"/>
    </row>
    <row r="125" spans="2:25" ht="33" customHeight="1" x14ac:dyDescent="0.25">
      <c r="B125" s="93" t="s">
        <v>168</v>
      </c>
      <c r="C125" s="44" t="s">
        <v>173</v>
      </c>
      <c r="D125" s="67"/>
      <c r="E125" s="67"/>
      <c r="F125" s="67"/>
      <c r="G125" s="67"/>
      <c r="H125" s="67"/>
      <c r="I125" s="67"/>
      <c r="J125" s="94"/>
      <c r="K125" s="67"/>
      <c r="L125" s="11"/>
      <c r="M125" s="131"/>
      <c r="N125" s="74"/>
      <c r="O125" s="93" t="s">
        <v>168</v>
      </c>
      <c r="P125" s="194"/>
      <c r="Q125" s="72"/>
      <c r="R125" s="72"/>
      <c r="S125" s="72"/>
      <c r="T125" s="72"/>
      <c r="U125" s="72"/>
      <c r="V125" s="72"/>
      <c r="W125" s="72"/>
      <c r="X125" s="67"/>
      <c r="Y125" s="129"/>
    </row>
    <row r="126" spans="2:25" ht="37.5" customHeight="1" x14ac:dyDescent="0.25">
      <c r="B126" s="93" t="s">
        <v>168</v>
      </c>
      <c r="C126" s="42" t="s">
        <v>96</v>
      </c>
      <c r="D126" s="67"/>
      <c r="E126" s="67"/>
      <c r="F126" s="67"/>
      <c r="G126" s="67"/>
      <c r="H126" s="244">
        <f>204+85+85+68+68</f>
        <v>510</v>
      </c>
      <c r="I126" s="67"/>
      <c r="J126" s="67"/>
      <c r="K126" s="67"/>
      <c r="L126" s="11"/>
      <c r="M126" s="131"/>
      <c r="N126" s="74"/>
      <c r="O126" s="93" t="s">
        <v>168</v>
      </c>
      <c r="P126" s="195" t="s">
        <v>140</v>
      </c>
      <c r="Q126" s="72"/>
      <c r="R126" s="72"/>
      <c r="S126" s="72"/>
      <c r="T126" s="72"/>
      <c r="U126" s="72"/>
      <c r="V126" s="243">
        <f>2650+700+700+710</f>
        <v>4760</v>
      </c>
      <c r="W126" s="72"/>
      <c r="X126" s="67"/>
    </row>
    <row r="127" spans="2:25" ht="44.25" customHeight="1" x14ac:dyDescent="0.25">
      <c r="B127" s="93" t="s">
        <v>168</v>
      </c>
      <c r="C127" s="95" t="s">
        <v>11</v>
      </c>
      <c r="D127" s="67"/>
      <c r="E127" s="67"/>
      <c r="F127" s="67"/>
      <c r="G127" s="67"/>
      <c r="H127" s="244">
        <f>380+380+470</f>
        <v>1230</v>
      </c>
      <c r="I127" s="67"/>
      <c r="J127" s="67"/>
      <c r="K127" s="67"/>
      <c r="L127" s="11"/>
      <c r="M127" s="131"/>
      <c r="N127" s="74"/>
      <c r="O127" s="93" t="s">
        <v>168</v>
      </c>
      <c r="P127" s="192"/>
      <c r="Q127" s="72"/>
      <c r="R127" s="72"/>
      <c r="S127" s="72"/>
      <c r="T127" s="72"/>
      <c r="U127" s="72"/>
      <c r="V127" s="72"/>
      <c r="W127" s="72"/>
      <c r="X127" s="67"/>
    </row>
    <row r="128" spans="2:25" ht="24" customHeight="1" thickBot="1" x14ac:dyDescent="0.3">
      <c r="B128" s="93"/>
      <c r="C128" s="42"/>
      <c r="D128" s="67"/>
      <c r="E128" s="67"/>
      <c r="F128" s="67"/>
      <c r="G128" s="67"/>
      <c r="H128" s="67"/>
      <c r="I128" s="67"/>
      <c r="J128" s="67"/>
      <c r="K128" s="67"/>
      <c r="L128" s="11"/>
      <c r="M128" s="131"/>
      <c r="N128" s="74"/>
      <c r="O128" s="191"/>
      <c r="P128" s="193"/>
      <c r="Q128" s="72"/>
      <c r="R128" s="72"/>
      <c r="S128" s="72"/>
      <c r="T128" s="72"/>
      <c r="U128" s="72"/>
      <c r="V128" s="72"/>
      <c r="W128" s="72"/>
      <c r="X128" s="67"/>
    </row>
    <row r="129" spans="1:24" ht="15.75" hidden="1" thickBot="1" x14ac:dyDescent="0.3">
      <c r="B129" s="93"/>
      <c r="C129" s="95"/>
      <c r="D129" s="67"/>
      <c r="E129" s="67"/>
      <c r="F129" s="67"/>
      <c r="G129" s="67"/>
      <c r="H129" s="67"/>
      <c r="I129" s="67"/>
      <c r="J129" s="67"/>
      <c r="K129" s="67"/>
      <c r="L129" s="11"/>
      <c r="M129" s="131"/>
      <c r="N129" s="74"/>
      <c r="O129" s="93"/>
      <c r="P129" s="88"/>
      <c r="Q129" s="72"/>
      <c r="R129" s="72"/>
      <c r="S129" s="72"/>
      <c r="T129" s="72"/>
      <c r="U129" s="72"/>
      <c r="V129" s="72"/>
      <c r="W129" s="72"/>
      <c r="X129" s="67"/>
    </row>
    <row r="130" spans="1:24" ht="15.75" hidden="1" thickBot="1" x14ac:dyDescent="0.3">
      <c r="B130" s="93"/>
      <c r="C130" s="10"/>
      <c r="D130" s="67"/>
      <c r="E130" s="67"/>
      <c r="F130" s="67"/>
      <c r="G130" s="67"/>
      <c r="H130" s="67"/>
      <c r="I130" s="67"/>
      <c r="J130" s="67"/>
      <c r="K130" s="67"/>
      <c r="L130" s="11"/>
      <c r="M130" s="131"/>
      <c r="N130" s="74"/>
      <c r="O130" s="93"/>
      <c r="P130" s="91"/>
      <c r="Q130" s="67"/>
      <c r="R130" s="67"/>
      <c r="S130" s="67"/>
      <c r="T130" s="67"/>
      <c r="U130" s="67"/>
      <c r="V130" s="67"/>
      <c r="W130" s="67"/>
      <c r="X130" s="67"/>
    </row>
    <row r="131" spans="1:24" ht="15.75" hidden="1" thickBot="1" x14ac:dyDescent="0.3">
      <c r="B131" s="93"/>
      <c r="C131" s="10"/>
      <c r="D131" s="67"/>
      <c r="E131" s="67"/>
      <c r="F131" s="67"/>
      <c r="G131" s="67"/>
      <c r="H131" s="67"/>
      <c r="I131" s="67"/>
      <c r="J131" s="67"/>
      <c r="K131" s="67"/>
      <c r="L131" s="11"/>
      <c r="M131" s="131"/>
      <c r="N131" s="74"/>
      <c r="O131" s="93"/>
      <c r="P131" s="91"/>
      <c r="Q131" s="67"/>
      <c r="R131" s="67"/>
      <c r="S131" s="67"/>
      <c r="T131" s="67"/>
      <c r="U131" s="67"/>
      <c r="V131" s="67"/>
      <c r="W131" s="67"/>
      <c r="X131" s="67"/>
    </row>
    <row r="132" spans="1:24" ht="15.75" hidden="1" thickBot="1" x14ac:dyDescent="0.3">
      <c r="B132" s="9"/>
      <c r="C132" s="34"/>
      <c r="D132" s="73"/>
      <c r="E132" s="73"/>
      <c r="F132" s="73"/>
      <c r="G132" s="73"/>
      <c r="H132" s="73"/>
      <c r="I132" s="73"/>
      <c r="J132" s="73"/>
      <c r="K132" s="73"/>
      <c r="L132" s="20"/>
      <c r="M132" s="131"/>
      <c r="N132" s="74"/>
      <c r="O132" s="46"/>
      <c r="P132" s="51"/>
      <c r="Q132" s="73">
        <v>0</v>
      </c>
      <c r="R132" s="73"/>
      <c r="S132" s="73"/>
      <c r="T132" s="73"/>
      <c r="U132" s="73"/>
      <c r="V132" s="73"/>
      <c r="W132" s="73"/>
      <c r="X132" s="73"/>
    </row>
    <row r="133" spans="1:24" ht="24" thickBot="1" x14ac:dyDescent="0.3">
      <c r="B133" s="7"/>
      <c r="C133" s="35" t="s">
        <v>18</v>
      </c>
      <c r="D133" s="30">
        <f>SUM(D119:D132)</f>
        <v>190</v>
      </c>
      <c r="E133" s="30">
        <f t="shared" ref="E133:L133" si="8">SUM(E119:E132)</f>
        <v>0</v>
      </c>
      <c r="F133" s="30">
        <f t="shared" si="8"/>
        <v>108</v>
      </c>
      <c r="G133" s="30">
        <f t="shared" si="8"/>
        <v>15</v>
      </c>
      <c r="H133" s="30">
        <f t="shared" si="8"/>
        <v>1740</v>
      </c>
      <c r="I133" s="30">
        <f t="shared" si="8"/>
        <v>0</v>
      </c>
      <c r="J133" s="30">
        <f t="shared" si="8"/>
        <v>127</v>
      </c>
      <c r="K133" s="30">
        <f t="shared" si="8"/>
        <v>5789</v>
      </c>
      <c r="L133" s="30">
        <f t="shared" si="8"/>
        <v>0</v>
      </c>
      <c r="M133" s="132"/>
      <c r="N133" s="74"/>
      <c r="O133" s="7"/>
      <c r="P133" s="33" t="s">
        <v>18</v>
      </c>
      <c r="Q133" s="21">
        <f t="shared" ref="Q133:X133" si="9">SUM(Q119:Q132)</f>
        <v>503</v>
      </c>
      <c r="R133" s="21">
        <f t="shared" si="9"/>
        <v>0</v>
      </c>
      <c r="S133" s="21">
        <f t="shared" si="9"/>
        <v>192</v>
      </c>
      <c r="T133" s="21">
        <f t="shared" si="9"/>
        <v>0</v>
      </c>
      <c r="U133" s="21">
        <f t="shared" si="9"/>
        <v>0</v>
      </c>
      <c r="V133" s="21">
        <f t="shared" si="9"/>
        <v>5914</v>
      </c>
      <c r="W133" s="21">
        <f t="shared" si="9"/>
        <v>0</v>
      </c>
      <c r="X133" s="21">
        <f t="shared" si="9"/>
        <v>7144</v>
      </c>
    </row>
    <row r="134" spans="1:24" ht="15.75" thickBot="1" x14ac:dyDescent="0.3">
      <c r="B134" s="7"/>
      <c r="C134" s="1"/>
      <c r="D134" s="5"/>
      <c r="E134" s="5"/>
      <c r="F134" s="5"/>
      <c r="G134" s="5"/>
      <c r="H134" s="5"/>
      <c r="I134" s="5"/>
      <c r="J134" s="5"/>
      <c r="K134" s="5"/>
      <c r="L134" s="78"/>
      <c r="M134" s="76"/>
      <c r="N134" s="74"/>
      <c r="O134" s="7"/>
      <c r="Q134" s="5"/>
      <c r="R134" s="5"/>
      <c r="S134" s="5"/>
      <c r="T134" s="5"/>
      <c r="U134" s="5"/>
      <c r="V134" s="5"/>
      <c r="W134" s="5"/>
      <c r="X134" s="5"/>
    </row>
    <row r="135" spans="1:24" ht="21.75" thickBot="1" x14ac:dyDescent="0.4">
      <c r="B135" s="7"/>
      <c r="C135" s="1"/>
      <c r="D135" s="5"/>
      <c r="E135" s="5"/>
      <c r="F135" s="267">
        <f>K133+J133+I133+H133+G133+F133+E133+D133+L133</f>
        <v>7969</v>
      </c>
      <c r="G135" s="268"/>
      <c r="H135" s="269"/>
      <c r="I135" s="5"/>
      <c r="J135" s="5"/>
      <c r="K135" s="5"/>
      <c r="L135" s="71"/>
      <c r="M135" s="74"/>
      <c r="N135" s="74"/>
      <c r="O135" s="7"/>
      <c r="Q135" s="5"/>
      <c r="R135" s="5"/>
      <c r="S135" s="270">
        <f>Q133+R133+S133+T133+U133+V133+W133+X133</f>
        <v>13753</v>
      </c>
      <c r="T135" s="271"/>
      <c r="U135" s="272"/>
      <c r="V135" s="5"/>
      <c r="W135" s="5"/>
      <c r="X135" s="5"/>
    </row>
    <row r="136" spans="1:24" x14ac:dyDescent="0.25">
      <c r="B136" s="7"/>
      <c r="C136" s="1"/>
      <c r="D136" s="5"/>
      <c r="E136" s="5"/>
      <c r="F136" s="5"/>
      <c r="G136" s="5"/>
      <c r="H136" s="5"/>
      <c r="J136" s="5"/>
      <c r="K136" s="5"/>
      <c r="L136" s="71"/>
      <c r="M136" s="74"/>
      <c r="N136" s="74"/>
      <c r="O136" s="7"/>
      <c r="Q136" s="5"/>
      <c r="R136" s="5"/>
      <c r="S136" s="5"/>
      <c r="T136" s="5"/>
      <c r="U136" s="5"/>
      <c r="V136" s="5"/>
      <c r="W136" s="5"/>
      <c r="X136" s="5"/>
    </row>
    <row r="140" spans="1:24" x14ac:dyDescent="0.25">
      <c r="A140" s="246"/>
      <c r="B140" s="246"/>
      <c r="C140" s="246"/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</row>
    <row r="141" spans="1:24" ht="15.75" thickBot="1" x14ac:dyDescent="0.3">
      <c r="A141" s="246"/>
      <c r="B141" s="246"/>
      <c r="C141" s="246"/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</row>
    <row r="142" spans="1:24" ht="22.5" thickTop="1" thickBot="1" x14ac:dyDescent="0.4">
      <c r="B142" s="7"/>
      <c r="C142" s="260" t="s">
        <v>36</v>
      </c>
      <c r="D142" s="261"/>
      <c r="E142" s="261"/>
      <c r="F142" s="261"/>
      <c r="G142" s="261"/>
      <c r="H142" s="261"/>
      <c r="I142" s="261"/>
      <c r="J142" s="261"/>
      <c r="K142" s="261"/>
      <c r="L142" s="128" t="s">
        <v>41</v>
      </c>
      <c r="M142" s="133"/>
      <c r="N142" s="81"/>
      <c r="O142" s="262" t="s">
        <v>19</v>
      </c>
      <c r="P142" s="263"/>
      <c r="Q142" s="263"/>
      <c r="R142" s="263"/>
      <c r="S142" s="263"/>
      <c r="T142" s="263"/>
      <c r="U142" s="263"/>
      <c r="V142" s="263"/>
      <c r="W142" s="263"/>
      <c r="X142" s="190" t="s">
        <v>41</v>
      </c>
    </row>
    <row r="143" spans="1:24" ht="16.5" thickBot="1" x14ac:dyDescent="0.3">
      <c r="B143" s="7"/>
      <c r="C143" s="1"/>
      <c r="I143" s="264" t="s">
        <v>167</v>
      </c>
      <c r="J143" s="265"/>
      <c r="K143" s="266"/>
      <c r="L143" s="68"/>
      <c r="M143" s="134"/>
      <c r="N143" s="74"/>
      <c r="O143" s="7"/>
      <c r="V143" s="264" t="str">
        <f>I143</f>
        <v>del       30--- al  06    OCTUBRE-2023</v>
      </c>
      <c r="W143" s="265"/>
      <c r="X143" s="266"/>
    </row>
    <row r="144" spans="1:24" ht="64.5" thickTop="1" thickBot="1" x14ac:dyDescent="0.3">
      <c r="B144" s="6" t="s">
        <v>0</v>
      </c>
      <c r="C144" s="24" t="s">
        <v>1</v>
      </c>
      <c r="D144" s="25" t="s">
        <v>2</v>
      </c>
      <c r="E144" s="26" t="s">
        <v>7</v>
      </c>
      <c r="F144" s="56" t="s">
        <v>38</v>
      </c>
      <c r="G144" s="25" t="s">
        <v>3</v>
      </c>
      <c r="H144" s="27" t="s">
        <v>22</v>
      </c>
      <c r="I144" s="184" t="s">
        <v>4</v>
      </c>
      <c r="J144" s="61" t="s">
        <v>8</v>
      </c>
      <c r="K144" s="183" t="s">
        <v>5</v>
      </c>
      <c r="L144" s="99" t="s">
        <v>46</v>
      </c>
      <c r="M144" s="135"/>
      <c r="N144" s="82"/>
      <c r="O144" s="36" t="s">
        <v>0</v>
      </c>
      <c r="P144" s="143" t="s">
        <v>1</v>
      </c>
      <c r="Q144" s="137" t="s">
        <v>2</v>
      </c>
      <c r="R144" s="138" t="s">
        <v>16</v>
      </c>
      <c r="S144" s="138" t="s">
        <v>38</v>
      </c>
      <c r="T144" s="137" t="s">
        <v>3</v>
      </c>
      <c r="U144" s="137" t="s">
        <v>4</v>
      </c>
      <c r="V144" s="141" t="s">
        <v>25</v>
      </c>
      <c r="W144" s="136" t="s">
        <v>8</v>
      </c>
      <c r="X144" s="142" t="s">
        <v>5</v>
      </c>
    </row>
    <row r="145" spans="2:25" ht="60" x14ac:dyDescent="0.25">
      <c r="B145" s="93" t="s">
        <v>168</v>
      </c>
      <c r="C145" s="107" t="s">
        <v>169</v>
      </c>
      <c r="D145" s="72"/>
      <c r="E145" s="72"/>
      <c r="F145" s="72"/>
      <c r="G145" s="72"/>
      <c r="H145" s="72"/>
      <c r="I145" s="72"/>
      <c r="J145" s="72"/>
      <c r="K145" s="104">
        <f>1150+1167+1554+234+1684</f>
        <v>5789</v>
      </c>
      <c r="L145" s="70"/>
      <c r="M145" s="131"/>
      <c r="N145" s="74"/>
      <c r="O145" s="93" t="s">
        <v>168</v>
      </c>
      <c r="P145" s="86" t="s">
        <v>174</v>
      </c>
      <c r="Q145" s="72"/>
      <c r="R145" s="72"/>
      <c r="S145" s="72"/>
      <c r="T145" s="72"/>
      <c r="U145" s="72"/>
      <c r="V145" s="72"/>
      <c r="W145" s="72"/>
      <c r="X145" s="104">
        <f>1459+1661+1598+779+1647</f>
        <v>7144</v>
      </c>
    </row>
    <row r="146" spans="2:25" ht="48.75" x14ac:dyDescent="0.25">
      <c r="B146" s="93" t="s">
        <v>168</v>
      </c>
      <c r="C146" s="44" t="s">
        <v>178</v>
      </c>
      <c r="D146" s="67"/>
      <c r="E146" s="67"/>
      <c r="F146" s="105">
        <f>45+18+1601+60+30</f>
        <v>1754</v>
      </c>
      <c r="G146" s="67"/>
      <c r="H146" s="67"/>
      <c r="I146" s="67"/>
      <c r="J146" s="67"/>
      <c r="K146" s="67"/>
      <c r="L146" s="67"/>
      <c r="M146" s="131"/>
      <c r="N146" s="74"/>
      <c r="O146" s="93" t="s">
        <v>168</v>
      </c>
      <c r="P146" s="89" t="s">
        <v>181</v>
      </c>
      <c r="Q146" s="72"/>
      <c r="R146" s="72"/>
      <c r="S146" s="104">
        <f>30+70+56+1967+36+60</f>
        <v>2219</v>
      </c>
      <c r="T146" s="72"/>
      <c r="U146" s="72"/>
      <c r="V146" s="72"/>
      <c r="W146" s="72"/>
      <c r="X146" s="67"/>
    </row>
    <row r="147" spans="2:25" ht="34.5" customHeight="1" x14ac:dyDescent="0.25">
      <c r="B147" s="93" t="s">
        <v>168</v>
      </c>
      <c r="C147" s="44" t="s">
        <v>171</v>
      </c>
      <c r="D147" s="105">
        <f>220+221+100+155+190</f>
        <v>886</v>
      </c>
      <c r="E147" s="67"/>
      <c r="F147" s="67"/>
      <c r="G147" s="67"/>
      <c r="H147" s="67"/>
      <c r="I147" s="67"/>
      <c r="J147" s="67"/>
      <c r="K147" s="67"/>
      <c r="L147" s="11"/>
      <c r="M147" s="131"/>
      <c r="N147" s="74"/>
      <c r="O147" s="93" t="s">
        <v>168</v>
      </c>
      <c r="P147" s="87" t="s">
        <v>179</v>
      </c>
      <c r="Q147" s="104">
        <f>200+100+253+35+215</f>
        <v>803</v>
      </c>
      <c r="R147" s="72"/>
      <c r="S147" s="72"/>
      <c r="T147" s="72"/>
      <c r="U147" s="72"/>
      <c r="V147" s="72"/>
      <c r="W147" s="72"/>
      <c r="X147" s="67"/>
    </row>
    <row r="148" spans="2:25" ht="43.5" customHeight="1" x14ac:dyDescent="0.25">
      <c r="B148" s="93" t="s">
        <v>168</v>
      </c>
      <c r="C148" s="96" t="s">
        <v>170</v>
      </c>
      <c r="D148" s="67"/>
      <c r="E148" s="67"/>
      <c r="F148" s="67"/>
      <c r="G148" s="105">
        <v>15</v>
      </c>
      <c r="H148" s="67"/>
      <c r="I148" s="67"/>
      <c r="J148" s="67"/>
      <c r="K148" s="67"/>
      <c r="L148" s="11"/>
      <c r="M148" s="131"/>
      <c r="N148" s="74"/>
      <c r="O148" s="93" t="s">
        <v>168</v>
      </c>
      <c r="P148" s="89" t="s">
        <v>175</v>
      </c>
      <c r="Q148" s="72"/>
      <c r="R148" s="72"/>
      <c r="S148" s="72"/>
      <c r="T148" s="72"/>
      <c r="U148" s="72"/>
      <c r="V148" s="72"/>
      <c r="W148" s="104">
        <f>1390+343+55+40+88</f>
        <v>1916</v>
      </c>
      <c r="X148" s="67"/>
    </row>
    <row r="149" spans="2:25" ht="39" customHeight="1" x14ac:dyDescent="0.25">
      <c r="B149" s="93" t="s">
        <v>168</v>
      </c>
      <c r="C149" s="44" t="s">
        <v>172</v>
      </c>
      <c r="D149" s="67"/>
      <c r="E149" s="67"/>
      <c r="F149" s="67"/>
      <c r="G149" s="67"/>
      <c r="H149" s="67"/>
      <c r="I149" s="105">
        <v>352</v>
      </c>
      <c r="J149" s="67"/>
      <c r="K149" s="67"/>
      <c r="L149" s="11"/>
      <c r="M149" s="131"/>
      <c r="N149" s="74"/>
      <c r="O149" s="93" t="s">
        <v>168</v>
      </c>
      <c r="P149" s="194" t="s">
        <v>176</v>
      </c>
      <c r="Q149" s="72"/>
      <c r="R149" s="104">
        <v>590</v>
      </c>
      <c r="S149" s="72"/>
      <c r="T149" s="72"/>
      <c r="U149" s="72"/>
      <c r="V149" s="72"/>
      <c r="W149" s="72"/>
      <c r="X149" s="67"/>
    </row>
    <row r="150" spans="2:25" ht="38.25" customHeight="1" x14ac:dyDescent="0.25">
      <c r="B150" s="93" t="s">
        <v>168</v>
      </c>
      <c r="C150" s="44" t="s">
        <v>177</v>
      </c>
      <c r="D150" s="67"/>
      <c r="E150" s="67"/>
      <c r="F150" s="67"/>
      <c r="G150" s="67"/>
      <c r="H150" s="67"/>
      <c r="I150" s="67"/>
      <c r="J150" s="105">
        <f>578+127</f>
        <v>705</v>
      </c>
      <c r="K150" s="67"/>
      <c r="L150" s="11"/>
      <c r="M150" s="131"/>
      <c r="N150" s="74"/>
      <c r="O150" s="93" t="s">
        <v>168</v>
      </c>
      <c r="P150" s="195" t="s">
        <v>164</v>
      </c>
      <c r="Q150" s="72"/>
      <c r="R150" s="72"/>
      <c r="S150" s="72"/>
      <c r="T150" s="72"/>
      <c r="U150" s="72"/>
      <c r="V150" s="104">
        <f>68+238+204+204+270+238</f>
        <v>1222</v>
      </c>
      <c r="W150" s="72"/>
      <c r="X150" s="67"/>
    </row>
    <row r="151" spans="2:25" ht="33" customHeight="1" x14ac:dyDescent="0.25">
      <c r="B151" s="93" t="s">
        <v>168</v>
      </c>
      <c r="C151" s="44" t="s">
        <v>173</v>
      </c>
      <c r="D151" s="67"/>
      <c r="E151" s="105">
        <f>180+641</f>
        <v>821</v>
      </c>
      <c r="F151" s="67"/>
      <c r="G151" s="67"/>
      <c r="H151" s="67"/>
      <c r="I151" s="67"/>
      <c r="J151" s="94"/>
      <c r="K151" s="67"/>
      <c r="L151" s="11"/>
      <c r="M151" s="131"/>
      <c r="N151" s="74"/>
      <c r="O151" s="93" t="s">
        <v>168</v>
      </c>
      <c r="P151" s="194" t="s">
        <v>4</v>
      </c>
      <c r="Q151" s="72"/>
      <c r="R151" s="72"/>
      <c r="S151" s="72"/>
      <c r="T151" s="72"/>
      <c r="U151" s="104">
        <v>714</v>
      </c>
      <c r="V151" s="72"/>
      <c r="W151" s="72"/>
      <c r="X151" s="67"/>
      <c r="Y151" s="129"/>
    </row>
    <row r="152" spans="2:25" ht="37.5" customHeight="1" x14ac:dyDescent="0.25">
      <c r="B152" s="93" t="s">
        <v>168</v>
      </c>
      <c r="C152" s="42" t="s">
        <v>96</v>
      </c>
      <c r="D152" s="67"/>
      <c r="E152" s="67"/>
      <c r="F152" s="67"/>
      <c r="G152" s="67"/>
      <c r="H152" s="105">
        <f>51+204+85+85+68+68</f>
        <v>561</v>
      </c>
      <c r="I152" s="67"/>
      <c r="J152" s="67"/>
      <c r="K152" s="67"/>
      <c r="L152" s="11"/>
      <c r="M152" s="131"/>
      <c r="N152" s="74"/>
      <c r="O152" s="93" t="s">
        <v>168</v>
      </c>
      <c r="P152" s="194" t="s">
        <v>140</v>
      </c>
      <c r="Q152" s="72"/>
      <c r="R152" s="72"/>
      <c r="S152" s="72"/>
      <c r="T152" s="72"/>
      <c r="U152" s="72"/>
      <c r="V152" s="104">
        <f>2650+700+700+710</f>
        <v>4760</v>
      </c>
      <c r="W152" s="72"/>
      <c r="X152" s="67"/>
    </row>
    <row r="153" spans="2:25" ht="44.25" customHeight="1" x14ac:dyDescent="0.25">
      <c r="B153" s="93" t="s">
        <v>168</v>
      </c>
      <c r="C153" s="95" t="s">
        <v>11</v>
      </c>
      <c r="D153" s="67"/>
      <c r="E153" s="67"/>
      <c r="F153" s="67"/>
      <c r="G153" s="67"/>
      <c r="H153" s="105">
        <f>380+380+470</f>
        <v>1230</v>
      </c>
      <c r="I153" s="67"/>
      <c r="J153" s="67"/>
      <c r="K153" s="67"/>
      <c r="L153" s="11"/>
      <c r="M153" s="131"/>
      <c r="N153" s="74"/>
      <c r="O153" s="93" t="s">
        <v>168</v>
      </c>
      <c r="P153" s="192" t="s">
        <v>180</v>
      </c>
      <c r="Q153" s="72"/>
      <c r="R153" s="72"/>
      <c r="S153" s="72"/>
      <c r="T153" s="104">
        <f>40+35</f>
        <v>75</v>
      </c>
      <c r="U153" s="72"/>
      <c r="V153" s="72"/>
      <c r="W153" s="72"/>
      <c r="X153" s="67"/>
    </row>
    <row r="154" spans="2:25" ht="24" customHeight="1" thickBot="1" x14ac:dyDescent="0.3">
      <c r="B154" s="93"/>
      <c r="C154" s="42"/>
      <c r="D154" s="67"/>
      <c r="E154" s="67"/>
      <c r="F154" s="67"/>
      <c r="G154" s="67"/>
      <c r="H154" s="67"/>
      <c r="I154" s="67"/>
      <c r="J154" s="67"/>
      <c r="K154" s="67"/>
      <c r="L154" s="11"/>
      <c r="M154" s="131"/>
      <c r="N154" s="74"/>
      <c r="O154" s="191"/>
      <c r="P154" s="193"/>
      <c r="Q154" s="72"/>
      <c r="R154" s="72"/>
      <c r="S154" s="72"/>
      <c r="T154" s="72"/>
      <c r="U154" s="72"/>
      <c r="V154" s="72"/>
      <c r="W154" s="72"/>
      <c r="X154" s="67"/>
    </row>
    <row r="155" spans="2:25" hidden="1" x14ac:dyDescent="0.25">
      <c r="B155" s="93"/>
      <c r="C155" s="95"/>
      <c r="D155" s="67"/>
      <c r="E155" s="67"/>
      <c r="F155" s="67"/>
      <c r="G155" s="67"/>
      <c r="H155" s="67"/>
      <c r="I155" s="67"/>
      <c r="J155" s="67"/>
      <c r="K155" s="67"/>
      <c r="L155" s="11"/>
      <c r="M155" s="131"/>
      <c r="N155" s="74"/>
      <c r="O155" s="93"/>
      <c r="P155" s="88"/>
      <c r="Q155" s="72"/>
      <c r="R155" s="72"/>
      <c r="S155" s="72"/>
      <c r="T155" s="72"/>
      <c r="U155" s="72"/>
      <c r="V155" s="72"/>
      <c r="W155" s="72"/>
      <c r="X155" s="67"/>
    </row>
    <row r="156" spans="2:25" hidden="1" x14ac:dyDescent="0.25">
      <c r="B156" s="93"/>
      <c r="C156" s="10"/>
      <c r="D156" s="67"/>
      <c r="E156" s="67"/>
      <c r="F156" s="67"/>
      <c r="G156" s="67"/>
      <c r="H156" s="67"/>
      <c r="I156" s="67"/>
      <c r="J156" s="67"/>
      <c r="K156" s="67"/>
      <c r="L156" s="11"/>
      <c r="M156" s="131"/>
      <c r="N156" s="74"/>
      <c r="O156" s="93"/>
      <c r="P156" s="91"/>
      <c r="Q156" s="67"/>
      <c r="R156" s="67"/>
      <c r="S156" s="67"/>
      <c r="T156" s="67"/>
      <c r="U156" s="67"/>
      <c r="V156" s="67"/>
      <c r="W156" s="67"/>
      <c r="X156" s="67"/>
    </row>
    <row r="157" spans="2:25" hidden="1" x14ac:dyDescent="0.25">
      <c r="B157" s="93"/>
      <c r="C157" s="10"/>
      <c r="D157" s="67"/>
      <c r="E157" s="67"/>
      <c r="F157" s="67"/>
      <c r="G157" s="67"/>
      <c r="H157" s="67"/>
      <c r="I157" s="67"/>
      <c r="J157" s="67"/>
      <c r="K157" s="67"/>
      <c r="L157" s="11"/>
      <c r="M157" s="131"/>
      <c r="N157" s="74"/>
      <c r="O157" s="93"/>
      <c r="P157" s="91"/>
      <c r="Q157" s="67"/>
      <c r="R157" s="67"/>
      <c r="S157" s="67"/>
      <c r="T157" s="67"/>
      <c r="U157" s="67"/>
      <c r="V157" s="67"/>
      <c r="W157" s="67"/>
      <c r="X157" s="67"/>
    </row>
    <row r="158" spans="2:25" ht="15.75" hidden="1" thickBot="1" x14ac:dyDescent="0.3">
      <c r="B158" s="9"/>
      <c r="C158" s="34"/>
      <c r="D158" s="73"/>
      <c r="E158" s="73"/>
      <c r="F158" s="73"/>
      <c r="G158" s="73"/>
      <c r="H158" s="73"/>
      <c r="I158" s="73"/>
      <c r="J158" s="73"/>
      <c r="K158" s="73"/>
      <c r="L158" s="20"/>
      <c r="M158" s="131"/>
      <c r="N158" s="74"/>
      <c r="O158" s="46"/>
      <c r="P158" s="51"/>
      <c r="Q158" s="73">
        <v>0</v>
      </c>
      <c r="R158" s="73"/>
      <c r="S158" s="73"/>
      <c r="T158" s="73"/>
      <c r="U158" s="73"/>
      <c r="V158" s="73"/>
      <c r="W158" s="73"/>
      <c r="X158" s="73"/>
    </row>
    <row r="159" spans="2:25" ht="24" thickBot="1" x14ac:dyDescent="0.3">
      <c r="B159" s="7"/>
      <c r="C159" s="35" t="s">
        <v>18</v>
      </c>
      <c r="D159" s="30">
        <f>SUM(D145:D158)</f>
        <v>886</v>
      </c>
      <c r="E159" s="30">
        <f t="shared" ref="E159:L159" si="10">SUM(E145:E158)</f>
        <v>821</v>
      </c>
      <c r="F159" s="30">
        <f t="shared" si="10"/>
        <v>1754</v>
      </c>
      <c r="G159" s="30">
        <f t="shared" si="10"/>
        <v>15</v>
      </c>
      <c r="H159" s="30">
        <f t="shared" si="10"/>
        <v>1791</v>
      </c>
      <c r="I159" s="30">
        <f t="shared" si="10"/>
        <v>352</v>
      </c>
      <c r="J159" s="30">
        <f t="shared" si="10"/>
        <v>705</v>
      </c>
      <c r="K159" s="30">
        <f t="shared" si="10"/>
        <v>5789</v>
      </c>
      <c r="L159" s="30">
        <f t="shared" si="10"/>
        <v>0</v>
      </c>
      <c r="M159" s="132"/>
      <c r="N159" s="74"/>
      <c r="O159" s="7"/>
      <c r="P159" s="33" t="s">
        <v>18</v>
      </c>
      <c r="Q159" s="21">
        <f t="shared" ref="Q159:X159" si="11">SUM(Q145:Q158)</f>
        <v>803</v>
      </c>
      <c r="R159" s="21">
        <f t="shared" si="11"/>
        <v>590</v>
      </c>
      <c r="S159" s="21">
        <f t="shared" si="11"/>
        <v>2219</v>
      </c>
      <c r="T159" s="21">
        <f t="shared" si="11"/>
        <v>75</v>
      </c>
      <c r="U159" s="21">
        <f t="shared" si="11"/>
        <v>714</v>
      </c>
      <c r="V159" s="21">
        <f t="shared" si="11"/>
        <v>5982</v>
      </c>
      <c r="W159" s="21">
        <f t="shared" si="11"/>
        <v>1916</v>
      </c>
      <c r="X159" s="21">
        <f t="shared" si="11"/>
        <v>7144</v>
      </c>
    </row>
    <row r="160" spans="2:25" ht="15.75" thickBot="1" x14ac:dyDescent="0.3">
      <c r="B160" s="7"/>
      <c r="C160" s="1"/>
      <c r="D160" s="5"/>
      <c r="E160" s="5"/>
      <c r="F160" s="5"/>
      <c r="G160" s="5"/>
      <c r="H160" s="5"/>
      <c r="I160" s="5"/>
      <c r="J160" s="5"/>
      <c r="K160" s="5"/>
      <c r="L160" s="78"/>
      <c r="M160" s="76"/>
      <c r="N160" s="74"/>
      <c r="O160" s="7"/>
      <c r="Q160" s="5"/>
      <c r="R160" s="5"/>
      <c r="S160" s="5"/>
      <c r="T160" s="5"/>
      <c r="U160" s="5"/>
      <c r="V160" s="5"/>
      <c r="W160" s="5"/>
      <c r="X160" s="5"/>
    </row>
    <row r="161" spans="2:24" ht="21.75" thickBot="1" x14ac:dyDescent="0.4">
      <c r="B161" s="7"/>
      <c r="C161" s="1"/>
      <c r="D161" s="5"/>
      <c r="E161" s="5"/>
      <c r="F161" s="267">
        <f>K159+J159+I159+H159+G159+F159+E159+D159+L159</f>
        <v>12113</v>
      </c>
      <c r="G161" s="268"/>
      <c r="H161" s="269"/>
      <c r="I161" s="5"/>
      <c r="J161" s="5"/>
      <c r="K161" s="5"/>
      <c r="L161" s="71"/>
      <c r="M161" s="74"/>
      <c r="N161" s="74"/>
      <c r="O161" s="7"/>
      <c r="Q161" s="5"/>
      <c r="R161" s="5"/>
      <c r="S161" s="270">
        <f>Q159+R159+S159+T159+U159+V159+W159+X159</f>
        <v>19443</v>
      </c>
      <c r="T161" s="271"/>
      <c r="U161" s="272"/>
      <c r="V161" s="5"/>
      <c r="W161" s="5"/>
      <c r="X161" s="5"/>
    </row>
    <row r="162" spans="2:24" x14ac:dyDescent="0.25">
      <c r="B162" s="7"/>
      <c r="C162" s="1"/>
      <c r="D162" s="5"/>
      <c r="E162" s="5"/>
      <c r="F162" s="5"/>
      <c r="G162" s="5"/>
      <c r="H162" s="5"/>
      <c r="J162" s="5"/>
      <c r="K162" s="5"/>
      <c r="L162" s="71"/>
      <c r="M162" s="74"/>
      <c r="N162" s="74"/>
      <c r="O162" s="7"/>
      <c r="Q162" s="5"/>
      <c r="R162" s="5"/>
      <c r="S162" s="5"/>
      <c r="T162" s="5"/>
      <c r="U162" s="5"/>
      <c r="V162" s="5"/>
      <c r="W162" s="5"/>
      <c r="X162" s="5"/>
    </row>
    <row r="169" spans="2:24" ht="27.75" customHeight="1" x14ac:dyDescent="0.25">
      <c r="B169" s="7"/>
      <c r="C169" s="1"/>
      <c r="N169" s="80"/>
      <c r="O169" s="188"/>
      <c r="P169" s="189"/>
      <c r="Q169" s="189"/>
      <c r="R169" s="189"/>
      <c r="S169" s="189"/>
      <c r="T169" s="189"/>
      <c r="U169" s="189"/>
      <c r="V169" s="189"/>
      <c r="W169" s="189"/>
      <c r="X169" s="189"/>
    </row>
  </sheetData>
  <mergeCells count="36">
    <mergeCell ref="C116:K116"/>
    <mergeCell ref="O116:W116"/>
    <mergeCell ref="I117:K117"/>
    <mergeCell ref="V117:X117"/>
    <mergeCell ref="F135:H135"/>
    <mergeCell ref="S135:U135"/>
    <mergeCell ref="C2:K2"/>
    <mergeCell ref="O2:W2"/>
    <mergeCell ref="I3:K3"/>
    <mergeCell ref="V3:X3"/>
    <mergeCell ref="F21:H21"/>
    <mergeCell ref="S21:U21"/>
    <mergeCell ref="C60:K60"/>
    <mergeCell ref="O60:W60"/>
    <mergeCell ref="I61:K61"/>
    <mergeCell ref="V61:X61"/>
    <mergeCell ref="F79:H79"/>
    <mergeCell ref="S79:U79"/>
    <mergeCell ref="C142:K142"/>
    <mergeCell ref="O142:W142"/>
    <mergeCell ref="I143:K143"/>
    <mergeCell ref="V143:X143"/>
    <mergeCell ref="F161:H161"/>
    <mergeCell ref="S161:U161"/>
    <mergeCell ref="C91:K91"/>
    <mergeCell ref="O91:W91"/>
    <mergeCell ref="I92:K92"/>
    <mergeCell ref="V92:X92"/>
    <mergeCell ref="F110:H110"/>
    <mergeCell ref="S110:U110"/>
    <mergeCell ref="C30:K30"/>
    <mergeCell ref="O30:W30"/>
    <mergeCell ref="I31:K31"/>
    <mergeCell ref="V31:X31"/>
    <mergeCell ref="F49:H49"/>
    <mergeCell ref="S49:U49"/>
  </mergeCells>
  <pageMargins left="0.23622047244094491" right="0.15748031496062992" top="0.74803149606299213" bottom="0.35433070866141736" header="0.31496062992125984" footer="0.31496062992125984"/>
  <pageSetup scale="8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A191"/>
  <sheetViews>
    <sheetView topLeftCell="A34" zoomScaleNormal="100" workbookViewId="0">
      <selection activeCell="J75" sqref="J75"/>
    </sheetView>
  </sheetViews>
  <sheetFormatPr baseColWidth="10" defaultRowHeight="15" x14ac:dyDescent="0.25"/>
  <cols>
    <col min="1" max="1" width="11.42578125" customWidth="1"/>
    <col min="2" max="2" width="13.7109375" style="7" customWidth="1"/>
    <col min="3" max="3" width="25" style="1" customWidth="1"/>
    <col min="4" max="4" width="9.85546875" bestFit="1" customWidth="1"/>
    <col min="5" max="5" width="11.7109375" bestFit="1" customWidth="1"/>
    <col min="6" max="6" width="12.5703125" bestFit="1" customWidth="1"/>
    <col min="7" max="7" width="10.28515625" bestFit="1" customWidth="1"/>
    <col min="8" max="8" width="11.7109375" bestFit="1" customWidth="1"/>
    <col min="9" max="9" width="11" customWidth="1"/>
    <col min="10" max="10" width="13.42578125" customWidth="1"/>
    <col min="11" max="11" width="11.5703125" customWidth="1"/>
    <col min="12" max="12" width="13.140625" customWidth="1"/>
    <col min="13" max="13" width="5.140625" customWidth="1"/>
    <col min="14" max="14" width="11.28515625" style="80" customWidth="1"/>
    <col min="15" max="15" width="13.5703125" style="7" customWidth="1"/>
    <col min="16" max="16" width="25" customWidth="1"/>
    <col min="17" max="17" width="13.28515625" customWidth="1"/>
    <col min="18" max="18" width="11.5703125" bestFit="1" customWidth="1"/>
    <col min="19" max="19" width="12.42578125" bestFit="1" customWidth="1"/>
    <col min="20" max="20" width="10.140625" bestFit="1" customWidth="1"/>
    <col min="21" max="21" width="9.7109375" bestFit="1" customWidth="1"/>
    <col min="22" max="22" width="12.85546875" customWidth="1"/>
    <col min="23" max="23" width="13.140625" customWidth="1"/>
    <col min="24" max="24" width="11.5703125" bestFit="1" customWidth="1"/>
  </cols>
  <sheetData>
    <row r="1" spans="2:25" ht="15.75" thickBot="1" x14ac:dyDescent="0.3"/>
    <row r="2" spans="2:25" ht="22.5" thickTop="1" thickBot="1" x14ac:dyDescent="0.4">
      <c r="C2" s="260" t="s">
        <v>36</v>
      </c>
      <c r="D2" s="261"/>
      <c r="E2" s="261"/>
      <c r="F2" s="261"/>
      <c r="G2" s="261"/>
      <c r="H2" s="261"/>
      <c r="I2" s="261"/>
      <c r="J2" s="261"/>
      <c r="K2" s="261"/>
      <c r="L2" s="185" t="s">
        <v>42</v>
      </c>
      <c r="M2" s="133"/>
      <c r="N2" s="81"/>
      <c r="O2" s="262" t="s">
        <v>19</v>
      </c>
      <c r="P2" s="263"/>
      <c r="Q2" s="263"/>
      <c r="R2" s="263"/>
      <c r="S2" s="263"/>
      <c r="T2" s="263"/>
      <c r="U2" s="263"/>
      <c r="V2" s="263"/>
      <c r="W2" s="263"/>
      <c r="X2" s="187" t="s">
        <v>42</v>
      </c>
    </row>
    <row r="3" spans="2:25" ht="16.5" thickBot="1" x14ac:dyDescent="0.3">
      <c r="I3" s="264" t="s">
        <v>148</v>
      </c>
      <c r="J3" s="265"/>
      <c r="K3" s="266"/>
      <c r="L3" s="68"/>
      <c r="M3" s="134"/>
      <c r="N3" s="74"/>
      <c r="V3" s="264" t="s">
        <v>151</v>
      </c>
      <c r="W3" s="265"/>
      <c r="X3" s="266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9" t="s">
        <v>38</v>
      </c>
      <c r="T4" s="140" t="s">
        <v>3</v>
      </c>
      <c r="U4" s="140" t="s">
        <v>4</v>
      </c>
      <c r="V4" s="141" t="s">
        <v>25</v>
      </c>
      <c r="W4" s="136" t="s">
        <v>8</v>
      </c>
      <c r="X4" s="144" t="s">
        <v>5</v>
      </c>
    </row>
    <row r="5" spans="2:25" ht="60" x14ac:dyDescent="0.25">
      <c r="B5" s="93" t="s">
        <v>149</v>
      </c>
      <c r="C5" s="107" t="s">
        <v>152</v>
      </c>
      <c r="D5" s="72"/>
      <c r="E5" s="72"/>
      <c r="F5" s="72"/>
      <c r="G5" s="72"/>
      <c r="H5" s="72"/>
      <c r="I5" s="72"/>
      <c r="J5" s="72"/>
      <c r="K5" s="72">
        <f>1777+1054+1013+1333+1334</f>
        <v>6511</v>
      </c>
      <c r="L5" s="70"/>
      <c r="M5" s="131"/>
      <c r="N5" s="74"/>
      <c r="O5" s="93" t="s">
        <v>149</v>
      </c>
      <c r="P5" s="86" t="s">
        <v>160</v>
      </c>
      <c r="Q5" s="72"/>
      <c r="R5" s="72"/>
      <c r="S5" s="72"/>
      <c r="T5" s="72"/>
      <c r="U5" s="72"/>
      <c r="V5" s="72"/>
      <c r="W5" s="72"/>
      <c r="X5" s="104">
        <f>1805+1908+939+1193+1386</f>
        <v>7231</v>
      </c>
    </row>
    <row r="6" spans="2:25" ht="60.75" x14ac:dyDescent="0.25">
      <c r="B6" s="93" t="s">
        <v>149</v>
      </c>
      <c r="C6" s="44" t="s">
        <v>153</v>
      </c>
      <c r="D6" s="67"/>
      <c r="E6" s="67"/>
      <c r="F6" s="67">
        <f>1970</f>
        <v>1970</v>
      </c>
      <c r="G6" s="67"/>
      <c r="H6" s="67"/>
      <c r="I6" s="67"/>
      <c r="J6" s="67"/>
      <c r="K6" s="67"/>
      <c r="L6" s="67"/>
      <c r="M6" s="131"/>
      <c r="N6" s="74"/>
      <c r="O6" s="93" t="s">
        <v>149</v>
      </c>
      <c r="P6" s="89" t="s">
        <v>161</v>
      </c>
      <c r="Q6" s="72"/>
      <c r="R6" s="72"/>
      <c r="S6" s="104">
        <f>3020+87+41</f>
        <v>3148</v>
      </c>
      <c r="T6" s="72"/>
      <c r="U6" s="72"/>
      <c r="V6" s="72"/>
      <c r="W6" s="72"/>
      <c r="X6" s="67"/>
    </row>
    <row r="7" spans="2:25" ht="34.5" customHeight="1" x14ac:dyDescent="0.25">
      <c r="B7" s="93" t="s">
        <v>149</v>
      </c>
      <c r="C7" s="43" t="s">
        <v>154</v>
      </c>
      <c r="D7" s="67">
        <f>85+324+280+202</f>
        <v>891</v>
      </c>
      <c r="E7" s="67"/>
      <c r="F7" s="67"/>
      <c r="G7" s="67"/>
      <c r="H7" s="67"/>
      <c r="I7" s="67"/>
      <c r="J7" s="67"/>
      <c r="K7" s="67"/>
      <c r="L7" s="11"/>
      <c r="M7" s="131"/>
      <c r="N7" s="74"/>
      <c r="O7" s="93" t="s">
        <v>149</v>
      </c>
      <c r="P7" s="89" t="s">
        <v>162</v>
      </c>
      <c r="Q7" s="104">
        <f>385+160+285</f>
        <v>830</v>
      </c>
      <c r="R7" s="72"/>
      <c r="S7" s="72"/>
      <c r="T7" s="72"/>
      <c r="U7" s="72"/>
      <c r="V7" s="72"/>
      <c r="W7" s="72"/>
      <c r="X7" s="67"/>
    </row>
    <row r="8" spans="2:25" ht="43.5" customHeight="1" x14ac:dyDescent="0.25">
      <c r="B8" s="93" t="s">
        <v>149</v>
      </c>
      <c r="C8" s="96" t="s">
        <v>155</v>
      </c>
      <c r="D8" s="67"/>
      <c r="E8" s="67"/>
      <c r="F8" s="67"/>
      <c r="G8" s="67">
        <f>55+20</f>
        <v>75</v>
      </c>
      <c r="H8" s="67"/>
      <c r="I8" s="67"/>
      <c r="J8" s="67"/>
      <c r="K8" s="67"/>
      <c r="L8" s="11"/>
      <c r="M8" s="131"/>
      <c r="N8" s="74"/>
      <c r="O8" s="93" t="s">
        <v>149</v>
      </c>
      <c r="P8" s="87" t="s">
        <v>163</v>
      </c>
      <c r="Q8" s="72"/>
      <c r="R8" s="72"/>
      <c r="S8" s="72"/>
      <c r="T8" s="104">
        <f>55+121</f>
        <v>176</v>
      </c>
      <c r="U8" s="72"/>
      <c r="V8" s="72"/>
      <c r="W8" s="72"/>
      <c r="X8" s="67"/>
    </row>
    <row r="9" spans="2:25" ht="39" customHeight="1" x14ac:dyDescent="0.25">
      <c r="B9" s="93" t="s">
        <v>149</v>
      </c>
      <c r="C9" s="44" t="s">
        <v>46</v>
      </c>
      <c r="D9" s="67"/>
      <c r="E9" s="67"/>
      <c r="F9" s="67"/>
      <c r="G9" s="67"/>
      <c r="H9" s="67"/>
      <c r="I9" s="67"/>
      <c r="J9" s="67"/>
      <c r="K9" s="67"/>
      <c r="L9" s="11">
        <v>500</v>
      </c>
      <c r="M9" s="131"/>
      <c r="N9" s="74"/>
      <c r="O9" s="93" t="s">
        <v>149</v>
      </c>
      <c r="P9" s="89" t="s">
        <v>166</v>
      </c>
      <c r="Q9" s="72"/>
      <c r="R9" s="104">
        <f>50+443+432+130</f>
        <v>1055</v>
      </c>
      <c r="S9" s="72"/>
      <c r="T9" s="72"/>
      <c r="U9" s="72"/>
      <c r="V9" s="72"/>
      <c r="W9" s="72"/>
      <c r="X9" s="67"/>
    </row>
    <row r="10" spans="2:25" ht="24" customHeight="1" x14ac:dyDescent="0.25">
      <c r="B10" s="93" t="s">
        <v>149</v>
      </c>
      <c r="C10" s="44" t="s">
        <v>156</v>
      </c>
      <c r="D10" s="67"/>
      <c r="E10" s="67"/>
      <c r="F10" s="67"/>
      <c r="G10" s="67"/>
      <c r="H10" s="67"/>
      <c r="I10" s="67">
        <v>716</v>
      </c>
      <c r="J10" s="67"/>
      <c r="K10" s="67"/>
      <c r="L10" s="11"/>
      <c r="M10" s="131"/>
      <c r="N10" s="74"/>
      <c r="O10" s="93" t="s">
        <v>149</v>
      </c>
      <c r="P10" s="98" t="s">
        <v>164</v>
      </c>
      <c r="Q10" s="72"/>
      <c r="R10" s="72"/>
      <c r="S10" s="72"/>
      <c r="T10" s="72"/>
      <c r="U10" s="72"/>
      <c r="V10" s="104">
        <f>170+170+221+170+204</f>
        <v>935</v>
      </c>
      <c r="W10" s="72"/>
      <c r="X10" s="67"/>
    </row>
    <row r="11" spans="2:25" ht="60" x14ac:dyDescent="0.25">
      <c r="B11" s="93" t="s">
        <v>149</v>
      </c>
      <c r="C11" s="44" t="s">
        <v>158</v>
      </c>
      <c r="D11" s="67"/>
      <c r="E11" s="67"/>
      <c r="F11" s="67"/>
      <c r="G11" s="67"/>
      <c r="H11" s="67"/>
      <c r="I11" s="67"/>
      <c r="J11" s="94">
        <f>440+19+261</f>
        <v>720</v>
      </c>
      <c r="K11" s="67"/>
      <c r="L11" s="11"/>
      <c r="M11" s="131"/>
      <c r="N11" s="74"/>
      <c r="O11" s="93" t="s">
        <v>149</v>
      </c>
      <c r="P11" s="87" t="s">
        <v>165</v>
      </c>
      <c r="Q11" s="72"/>
      <c r="R11" s="72"/>
      <c r="S11" s="72"/>
      <c r="T11" s="72"/>
      <c r="U11" s="72"/>
      <c r="V11" s="72"/>
      <c r="W11" s="104">
        <f>805+473+669</f>
        <v>1947</v>
      </c>
      <c r="X11" s="67"/>
      <c r="Y11" s="129"/>
    </row>
    <row r="12" spans="2:25" ht="24" customHeight="1" x14ac:dyDescent="0.25">
      <c r="B12" s="93" t="s">
        <v>149</v>
      </c>
      <c r="C12" s="204" t="s">
        <v>157</v>
      </c>
      <c r="D12" s="67"/>
      <c r="E12" s="67"/>
      <c r="F12" s="67"/>
      <c r="G12" s="67"/>
      <c r="H12" s="67"/>
      <c r="I12" s="67"/>
      <c r="J12" s="67">
        <v>1500</v>
      </c>
      <c r="K12" s="67"/>
      <c r="L12" s="11"/>
      <c r="M12" s="131"/>
      <c r="N12" s="74"/>
      <c r="O12" s="93" t="s">
        <v>149</v>
      </c>
      <c r="P12" s="90" t="s">
        <v>4</v>
      </c>
      <c r="Q12" s="72"/>
      <c r="R12" s="72"/>
      <c r="S12" s="72"/>
      <c r="T12" s="72"/>
      <c r="U12" s="72"/>
      <c r="V12" s="104">
        <v>688</v>
      </c>
      <c r="W12" s="72"/>
      <c r="X12" s="67"/>
    </row>
    <row r="13" spans="2:25" ht="44.25" customHeight="1" x14ac:dyDescent="0.25">
      <c r="B13" s="93" t="s">
        <v>149</v>
      </c>
      <c r="C13" s="95" t="s">
        <v>96</v>
      </c>
      <c r="D13" s="67"/>
      <c r="E13" s="67"/>
      <c r="F13" s="67"/>
      <c r="G13" s="67"/>
      <c r="H13" s="67">
        <f>102+68+238+85+204</f>
        <v>697</v>
      </c>
      <c r="I13" s="67"/>
      <c r="J13" s="67"/>
      <c r="K13" s="67"/>
      <c r="L13" s="11"/>
      <c r="M13" s="131"/>
      <c r="N13" s="74"/>
      <c r="O13" s="93" t="s">
        <v>149</v>
      </c>
      <c r="P13" s="186" t="s">
        <v>188</v>
      </c>
      <c r="Q13" s="72"/>
      <c r="R13" s="72"/>
      <c r="S13" s="72"/>
      <c r="T13" s="72"/>
      <c r="U13" s="72"/>
      <c r="V13" s="104">
        <v>1440</v>
      </c>
      <c r="W13" s="72"/>
      <c r="X13" s="67"/>
    </row>
    <row r="14" spans="2:25" ht="24" customHeight="1" x14ac:dyDescent="0.25">
      <c r="B14" s="93" t="s">
        <v>149</v>
      </c>
      <c r="C14" s="42" t="s">
        <v>11</v>
      </c>
      <c r="D14" s="67"/>
      <c r="E14" s="67"/>
      <c r="F14" s="67"/>
      <c r="G14" s="67"/>
      <c r="H14" s="67">
        <f>380+380+470</f>
        <v>1230</v>
      </c>
      <c r="I14" s="67"/>
      <c r="J14" s="67"/>
      <c r="K14" s="67"/>
      <c r="L14" s="11"/>
      <c r="M14" s="131"/>
      <c r="N14" s="74"/>
      <c r="O14" s="93" t="s">
        <v>149</v>
      </c>
      <c r="P14" s="88" t="s">
        <v>140</v>
      </c>
      <c r="Q14" s="72"/>
      <c r="R14" s="72"/>
      <c r="S14" s="72"/>
      <c r="T14" s="72"/>
      <c r="U14" s="72"/>
      <c r="V14" s="104">
        <f>700+700+710+3464</f>
        <v>5574</v>
      </c>
      <c r="W14" s="72"/>
      <c r="X14" s="67"/>
    </row>
    <row r="15" spans="2:25" x14ac:dyDescent="0.25">
      <c r="B15" s="93" t="s">
        <v>149</v>
      </c>
      <c r="C15" s="95" t="s">
        <v>159</v>
      </c>
      <c r="D15" s="67"/>
      <c r="E15" s="67">
        <v>212</v>
      </c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x14ac:dyDescent="0.25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thickBot="1" x14ac:dyDescent="0.3">
      <c r="B18" s="9"/>
      <c r="C18" s="34"/>
      <c r="D18" s="73">
        <v>0</v>
      </c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C19" s="35" t="s">
        <v>18</v>
      </c>
      <c r="D19" s="30">
        <f t="shared" ref="D19:L19" si="0">SUM(D5:D18)</f>
        <v>891</v>
      </c>
      <c r="E19" s="31">
        <f t="shared" si="0"/>
        <v>212</v>
      </c>
      <c r="F19" s="31">
        <f t="shared" si="0"/>
        <v>1970</v>
      </c>
      <c r="G19" s="31">
        <f t="shared" si="0"/>
        <v>75</v>
      </c>
      <c r="H19" s="31">
        <f t="shared" si="0"/>
        <v>1927</v>
      </c>
      <c r="I19" s="31">
        <f t="shared" si="0"/>
        <v>716</v>
      </c>
      <c r="J19" s="22">
        <f t="shared" si="0"/>
        <v>2220</v>
      </c>
      <c r="K19" s="32">
        <f t="shared" si="0"/>
        <v>6511</v>
      </c>
      <c r="L19" s="100">
        <f t="shared" si="0"/>
        <v>500</v>
      </c>
      <c r="M19" s="132"/>
      <c r="N19" s="74"/>
      <c r="P19" s="33" t="s">
        <v>18</v>
      </c>
      <c r="Q19" s="21">
        <f t="shared" ref="Q19:X19" si="1">SUM(Q5:Q18)</f>
        <v>830</v>
      </c>
      <c r="R19" s="21">
        <f t="shared" si="1"/>
        <v>1055</v>
      </c>
      <c r="S19" s="21">
        <f t="shared" si="1"/>
        <v>3148</v>
      </c>
      <c r="T19" s="21">
        <f t="shared" si="1"/>
        <v>176</v>
      </c>
      <c r="U19" s="21">
        <f t="shared" si="1"/>
        <v>0</v>
      </c>
      <c r="V19" s="21">
        <f t="shared" si="1"/>
        <v>8637</v>
      </c>
      <c r="W19" s="21">
        <f t="shared" si="1"/>
        <v>1947</v>
      </c>
      <c r="X19" s="21">
        <f t="shared" si="1"/>
        <v>7231</v>
      </c>
    </row>
    <row r="20" spans="2:24" ht="15.75" thickBot="1" x14ac:dyDescent="0.3"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D21" s="5"/>
      <c r="E21" s="5"/>
      <c r="F21" s="267">
        <f>K19+J19+I19+H19+G19+F19+E19+D19+L19</f>
        <v>15022</v>
      </c>
      <c r="G21" s="268"/>
      <c r="H21" s="269"/>
      <c r="I21" s="5"/>
      <c r="J21" s="5"/>
      <c r="K21" s="5"/>
      <c r="L21" s="71"/>
      <c r="M21" s="74"/>
      <c r="N21" s="74"/>
      <c r="Q21" s="5"/>
      <c r="R21" s="5"/>
      <c r="S21" s="270">
        <f>Q19+R19+S19+T19+U19+V19+W19+X19</f>
        <v>23024</v>
      </c>
      <c r="T21" s="271"/>
      <c r="U21" s="272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J22" s="5"/>
      <c r="K22" s="5"/>
      <c r="L22" s="71"/>
      <c r="M22" s="74"/>
      <c r="N22" s="74"/>
      <c r="Q22" s="5"/>
      <c r="R22" s="5"/>
      <c r="S22" s="5"/>
      <c r="T22" s="5"/>
      <c r="U22" s="5"/>
      <c r="V22" s="5"/>
      <c r="W22" s="5"/>
      <c r="X22" s="5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</row>
    <row r="24" spans="2:24" x14ac:dyDescent="0.25">
      <c r="D24" s="5"/>
      <c r="E24" s="5"/>
      <c r="F24" s="5"/>
      <c r="G24" s="5"/>
      <c r="H24" s="5"/>
      <c r="I24" s="5"/>
      <c r="J24" s="5"/>
      <c r="K24" s="5"/>
      <c r="L24" s="71"/>
      <c r="M24" s="74"/>
      <c r="N24" s="74"/>
    </row>
    <row r="31" spans="2:24" ht="15.75" thickBot="1" x14ac:dyDescent="0.3"/>
    <row r="32" spans="2:24" ht="22.5" thickTop="1" thickBot="1" x14ac:dyDescent="0.4">
      <c r="C32" s="260" t="s">
        <v>36</v>
      </c>
      <c r="D32" s="261"/>
      <c r="E32" s="261"/>
      <c r="F32" s="261"/>
      <c r="G32" s="261"/>
      <c r="H32" s="261"/>
      <c r="I32" s="261"/>
      <c r="J32" s="261"/>
      <c r="K32" s="261"/>
      <c r="L32" s="185" t="s">
        <v>208</v>
      </c>
      <c r="M32" s="133"/>
      <c r="N32" s="81"/>
      <c r="O32" s="273" t="s">
        <v>19</v>
      </c>
      <c r="P32" s="274"/>
      <c r="Q32" s="274"/>
      <c r="R32" s="274"/>
      <c r="S32" s="274"/>
      <c r="T32" s="274"/>
      <c r="U32" s="274"/>
      <c r="V32" s="274"/>
      <c r="W32" s="274"/>
      <c r="X32" s="128" t="s">
        <v>208</v>
      </c>
    </row>
    <row r="33" spans="2:27" ht="16.5" thickBot="1" x14ac:dyDescent="0.3">
      <c r="I33" s="264" t="s">
        <v>129</v>
      </c>
      <c r="J33" s="265"/>
      <c r="K33" s="266"/>
      <c r="L33" s="68"/>
      <c r="M33" s="134"/>
      <c r="N33" s="74"/>
      <c r="V33" s="264" t="s">
        <v>150</v>
      </c>
      <c r="W33" s="265"/>
      <c r="X33" s="266"/>
    </row>
    <row r="34" spans="2:27" ht="64.5" thickTop="1" thickBot="1" x14ac:dyDescent="0.3">
      <c r="B34" s="6" t="s">
        <v>0</v>
      </c>
      <c r="C34" s="24" t="s">
        <v>1</v>
      </c>
      <c r="D34" s="25" t="s">
        <v>2</v>
      </c>
      <c r="E34" s="26" t="s">
        <v>7</v>
      </c>
      <c r="F34" s="56" t="s">
        <v>38</v>
      </c>
      <c r="G34" s="25" t="s">
        <v>3</v>
      </c>
      <c r="H34" s="27" t="s">
        <v>22</v>
      </c>
      <c r="I34" s="60" t="s">
        <v>4</v>
      </c>
      <c r="J34" s="61" t="s">
        <v>8</v>
      </c>
      <c r="K34" s="62" t="s">
        <v>5</v>
      </c>
      <c r="L34" s="99" t="s">
        <v>46</v>
      </c>
      <c r="M34" s="135"/>
      <c r="N34" s="82"/>
      <c r="O34" s="36" t="s">
        <v>0</v>
      </c>
      <c r="P34" s="143" t="s">
        <v>1</v>
      </c>
      <c r="Q34" s="137" t="s">
        <v>2</v>
      </c>
      <c r="R34" s="138" t="s">
        <v>16</v>
      </c>
      <c r="S34" s="139" t="s">
        <v>38</v>
      </c>
      <c r="T34" s="140" t="s">
        <v>3</v>
      </c>
      <c r="U34" s="140" t="s">
        <v>4</v>
      </c>
      <c r="V34" s="141" t="s">
        <v>25</v>
      </c>
      <c r="W34" s="136" t="s">
        <v>8</v>
      </c>
      <c r="X34" s="144" t="s">
        <v>5</v>
      </c>
    </row>
    <row r="35" spans="2:27" ht="75" x14ac:dyDescent="0.25">
      <c r="B35" s="93" t="s">
        <v>123</v>
      </c>
      <c r="C35" s="107" t="s">
        <v>130</v>
      </c>
      <c r="D35" s="72"/>
      <c r="E35" s="72"/>
      <c r="F35" s="72"/>
      <c r="G35" s="72"/>
      <c r="H35" s="72"/>
      <c r="I35" s="72"/>
      <c r="J35" s="72"/>
      <c r="K35" s="72">
        <f>2361+1550+386+1883+642+964</f>
        <v>7786</v>
      </c>
      <c r="L35" s="70"/>
      <c r="M35" s="131"/>
      <c r="N35" s="74"/>
      <c r="O35" s="93" t="s">
        <v>133</v>
      </c>
      <c r="P35" s="86" t="s">
        <v>134</v>
      </c>
      <c r="Q35" s="72"/>
      <c r="R35" s="72"/>
      <c r="S35" s="72"/>
      <c r="T35" s="72"/>
      <c r="U35" s="72"/>
      <c r="V35" s="72"/>
      <c r="W35" s="72"/>
      <c r="X35" s="72">
        <f>2377+2781+1874+429+754</f>
        <v>8215</v>
      </c>
    </row>
    <row r="36" spans="2:27" ht="51.75" customHeight="1" x14ac:dyDescent="0.25">
      <c r="B36" s="93" t="s">
        <v>123</v>
      </c>
      <c r="C36" s="44" t="s">
        <v>131</v>
      </c>
      <c r="D36" s="67"/>
      <c r="E36" s="67"/>
      <c r="F36" s="67">
        <f>1380+370+88+238</f>
        <v>2076</v>
      </c>
      <c r="G36" s="67"/>
      <c r="H36" s="67"/>
      <c r="I36" s="67"/>
      <c r="J36" s="67"/>
      <c r="K36" s="67"/>
      <c r="L36" s="67"/>
      <c r="M36" s="131"/>
      <c r="N36" s="74"/>
      <c r="O36" s="93" t="s">
        <v>133</v>
      </c>
      <c r="P36" s="89" t="s">
        <v>136</v>
      </c>
      <c r="Q36" s="72"/>
      <c r="R36" s="72"/>
      <c r="S36" s="72">
        <f>180+148+36+2475</f>
        <v>2839</v>
      </c>
      <c r="T36" s="72"/>
      <c r="U36" s="72"/>
      <c r="V36" s="72"/>
      <c r="W36" s="72"/>
      <c r="X36" s="67"/>
    </row>
    <row r="37" spans="2:27" ht="29.25" customHeight="1" x14ac:dyDescent="0.25">
      <c r="B37" s="93" t="s">
        <v>123</v>
      </c>
      <c r="C37" s="43" t="s">
        <v>124</v>
      </c>
      <c r="D37" s="67">
        <f>47+72.5+247+54+245</f>
        <v>665.5</v>
      </c>
      <c r="E37" s="67"/>
      <c r="F37" s="67"/>
      <c r="G37" s="67"/>
      <c r="H37" s="67"/>
      <c r="I37" s="67"/>
      <c r="J37" s="67"/>
      <c r="K37" s="67"/>
      <c r="L37" s="11"/>
      <c r="M37" s="131"/>
      <c r="N37" s="74"/>
      <c r="O37" s="93" t="s">
        <v>133</v>
      </c>
      <c r="P37" s="89" t="s">
        <v>137</v>
      </c>
      <c r="Q37" s="72">
        <f>330+158+288+87</f>
        <v>863</v>
      </c>
      <c r="R37" s="72"/>
      <c r="S37" s="72"/>
      <c r="T37" s="72"/>
      <c r="U37" s="72"/>
      <c r="V37" s="72"/>
      <c r="W37" s="72"/>
      <c r="X37" s="67"/>
    </row>
    <row r="38" spans="2:27" ht="60" x14ac:dyDescent="0.25">
      <c r="B38" s="93" t="s">
        <v>123</v>
      </c>
      <c r="C38" s="96" t="s">
        <v>125</v>
      </c>
      <c r="D38" s="67"/>
      <c r="E38" s="67"/>
      <c r="F38" s="67"/>
      <c r="G38" s="67">
        <v>140</v>
      </c>
      <c r="H38" s="67"/>
      <c r="I38" s="67"/>
      <c r="J38" s="67"/>
      <c r="K38" s="67"/>
      <c r="L38" s="11"/>
      <c r="M38" s="131"/>
      <c r="N38" s="74"/>
      <c r="O38" s="93" t="s">
        <v>133</v>
      </c>
      <c r="P38" s="87" t="s">
        <v>135</v>
      </c>
      <c r="Q38" s="72"/>
      <c r="R38" s="72"/>
      <c r="S38" s="72"/>
      <c r="T38" s="72">
        <v>145</v>
      </c>
      <c r="U38" s="72"/>
      <c r="V38" s="72"/>
      <c r="W38" s="72"/>
      <c r="X38" s="67"/>
    </row>
    <row r="39" spans="2:27" ht="36" customHeight="1" x14ac:dyDescent="0.25">
      <c r="B39" s="93" t="s">
        <v>123</v>
      </c>
      <c r="C39" s="44" t="s">
        <v>46</v>
      </c>
      <c r="D39" s="67"/>
      <c r="E39" s="67"/>
      <c r="F39" s="67"/>
      <c r="G39" s="67"/>
      <c r="H39" s="67"/>
      <c r="I39" s="67"/>
      <c r="J39" s="67"/>
      <c r="K39" s="67"/>
      <c r="L39" s="11">
        <v>500</v>
      </c>
      <c r="M39" s="131"/>
      <c r="N39" s="74"/>
      <c r="O39" s="93" t="s">
        <v>133</v>
      </c>
      <c r="P39" s="89" t="s">
        <v>138</v>
      </c>
      <c r="Q39" s="72"/>
      <c r="R39" s="72">
        <v>1081</v>
      </c>
      <c r="S39" s="72"/>
      <c r="T39" s="72"/>
      <c r="U39" s="72"/>
      <c r="V39" s="72"/>
      <c r="W39" s="72"/>
      <c r="X39" s="67"/>
    </row>
    <row r="40" spans="2:27" ht="28.5" customHeight="1" x14ac:dyDescent="0.25">
      <c r="B40" s="93" t="s">
        <v>123</v>
      </c>
      <c r="C40" s="44" t="s">
        <v>126</v>
      </c>
      <c r="D40" s="67"/>
      <c r="E40" s="67">
        <v>68</v>
      </c>
      <c r="F40" s="67"/>
      <c r="G40" s="67"/>
      <c r="H40" s="67"/>
      <c r="I40" s="67"/>
      <c r="J40" s="67"/>
      <c r="K40" s="67"/>
      <c r="L40" s="11"/>
      <c r="M40" s="131"/>
      <c r="N40" s="74"/>
      <c r="O40" s="93" t="s">
        <v>133</v>
      </c>
      <c r="P40" s="89"/>
      <c r="Q40" s="72"/>
      <c r="R40" s="72"/>
      <c r="S40" s="72"/>
      <c r="T40" s="72"/>
      <c r="U40" s="72"/>
      <c r="V40" s="72"/>
      <c r="W40" s="72"/>
      <c r="X40" s="67"/>
    </row>
    <row r="41" spans="2:27" ht="31.5" customHeight="1" x14ac:dyDescent="0.25">
      <c r="B41" s="93" t="s">
        <v>123</v>
      </c>
      <c r="C41" s="44" t="s">
        <v>128</v>
      </c>
      <c r="D41" s="67"/>
      <c r="E41" s="67"/>
      <c r="F41" s="67"/>
      <c r="G41" s="67"/>
      <c r="H41" s="67"/>
      <c r="I41" s="67"/>
      <c r="J41" s="94">
        <f>155+626</f>
        <v>781</v>
      </c>
      <c r="K41" s="67"/>
      <c r="L41" s="11"/>
      <c r="M41" s="131"/>
      <c r="N41" s="74"/>
      <c r="O41" s="93" t="s">
        <v>133</v>
      </c>
      <c r="P41" s="87" t="s">
        <v>139</v>
      </c>
      <c r="Q41" s="72"/>
      <c r="R41" s="72"/>
      <c r="S41" s="72"/>
      <c r="T41" s="72"/>
      <c r="U41" s="72"/>
      <c r="V41" s="72"/>
      <c r="W41" s="72">
        <f>900+345</f>
        <v>1245</v>
      </c>
      <c r="X41" s="67"/>
      <c r="Y41" s="129"/>
      <c r="Z41" s="80"/>
      <c r="AA41" s="80"/>
    </row>
    <row r="42" spans="2:27" x14ac:dyDescent="0.25">
      <c r="B42" s="93" t="s">
        <v>123</v>
      </c>
      <c r="C42" s="42" t="s">
        <v>127</v>
      </c>
      <c r="D42" s="67"/>
      <c r="E42" s="67"/>
      <c r="F42" s="67"/>
      <c r="G42" s="67"/>
      <c r="H42" s="67"/>
      <c r="I42" s="67">
        <v>850</v>
      </c>
      <c r="J42" s="67"/>
      <c r="K42" s="67"/>
      <c r="L42" s="11"/>
      <c r="M42" s="131"/>
      <c r="N42" s="74"/>
      <c r="O42" s="93" t="s">
        <v>133</v>
      </c>
      <c r="P42" s="90" t="s">
        <v>4</v>
      </c>
      <c r="Q42" s="72"/>
      <c r="R42" s="72"/>
      <c r="S42" s="72"/>
      <c r="T42" s="72"/>
      <c r="U42" s="72">
        <v>729</v>
      </c>
      <c r="V42" s="72"/>
      <c r="W42" s="72"/>
      <c r="X42" s="67"/>
    </row>
    <row r="43" spans="2:27" ht="22.5" customHeight="1" x14ac:dyDescent="0.25">
      <c r="B43" s="93" t="s">
        <v>123</v>
      </c>
      <c r="C43" s="95" t="s">
        <v>96</v>
      </c>
      <c r="D43" s="67"/>
      <c r="E43" s="67"/>
      <c r="F43" s="67"/>
      <c r="G43" s="67"/>
      <c r="H43" s="67">
        <f>119+51+68+68+102+68</f>
        <v>476</v>
      </c>
      <c r="I43" s="67"/>
      <c r="J43" s="67"/>
      <c r="K43" s="67"/>
      <c r="L43" s="11"/>
      <c r="M43" s="131"/>
      <c r="N43" s="74"/>
      <c r="O43" s="93" t="s">
        <v>133</v>
      </c>
      <c r="P43" s="98" t="s">
        <v>132</v>
      </c>
      <c r="Q43" s="72"/>
      <c r="R43" s="72"/>
      <c r="S43" s="72"/>
      <c r="T43" s="72"/>
      <c r="U43" s="72"/>
      <c r="V43" s="72">
        <f>270+153+170+204+170+204</f>
        <v>1171</v>
      </c>
      <c r="W43" s="72"/>
      <c r="X43" s="67"/>
    </row>
    <row r="44" spans="2:27" ht="18.75" customHeight="1" x14ac:dyDescent="0.25">
      <c r="B44" s="93" t="s">
        <v>123</v>
      </c>
      <c r="C44" s="42" t="s">
        <v>11</v>
      </c>
      <c r="D44" s="67"/>
      <c r="E44" s="67"/>
      <c r="F44" s="67"/>
      <c r="G44" s="67"/>
      <c r="H44" s="67">
        <f>380+380+470</f>
        <v>1230</v>
      </c>
      <c r="I44" s="67"/>
      <c r="J44" s="67"/>
      <c r="K44" s="67"/>
      <c r="L44" s="11"/>
      <c r="M44" s="131"/>
      <c r="N44" s="74"/>
      <c r="O44" s="93"/>
      <c r="P44" s="88" t="s">
        <v>140</v>
      </c>
      <c r="Q44" s="72"/>
      <c r="R44" s="72"/>
      <c r="S44" s="72"/>
      <c r="T44" s="72"/>
      <c r="U44" s="72"/>
      <c r="V44" s="72">
        <f>700+700+710+2566+310</f>
        <v>4986</v>
      </c>
      <c r="W44" s="72"/>
      <c r="X44" s="67"/>
    </row>
    <row r="45" spans="2:27" ht="18.75" customHeight="1" x14ac:dyDescent="0.25">
      <c r="B45" s="93" t="s">
        <v>123</v>
      </c>
      <c r="C45" s="95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88"/>
      <c r="Q45" s="72"/>
      <c r="R45" s="72"/>
      <c r="S45" s="72"/>
      <c r="T45" s="72"/>
      <c r="U45" s="72"/>
      <c r="V45" s="72"/>
      <c r="W45" s="72"/>
      <c r="X45" s="67"/>
    </row>
    <row r="46" spans="2:27" ht="18.75" customHeight="1" x14ac:dyDescent="0.25">
      <c r="B46" s="93"/>
      <c r="C46" s="10"/>
      <c r="D46" s="67"/>
      <c r="E46" s="67"/>
      <c r="F46" s="67"/>
      <c r="G46" s="67"/>
      <c r="H46" s="67"/>
      <c r="I46" s="67"/>
      <c r="J46" s="67"/>
      <c r="K46" s="67"/>
      <c r="L46" s="11"/>
      <c r="M46" s="131"/>
      <c r="N46" s="74"/>
      <c r="O46" s="93"/>
      <c r="P46" s="91"/>
      <c r="Q46" s="67"/>
      <c r="R46" s="67"/>
      <c r="S46" s="67"/>
      <c r="T46" s="67"/>
      <c r="U46" s="67"/>
      <c r="V46" s="67"/>
      <c r="W46" s="67"/>
      <c r="X46" s="67"/>
    </row>
    <row r="47" spans="2:27" x14ac:dyDescent="0.25">
      <c r="B47" s="93"/>
      <c r="C47" s="10"/>
      <c r="D47" s="67"/>
      <c r="E47" s="67"/>
      <c r="F47" s="67"/>
      <c r="G47" s="67"/>
      <c r="H47" s="67"/>
      <c r="I47" s="67"/>
      <c r="J47" s="67"/>
      <c r="K47" s="67"/>
      <c r="L47" s="11"/>
      <c r="M47" s="131"/>
      <c r="N47" s="74"/>
      <c r="O47" s="93"/>
      <c r="P47" s="91"/>
      <c r="Q47" s="67"/>
      <c r="R47" s="67"/>
      <c r="S47" s="67"/>
      <c r="T47" s="67"/>
      <c r="U47" s="67"/>
      <c r="V47" s="67"/>
      <c r="W47" s="67"/>
      <c r="X47" s="67"/>
    </row>
    <row r="48" spans="2:27" ht="15.75" thickBot="1" x14ac:dyDescent="0.3">
      <c r="B48" s="9"/>
      <c r="C48" s="34"/>
      <c r="D48" s="73">
        <v>0</v>
      </c>
      <c r="E48" s="73"/>
      <c r="F48" s="73"/>
      <c r="G48" s="73"/>
      <c r="H48" s="73"/>
      <c r="I48" s="73"/>
      <c r="J48" s="73"/>
      <c r="K48" s="73"/>
      <c r="L48" s="20"/>
      <c r="M48" s="131"/>
      <c r="N48" s="74"/>
      <c r="O48" s="46"/>
      <c r="P48" s="51"/>
      <c r="Q48" s="73">
        <v>0</v>
      </c>
      <c r="R48" s="73"/>
      <c r="S48" s="73"/>
      <c r="T48" s="73"/>
      <c r="U48" s="73"/>
      <c r="V48" s="73"/>
      <c r="W48" s="73"/>
      <c r="X48" s="73"/>
    </row>
    <row r="49" spans="3:24" ht="24" thickBot="1" x14ac:dyDescent="0.3">
      <c r="C49" s="35" t="s">
        <v>18</v>
      </c>
      <c r="D49" s="30">
        <f t="shared" ref="D49" si="2">SUM(D35:D48)</f>
        <v>665.5</v>
      </c>
      <c r="E49" s="31">
        <f t="shared" ref="E49:L49" si="3">SUM(E35:E48)</f>
        <v>68</v>
      </c>
      <c r="F49" s="31">
        <f t="shared" si="3"/>
        <v>2076</v>
      </c>
      <c r="G49" s="31">
        <f t="shared" si="3"/>
        <v>140</v>
      </c>
      <c r="H49" s="31">
        <f t="shared" si="3"/>
        <v>1706</v>
      </c>
      <c r="I49" s="31">
        <f t="shared" si="3"/>
        <v>850</v>
      </c>
      <c r="J49" s="22">
        <f t="shared" si="3"/>
        <v>781</v>
      </c>
      <c r="K49" s="32">
        <f t="shared" si="3"/>
        <v>7786</v>
      </c>
      <c r="L49" s="100">
        <f t="shared" si="3"/>
        <v>500</v>
      </c>
      <c r="M49" s="132"/>
      <c r="N49" s="74"/>
      <c r="P49" s="33" t="s">
        <v>18</v>
      </c>
      <c r="Q49" s="21">
        <f t="shared" ref="Q49:X49" si="4">SUM(Q35:Q48)</f>
        <v>863</v>
      </c>
      <c r="R49" s="21">
        <f t="shared" si="4"/>
        <v>1081</v>
      </c>
      <c r="S49" s="21">
        <f t="shared" si="4"/>
        <v>2839</v>
      </c>
      <c r="T49" s="21">
        <f t="shared" si="4"/>
        <v>145</v>
      </c>
      <c r="U49" s="21">
        <f t="shared" si="4"/>
        <v>729</v>
      </c>
      <c r="V49" s="21">
        <f t="shared" si="4"/>
        <v>6157</v>
      </c>
      <c r="W49" s="21">
        <f t="shared" si="4"/>
        <v>1245</v>
      </c>
      <c r="X49" s="21">
        <f t="shared" si="4"/>
        <v>8215</v>
      </c>
    </row>
    <row r="50" spans="3:24" ht="15.75" thickBot="1" x14ac:dyDescent="0.3">
      <c r="D50" s="5"/>
      <c r="E50" s="5"/>
      <c r="F50" s="5"/>
      <c r="G50" s="5"/>
      <c r="H50" s="5"/>
      <c r="I50" s="5"/>
      <c r="J50" s="5"/>
      <c r="K50" s="5"/>
      <c r="L50" s="78"/>
      <c r="M50" s="76"/>
      <c r="N50" s="74"/>
      <c r="Q50" s="5"/>
      <c r="R50" s="5"/>
      <c r="S50" s="5"/>
      <c r="T50" s="5"/>
      <c r="U50" s="5"/>
      <c r="V50" s="5"/>
      <c r="W50" s="5"/>
      <c r="X50" s="5"/>
    </row>
    <row r="51" spans="3:24" ht="21.75" thickBot="1" x14ac:dyDescent="0.4">
      <c r="D51" s="5"/>
      <c r="E51" s="5"/>
      <c r="F51" s="267">
        <f>K49+J49+I49+H49+G49+F49+E49+D49+L49</f>
        <v>14572.5</v>
      </c>
      <c r="G51" s="268"/>
      <c r="H51" s="269"/>
      <c r="I51" s="5"/>
      <c r="J51" s="5"/>
      <c r="K51" s="5"/>
      <c r="L51" s="71"/>
      <c r="M51" s="74"/>
      <c r="N51" s="74"/>
      <c r="Q51" s="5"/>
      <c r="R51" s="5"/>
      <c r="S51" s="270">
        <f>Q49+R49+S49+T49+U49+V49+W49+X49</f>
        <v>21274</v>
      </c>
      <c r="T51" s="271"/>
      <c r="U51" s="272"/>
      <c r="V51" s="5"/>
      <c r="W51" s="5"/>
      <c r="X51" s="5"/>
    </row>
    <row r="52" spans="3:24" x14ac:dyDescent="0.25">
      <c r="D52" s="5"/>
      <c r="E52" s="5"/>
      <c r="F52" s="5"/>
      <c r="G52" s="5"/>
      <c r="H52" s="5"/>
      <c r="J52" s="5"/>
      <c r="K52" s="5"/>
      <c r="L52" s="71"/>
      <c r="M52" s="74"/>
      <c r="N52" s="74"/>
      <c r="Q52" s="5"/>
      <c r="R52" s="5"/>
      <c r="S52" s="5"/>
      <c r="T52" s="5"/>
      <c r="U52" s="5"/>
      <c r="V52" s="5"/>
      <c r="W52" s="5"/>
      <c r="X52" s="5"/>
    </row>
    <row r="53" spans="3:24" x14ac:dyDescent="0.25">
      <c r="D53" s="5"/>
      <c r="E53" s="5"/>
      <c r="F53" s="5"/>
      <c r="G53" s="5"/>
      <c r="H53" s="5"/>
      <c r="I53" s="5"/>
      <c r="J53" s="5"/>
      <c r="K53" s="5"/>
      <c r="L53" s="71"/>
      <c r="M53" s="74"/>
      <c r="N53" s="74"/>
    </row>
    <row r="54" spans="3:24" x14ac:dyDescent="0.25">
      <c r="D54" s="5"/>
      <c r="E54" s="5"/>
      <c r="F54" s="5"/>
      <c r="G54" s="5"/>
      <c r="H54" s="5"/>
      <c r="I54" s="5"/>
      <c r="J54" s="5"/>
      <c r="K54" s="5"/>
      <c r="L54" s="71"/>
      <c r="M54" s="74"/>
      <c r="N54" s="74"/>
    </row>
    <row r="63" spans="3:24" ht="27.75" customHeight="1" x14ac:dyDescent="0.25">
      <c r="O63" s="188"/>
      <c r="P63" s="189"/>
      <c r="Q63" s="189"/>
      <c r="R63" s="189"/>
      <c r="S63" s="189"/>
      <c r="T63" s="189"/>
      <c r="U63" s="189"/>
      <c r="V63" s="189"/>
      <c r="W63" s="189"/>
      <c r="X63" s="189"/>
    </row>
    <row r="65" spans="2:27" ht="15.75" thickBot="1" x14ac:dyDescent="0.3"/>
    <row r="66" spans="2:27" ht="22.5" thickTop="1" thickBot="1" x14ac:dyDescent="0.4">
      <c r="C66" s="260" t="s">
        <v>36</v>
      </c>
      <c r="D66" s="261"/>
      <c r="E66" s="261"/>
      <c r="F66" s="261"/>
      <c r="G66" s="261"/>
      <c r="H66" s="261"/>
      <c r="I66" s="261"/>
      <c r="J66" s="261"/>
      <c r="K66" s="261"/>
      <c r="L66" s="84" t="s">
        <v>88</v>
      </c>
      <c r="M66" s="83"/>
      <c r="N66" s="81"/>
      <c r="O66" s="273" t="s">
        <v>19</v>
      </c>
      <c r="P66" s="274"/>
      <c r="Q66" s="274"/>
      <c r="R66" s="274"/>
      <c r="S66" s="274"/>
      <c r="T66" s="274"/>
      <c r="U66" s="274"/>
      <c r="V66" s="274"/>
      <c r="W66" s="274"/>
      <c r="X66" s="85" t="s">
        <v>88</v>
      </c>
    </row>
    <row r="67" spans="2:27" ht="16.5" thickBot="1" x14ac:dyDescent="0.3">
      <c r="I67" s="264" t="s">
        <v>107</v>
      </c>
      <c r="J67" s="265"/>
      <c r="K67" s="266"/>
      <c r="L67" s="68"/>
      <c r="M67" s="59"/>
      <c r="N67" s="74"/>
      <c r="V67" s="264" t="s">
        <v>107</v>
      </c>
      <c r="W67" s="265"/>
      <c r="X67" s="266"/>
    </row>
    <row r="68" spans="2:27" ht="64.5" thickTop="1" thickBot="1" x14ac:dyDescent="0.3">
      <c r="B68" s="6" t="s">
        <v>0</v>
      </c>
      <c r="C68" s="24" t="s">
        <v>1</v>
      </c>
      <c r="D68" s="25" t="s">
        <v>2</v>
      </c>
      <c r="E68" s="26" t="s">
        <v>7</v>
      </c>
      <c r="F68" s="56" t="s">
        <v>38</v>
      </c>
      <c r="G68" s="25" t="s">
        <v>3</v>
      </c>
      <c r="H68" s="27" t="s">
        <v>22</v>
      </c>
      <c r="I68" s="60" t="s">
        <v>4</v>
      </c>
      <c r="J68" s="61" t="s">
        <v>8</v>
      </c>
      <c r="K68" s="62" t="s">
        <v>5</v>
      </c>
      <c r="L68" s="99" t="s">
        <v>46</v>
      </c>
      <c r="M68" s="38"/>
      <c r="N68" s="82"/>
      <c r="O68" s="36" t="s">
        <v>0</v>
      </c>
      <c r="P68" s="18" t="s">
        <v>1</v>
      </c>
      <c r="Q68" s="64" t="s">
        <v>2</v>
      </c>
      <c r="R68" s="19" t="s">
        <v>16</v>
      </c>
      <c r="S68" s="54" t="s">
        <v>38</v>
      </c>
      <c r="T68" s="14" t="s">
        <v>3</v>
      </c>
      <c r="U68" s="14" t="s">
        <v>4</v>
      </c>
      <c r="V68" s="55" t="s">
        <v>25</v>
      </c>
      <c r="W68" s="57" t="s">
        <v>8</v>
      </c>
      <c r="X68" s="58" t="s">
        <v>5</v>
      </c>
    </row>
    <row r="69" spans="2:27" ht="30" x14ac:dyDescent="0.25">
      <c r="B69" s="93" t="s">
        <v>89</v>
      </c>
      <c r="C69" s="107" t="s">
        <v>90</v>
      </c>
      <c r="D69" s="72"/>
      <c r="E69" s="72"/>
      <c r="F69" s="72"/>
      <c r="G69" s="72"/>
      <c r="H69" s="72"/>
      <c r="I69" s="72"/>
      <c r="J69" s="72"/>
      <c r="K69" s="72">
        <f>899+759+1031</f>
        <v>2689</v>
      </c>
      <c r="L69" s="70"/>
      <c r="M69" s="74"/>
      <c r="N69" s="74"/>
      <c r="O69" s="93" t="s">
        <v>89</v>
      </c>
      <c r="P69" s="86" t="s">
        <v>97</v>
      </c>
      <c r="Q69" s="72"/>
      <c r="R69" s="72"/>
      <c r="S69" s="72"/>
      <c r="T69" s="72"/>
      <c r="U69" s="72"/>
      <c r="V69" s="72"/>
      <c r="W69" s="72"/>
      <c r="X69" s="72">
        <f>1196+1463</f>
        <v>2659</v>
      </c>
    </row>
    <row r="70" spans="2:27" ht="51.75" customHeight="1" x14ac:dyDescent="0.25">
      <c r="B70" s="93" t="s">
        <v>89</v>
      </c>
      <c r="C70" s="44" t="s">
        <v>93</v>
      </c>
      <c r="D70" s="67"/>
      <c r="E70" s="67"/>
      <c r="F70" s="67">
        <f>2439+120+100+72+45</f>
        <v>2776</v>
      </c>
      <c r="G70" s="67"/>
      <c r="H70" s="67"/>
      <c r="I70" s="67"/>
      <c r="J70" s="67"/>
      <c r="K70" s="67"/>
      <c r="L70" s="67"/>
      <c r="M70" s="74"/>
      <c r="N70" s="74"/>
      <c r="O70" s="93" t="s">
        <v>89</v>
      </c>
      <c r="P70" s="89" t="s">
        <v>99</v>
      </c>
      <c r="Q70" s="72"/>
      <c r="R70" s="72"/>
      <c r="S70" s="72">
        <f>79+3580</f>
        <v>3659</v>
      </c>
      <c r="T70" s="72"/>
      <c r="U70" s="72"/>
      <c r="V70" s="72"/>
      <c r="W70" s="72"/>
      <c r="X70" s="67"/>
    </row>
    <row r="71" spans="2:27" ht="36.75" x14ac:dyDescent="0.25">
      <c r="B71" s="93" t="s">
        <v>89</v>
      </c>
      <c r="C71" s="43" t="s">
        <v>91</v>
      </c>
      <c r="D71" s="67">
        <f>131+221</f>
        <v>352</v>
      </c>
      <c r="E71" s="67"/>
      <c r="F71" s="67"/>
      <c r="G71" s="67"/>
      <c r="H71" s="67"/>
      <c r="I71" s="67"/>
      <c r="J71" s="67"/>
      <c r="K71" s="67"/>
      <c r="L71" s="11"/>
      <c r="M71" s="74"/>
      <c r="N71" s="74"/>
      <c r="O71" s="93" t="s">
        <v>89</v>
      </c>
      <c r="P71" s="89" t="s">
        <v>98</v>
      </c>
      <c r="Q71" s="72"/>
      <c r="R71" s="72"/>
      <c r="S71" s="72"/>
      <c r="T71" s="72">
        <f>40+85</f>
        <v>125</v>
      </c>
      <c r="U71" s="72"/>
      <c r="V71" s="72"/>
      <c r="W71" s="72"/>
      <c r="X71" s="67"/>
    </row>
    <row r="72" spans="2:27" ht="30" customHeight="1" x14ac:dyDescent="0.25">
      <c r="B72" s="93" t="s">
        <v>89</v>
      </c>
      <c r="C72" s="96" t="s">
        <v>92</v>
      </c>
      <c r="D72" s="67"/>
      <c r="E72" s="67"/>
      <c r="F72" s="67"/>
      <c r="G72" s="67">
        <v>45</v>
      </c>
      <c r="H72" s="67" t="s">
        <v>26</v>
      </c>
      <c r="I72" s="67"/>
      <c r="J72" s="67"/>
      <c r="K72" s="67"/>
      <c r="L72" s="11"/>
      <c r="M72" s="74"/>
      <c r="N72" s="74"/>
      <c r="O72" s="93" t="s">
        <v>89</v>
      </c>
      <c r="P72" s="87" t="s">
        <v>100</v>
      </c>
      <c r="Q72" s="72">
        <f>144+460+166</f>
        <v>770</v>
      </c>
      <c r="R72" s="72"/>
      <c r="S72" s="72"/>
      <c r="T72" s="72"/>
      <c r="U72" s="72"/>
      <c r="V72" s="72"/>
      <c r="W72" s="72"/>
      <c r="X72" s="67"/>
    </row>
    <row r="73" spans="2:27" ht="48.75" x14ac:dyDescent="0.25">
      <c r="B73" s="93" t="s">
        <v>89</v>
      </c>
      <c r="C73" s="44" t="s">
        <v>46</v>
      </c>
      <c r="D73" s="67"/>
      <c r="E73" s="67"/>
      <c r="F73" s="67"/>
      <c r="G73" s="67"/>
      <c r="H73" s="67"/>
      <c r="I73" s="67"/>
      <c r="J73" s="67"/>
      <c r="K73" s="67"/>
      <c r="L73" s="11">
        <v>500</v>
      </c>
      <c r="M73" s="74"/>
      <c r="N73" s="74"/>
      <c r="O73" s="93" t="s">
        <v>89</v>
      </c>
      <c r="P73" s="89" t="s">
        <v>104</v>
      </c>
      <c r="Q73" s="72"/>
      <c r="R73" s="72"/>
      <c r="S73" s="72"/>
      <c r="T73" s="72"/>
      <c r="U73" s="72"/>
      <c r="V73" s="72"/>
      <c r="W73" s="72">
        <f>610+60.5+856+50+1164</f>
        <v>2740.5</v>
      </c>
      <c r="X73" s="67"/>
    </row>
    <row r="74" spans="2:27" x14ac:dyDescent="0.25">
      <c r="B74" s="93" t="s">
        <v>89</v>
      </c>
      <c r="C74" s="44" t="s">
        <v>12</v>
      </c>
      <c r="D74" s="67"/>
      <c r="E74" s="67"/>
      <c r="F74" s="67"/>
      <c r="G74" s="67"/>
      <c r="H74" s="67"/>
      <c r="I74" s="67">
        <v>381</v>
      </c>
      <c r="J74" s="67"/>
      <c r="K74" s="67"/>
      <c r="L74" s="11"/>
      <c r="M74" s="74"/>
      <c r="N74" s="74"/>
      <c r="O74" s="93" t="s">
        <v>89</v>
      </c>
      <c r="P74" s="89" t="s">
        <v>4</v>
      </c>
      <c r="Q74" s="72"/>
      <c r="R74" s="72"/>
      <c r="S74" s="72"/>
      <c r="T74" s="72"/>
      <c r="U74" s="72">
        <v>728</v>
      </c>
      <c r="V74" s="72"/>
      <c r="W74" s="72"/>
      <c r="X74" s="67"/>
    </row>
    <row r="75" spans="2:27" ht="24" x14ac:dyDescent="0.25">
      <c r="B75" s="93" t="s">
        <v>89</v>
      </c>
      <c r="C75" s="44" t="s">
        <v>94</v>
      </c>
      <c r="D75" s="67"/>
      <c r="E75" s="67"/>
      <c r="F75" s="67"/>
      <c r="G75" s="67"/>
      <c r="H75" s="67"/>
      <c r="I75" s="67"/>
      <c r="J75" s="94">
        <v>1223</v>
      </c>
      <c r="K75" s="67"/>
      <c r="L75" s="11"/>
      <c r="M75" s="74"/>
      <c r="N75" s="74"/>
      <c r="O75" s="93" t="s">
        <v>89</v>
      </c>
      <c r="P75" s="87" t="s">
        <v>101</v>
      </c>
      <c r="Q75" s="72"/>
      <c r="R75" s="72"/>
      <c r="S75" s="72"/>
      <c r="T75" s="72"/>
      <c r="U75" s="72"/>
      <c r="V75" s="72"/>
      <c r="W75" s="72">
        <v>1390</v>
      </c>
      <c r="X75" s="67"/>
      <c r="Y75" s="109" t="s">
        <v>102</v>
      </c>
      <c r="Z75" s="110"/>
      <c r="AA75" s="80"/>
    </row>
    <row r="76" spans="2:27" ht="26.25" x14ac:dyDescent="0.25">
      <c r="B76" s="93" t="s">
        <v>89</v>
      </c>
      <c r="C76" s="42" t="s">
        <v>95</v>
      </c>
      <c r="D76" s="67"/>
      <c r="E76" s="67">
        <v>180</v>
      </c>
      <c r="F76" s="67"/>
      <c r="G76" s="67"/>
      <c r="H76" s="67"/>
      <c r="I76" s="67"/>
      <c r="J76" s="67"/>
      <c r="K76" s="67"/>
      <c r="L76" s="11"/>
      <c r="M76" s="74"/>
      <c r="N76" s="74"/>
      <c r="O76" s="93" t="s">
        <v>89</v>
      </c>
      <c r="P76" s="90" t="s">
        <v>103</v>
      </c>
      <c r="Q76" s="72"/>
      <c r="R76" s="72">
        <v>1462</v>
      </c>
      <c r="S76" s="72"/>
      <c r="T76" s="72"/>
      <c r="U76" s="72"/>
      <c r="V76" s="72"/>
      <c r="W76" s="72"/>
      <c r="X76" s="67"/>
    </row>
    <row r="77" spans="2:27" ht="22.5" customHeight="1" x14ac:dyDescent="0.25">
      <c r="B77" s="93" t="s">
        <v>89</v>
      </c>
      <c r="C77" s="95" t="s">
        <v>96</v>
      </c>
      <c r="D77" s="67"/>
      <c r="E77" s="67"/>
      <c r="F77" s="67"/>
      <c r="G77" s="67"/>
      <c r="H77" s="67">
        <f>85+85+102+68+68</f>
        <v>408</v>
      </c>
      <c r="I77" s="67"/>
      <c r="J77" s="67"/>
      <c r="K77" s="67"/>
      <c r="L77" s="11"/>
      <c r="M77" s="74"/>
      <c r="N77" s="74"/>
      <c r="O77" s="93" t="s">
        <v>89</v>
      </c>
      <c r="P77" s="98" t="s">
        <v>105</v>
      </c>
      <c r="Q77" s="72"/>
      <c r="R77" s="72"/>
      <c r="S77" s="72"/>
      <c r="T77" s="72"/>
      <c r="U77" s="72"/>
      <c r="V77" s="72">
        <f>700+710+700+669+1754</f>
        <v>4533</v>
      </c>
      <c r="W77" s="72"/>
      <c r="X77" s="67"/>
    </row>
    <row r="78" spans="2:27" ht="18.75" customHeight="1" x14ac:dyDescent="0.25">
      <c r="B78" s="93" t="s">
        <v>89</v>
      </c>
      <c r="C78" s="42" t="s">
        <v>11</v>
      </c>
      <c r="D78" s="67"/>
      <c r="E78" s="67"/>
      <c r="F78" s="67"/>
      <c r="G78" s="67"/>
      <c r="H78" s="67">
        <f>380+380+470</f>
        <v>1230</v>
      </c>
      <c r="I78" s="67"/>
      <c r="J78" s="67"/>
      <c r="K78" s="67"/>
      <c r="L78" s="11"/>
      <c r="M78" s="74"/>
      <c r="N78" s="74"/>
      <c r="O78" s="93" t="s">
        <v>89</v>
      </c>
      <c r="P78" s="88" t="s">
        <v>106</v>
      </c>
      <c r="Q78" s="72"/>
      <c r="R78" s="72"/>
      <c r="S78" s="72"/>
      <c r="T78" s="72"/>
      <c r="U78" s="72"/>
      <c r="V78" s="72">
        <f>170+170+204+204+170</f>
        <v>918</v>
      </c>
      <c r="W78" s="72"/>
      <c r="X78" s="67"/>
    </row>
    <row r="79" spans="2:27" ht="18.75" customHeight="1" x14ac:dyDescent="0.25">
      <c r="B79" s="93" t="s">
        <v>89</v>
      </c>
      <c r="C79" s="95"/>
      <c r="D79" s="67"/>
      <c r="E79" s="67"/>
      <c r="F79" s="67"/>
      <c r="G79" s="67"/>
      <c r="H79" s="67"/>
      <c r="I79" s="67"/>
      <c r="J79" s="67"/>
      <c r="K79" s="67"/>
      <c r="L79" s="11"/>
      <c r="M79" s="74"/>
      <c r="N79" s="74"/>
      <c r="O79" s="93" t="s">
        <v>89</v>
      </c>
      <c r="P79" s="88"/>
      <c r="Q79" s="72"/>
      <c r="R79" s="72"/>
      <c r="S79" s="72"/>
      <c r="T79" s="72"/>
      <c r="U79" s="72"/>
      <c r="V79" s="72"/>
      <c r="W79" s="72"/>
      <c r="X79" s="67"/>
    </row>
    <row r="80" spans="2:27" ht="18.75" customHeight="1" x14ac:dyDescent="0.25">
      <c r="B80" s="93" t="s">
        <v>89</v>
      </c>
      <c r="C80" s="10"/>
      <c r="D80" s="67"/>
      <c r="E80" s="67"/>
      <c r="F80" s="67"/>
      <c r="G80" s="67"/>
      <c r="H80" s="67"/>
      <c r="I80" s="67"/>
      <c r="J80" s="67"/>
      <c r="K80" s="67"/>
      <c r="L80" s="11"/>
      <c r="M80" s="74"/>
      <c r="N80" s="74"/>
      <c r="O80" s="93" t="s">
        <v>89</v>
      </c>
      <c r="P80" s="91"/>
      <c r="Q80" s="67"/>
      <c r="R80" s="67"/>
      <c r="S80" s="67"/>
      <c r="T80" s="67"/>
      <c r="U80" s="67"/>
      <c r="V80" s="67"/>
      <c r="W80" s="67"/>
      <c r="X80" s="67"/>
    </row>
    <row r="81" spans="2:24" x14ac:dyDescent="0.25">
      <c r="B81" s="93" t="s">
        <v>89</v>
      </c>
      <c r="C81" s="10"/>
      <c r="D81" s="67"/>
      <c r="E81" s="67"/>
      <c r="F81" s="67"/>
      <c r="G81" s="67"/>
      <c r="H81" s="67"/>
      <c r="I81" s="67"/>
      <c r="J81" s="67"/>
      <c r="K81" s="67"/>
      <c r="L81" s="11"/>
      <c r="M81" s="74"/>
      <c r="N81" s="74"/>
      <c r="O81" s="93" t="s">
        <v>89</v>
      </c>
      <c r="P81" s="91"/>
      <c r="Q81" s="67"/>
      <c r="R81" s="67"/>
      <c r="S81" s="67"/>
      <c r="T81" s="67"/>
      <c r="U81" s="67"/>
      <c r="V81" s="67"/>
      <c r="W81" s="67"/>
      <c r="X81" s="67"/>
    </row>
    <row r="82" spans="2:24" ht="15.75" thickBot="1" x14ac:dyDescent="0.3">
      <c r="B82" s="9"/>
      <c r="C82" s="34"/>
      <c r="D82" s="73">
        <v>0</v>
      </c>
      <c r="E82" s="73"/>
      <c r="F82" s="73"/>
      <c r="G82" s="73"/>
      <c r="H82" s="73"/>
      <c r="I82" s="73"/>
      <c r="J82" s="73"/>
      <c r="K82" s="73"/>
      <c r="L82" s="20"/>
      <c r="M82" s="74"/>
      <c r="N82" s="74"/>
      <c r="O82" s="46"/>
      <c r="P82" s="51"/>
      <c r="Q82" s="73">
        <v>0</v>
      </c>
      <c r="R82" s="73"/>
      <c r="S82" s="73"/>
      <c r="T82" s="73"/>
      <c r="U82" s="73"/>
      <c r="V82" s="73"/>
      <c r="W82" s="73"/>
      <c r="X82" s="73"/>
    </row>
    <row r="83" spans="2:24" ht="24" thickBot="1" x14ac:dyDescent="0.3">
      <c r="C83" s="35" t="s">
        <v>18</v>
      </c>
      <c r="D83" s="30">
        <f t="shared" ref="D83" si="5">SUM(D69:D82)</f>
        <v>352</v>
      </c>
      <c r="E83" s="31">
        <f t="shared" ref="E83" si="6">SUM(E69:E82)</f>
        <v>180</v>
      </c>
      <c r="F83" s="31">
        <f t="shared" ref="F83" si="7">SUM(F69:F82)</f>
        <v>2776</v>
      </c>
      <c r="G83" s="31">
        <f t="shared" ref="G83" si="8">SUM(G69:G82)</f>
        <v>45</v>
      </c>
      <c r="H83" s="31">
        <f t="shared" ref="H83" si="9">SUM(H69:H82)</f>
        <v>1638</v>
      </c>
      <c r="I83" s="31">
        <f t="shared" ref="I83" si="10">SUM(I69:I82)</f>
        <v>381</v>
      </c>
      <c r="J83" s="22">
        <f t="shared" ref="J83" si="11">SUM(J69:J82)</f>
        <v>1223</v>
      </c>
      <c r="K83" s="32">
        <f t="shared" ref="K83" si="12">SUM(K69:K82)</f>
        <v>2689</v>
      </c>
      <c r="L83" s="100">
        <f t="shared" ref="L83" si="13">SUM(L69:L82)</f>
        <v>500</v>
      </c>
      <c r="M83" s="75"/>
      <c r="N83" s="74"/>
      <c r="P83" s="33" t="s">
        <v>18</v>
      </c>
      <c r="Q83" s="21">
        <f t="shared" ref="Q83" si="14">SUM(Q69:Q82)</f>
        <v>770</v>
      </c>
      <c r="R83" s="21">
        <f t="shared" ref="R83" si="15">SUM(R69:R82)</f>
        <v>1462</v>
      </c>
      <c r="S83" s="21">
        <f t="shared" ref="S83" si="16">SUM(S69:S82)</f>
        <v>3659</v>
      </c>
      <c r="T83" s="21">
        <f t="shared" ref="T83" si="17">SUM(T69:T82)</f>
        <v>125</v>
      </c>
      <c r="U83" s="21">
        <f t="shared" ref="U83" si="18">SUM(U69:U82)</f>
        <v>728</v>
      </c>
      <c r="V83" s="21">
        <f t="shared" ref="V83" si="19">SUM(V69:V82)</f>
        <v>5451</v>
      </c>
      <c r="W83" s="21">
        <f t="shared" ref="W83" si="20">SUM(W69:W82)</f>
        <v>4130.5</v>
      </c>
      <c r="X83" s="21">
        <f t="shared" ref="X83" si="21">SUM(X69:X82)</f>
        <v>2659</v>
      </c>
    </row>
    <row r="84" spans="2:24" ht="15.75" thickBot="1" x14ac:dyDescent="0.3">
      <c r="D84" s="5"/>
      <c r="E84" s="5"/>
      <c r="F84" s="5"/>
      <c r="G84" s="5"/>
      <c r="H84" s="5"/>
      <c r="I84" s="5"/>
      <c r="J84" s="5"/>
      <c r="K84" s="5"/>
      <c r="L84" s="78"/>
      <c r="M84" s="76"/>
      <c r="N84" s="74"/>
      <c r="Q84" s="5"/>
      <c r="R84" s="5"/>
      <c r="S84" s="5"/>
      <c r="T84" s="5"/>
      <c r="U84" s="5"/>
      <c r="V84" s="5"/>
      <c r="W84" s="5"/>
      <c r="X84" s="5"/>
    </row>
    <row r="85" spans="2:24" ht="21.75" thickBot="1" x14ac:dyDescent="0.4">
      <c r="D85" s="5"/>
      <c r="E85" s="5"/>
      <c r="F85" s="267">
        <f>K83+J83+I83+H83+G83+F83+E83+D83+L83</f>
        <v>9784</v>
      </c>
      <c r="G85" s="268"/>
      <c r="H85" s="269"/>
      <c r="I85" s="5"/>
      <c r="J85" s="5"/>
      <c r="K85" s="5"/>
      <c r="L85" s="78"/>
      <c r="M85" s="76"/>
      <c r="N85" s="74"/>
      <c r="Q85" s="5"/>
      <c r="R85" s="5"/>
      <c r="S85" s="270">
        <f>Q83+R83+S83+T83+U83+V83+W83+X83</f>
        <v>18984.5</v>
      </c>
      <c r="T85" s="271"/>
      <c r="U85" s="272"/>
      <c r="V85" s="5"/>
      <c r="W85" s="5"/>
      <c r="X85" s="5"/>
    </row>
    <row r="86" spans="2:24" x14ac:dyDescent="0.25">
      <c r="D86" s="5"/>
      <c r="E86" s="5"/>
      <c r="F86" s="5"/>
      <c r="G86" s="5"/>
      <c r="H86" s="5"/>
      <c r="J86" s="5"/>
      <c r="K86" s="5"/>
      <c r="L86" s="78"/>
      <c r="M86" s="76"/>
      <c r="N86" s="74"/>
      <c r="Q86" s="5"/>
      <c r="R86" s="5"/>
      <c r="S86" s="5"/>
      <c r="T86" s="5"/>
      <c r="U86" s="5"/>
      <c r="V86" s="5"/>
      <c r="W86" s="5"/>
      <c r="X86" s="5"/>
    </row>
    <row r="87" spans="2:24" x14ac:dyDescent="0.25">
      <c r="D87" s="5"/>
      <c r="E87" s="5"/>
      <c r="F87" s="5"/>
      <c r="G87" s="5"/>
      <c r="H87" s="5"/>
      <c r="I87" s="5"/>
      <c r="J87" s="5"/>
      <c r="K87" s="5"/>
      <c r="L87" s="78"/>
      <c r="M87" s="76"/>
      <c r="N87" s="74"/>
    </row>
    <row r="88" spans="2:24" ht="15.75" thickBot="1" x14ac:dyDescent="0.3">
      <c r="D88" s="5"/>
      <c r="E88" s="5"/>
      <c r="F88" s="5"/>
      <c r="G88" s="5"/>
      <c r="H88" s="5"/>
      <c r="I88" s="5"/>
      <c r="J88" s="5"/>
      <c r="K88" s="5"/>
      <c r="L88" s="78"/>
      <c r="M88" s="79"/>
      <c r="N88" s="74"/>
    </row>
    <row r="96" spans="2:24" ht="15.75" thickBot="1" x14ac:dyDescent="0.3"/>
    <row r="97" spans="2:24" ht="22.5" thickTop="1" thickBot="1" x14ac:dyDescent="0.4">
      <c r="C97" s="260" t="s">
        <v>36</v>
      </c>
      <c r="D97" s="261"/>
      <c r="E97" s="261"/>
      <c r="F97" s="261"/>
      <c r="G97" s="261"/>
      <c r="H97" s="261"/>
      <c r="I97" s="261"/>
      <c r="J97" s="261"/>
      <c r="K97" s="261"/>
      <c r="L97" s="84" t="s">
        <v>66</v>
      </c>
      <c r="M97" s="83"/>
      <c r="N97" s="81"/>
      <c r="O97" s="273" t="s">
        <v>19</v>
      </c>
      <c r="P97" s="274"/>
      <c r="Q97" s="274"/>
      <c r="R97" s="274"/>
      <c r="S97" s="274"/>
      <c r="T97" s="274"/>
      <c r="U97" s="274"/>
      <c r="V97" s="274"/>
      <c r="W97" s="274"/>
      <c r="X97" s="85" t="s">
        <v>66</v>
      </c>
    </row>
    <row r="98" spans="2:24" ht="16.5" thickBot="1" x14ac:dyDescent="0.3">
      <c r="I98" s="264" t="s">
        <v>68</v>
      </c>
      <c r="J98" s="265"/>
      <c r="K98" s="266"/>
      <c r="L98" s="68"/>
      <c r="M98" s="59"/>
      <c r="N98" s="74"/>
      <c r="V98" s="264" t="s">
        <v>68</v>
      </c>
      <c r="W98" s="265"/>
      <c r="X98" s="266"/>
    </row>
    <row r="99" spans="2:24" ht="64.5" thickTop="1" thickBot="1" x14ac:dyDescent="0.3">
      <c r="B99" s="6" t="s">
        <v>0</v>
      </c>
      <c r="C99" s="24" t="s">
        <v>1</v>
      </c>
      <c r="D99" s="25" t="s">
        <v>2</v>
      </c>
      <c r="E99" s="26" t="s">
        <v>7</v>
      </c>
      <c r="F99" s="56" t="s">
        <v>38</v>
      </c>
      <c r="G99" s="25" t="s">
        <v>3</v>
      </c>
      <c r="H99" s="27" t="s">
        <v>22</v>
      </c>
      <c r="I99" s="60" t="s">
        <v>4</v>
      </c>
      <c r="J99" s="61" t="s">
        <v>8</v>
      </c>
      <c r="K99" s="62" t="s">
        <v>5</v>
      </c>
      <c r="L99" s="99" t="s">
        <v>46</v>
      </c>
      <c r="M99" s="38"/>
      <c r="N99" s="82"/>
      <c r="O99" s="36" t="s">
        <v>0</v>
      </c>
      <c r="P99" s="18" t="s">
        <v>1</v>
      </c>
      <c r="Q99" s="64" t="s">
        <v>2</v>
      </c>
      <c r="R99" s="19" t="s">
        <v>16</v>
      </c>
      <c r="S99" s="54" t="s">
        <v>38</v>
      </c>
      <c r="T99" s="14" t="s">
        <v>3</v>
      </c>
      <c r="U99" s="14" t="s">
        <v>4</v>
      </c>
      <c r="V99" s="55" t="s">
        <v>25</v>
      </c>
      <c r="W99" s="57" t="s">
        <v>8</v>
      </c>
      <c r="X99" s="58" t="s">
        <v>5</v>
      </c>
    </row>
    <row r="100" spans="2:24" ht="36.75" x14ac:dyDescent="0.25">
      <c r="B100" s="93" t="s">
        <v>69</v>
      </c>
      <c r="C100" s="107" t="s">
        <v>70</v>
      </c>
      <c r="D100" s="72">
        <f>121+213+135</f>
        <v>469</v>
      </c>
      <c r="E100" s="72"/>
      <c r="F100" s="72"/>
      <c r="G100" s="72"/>
      <c r="H100" s="72"/>
      <c r="I100" s="72"/>
      <c r="J100" s="72"/>
      <c r="K100" s="72"/>
      <c r="L100" s="70"/>
      <c r="M100" s="74"/>
      <c r="N100" s="74"/>
      <c r="O100" s="93" t="s">
        <v>69</v>
      </c>
      <c r="P100" s="86" t="s">
        <v>84</v>
      </c>
      <c r="Q100" s="72"/>
      <c r="R100" s="72"/>
      <c r="S100" s="72"/>
      <c r="T100" s="72"/>
      <c r="U100" s="72"/>
      <c r="V100" s="72"/>
      <c r="W100" s="72"/>
      <c r="X100" s="72">
        <f>69+2445+1943+325+1621</f>
        <v>6403</v>
      </c>
    </row>
    <row r="101" spans="2:24" ht="36" x14ac:dyDescent="0.25">
      <c r="B101" s="93" t="s">
        <v>69</v>
      </c>
      <c r="C101" s="44" t="s">
        <v>79</v>
      </c>
      <c r="D101" s="67"/>
      <c r="E101" s="67"/>
      <c r="F101" s="67"/>
      <c r="G101" s="67"/>
      <c r="H101" s="67"/>
      <c r="I101" s="67"/>
      <c r="J101" s="67"/>
      <c r="K101" s="67">
        <f>1031+1026+1603+547+2029</f>
        <v>6236</v>
      </c>
      <c r="L101" s="67"/>
      <c r="M101" s="74"/>
      <c r="N101" s="74"/>
      <c r="O101" s="93" t="s">
        <v>69</v>
      </c>
      <c r="P101" s="89" t="s">
        <v>86</v>
      </c>
      <c r="Q101" s="72"/>
      <c r="R101" s="72"/>
      <c r="S101" s="72"/>
      <c r="T101" s="72"/>
      <c r="U101" s="72"/>
      <c r="V101" s="72"/>
      <c r="W101" s="72">
        <f>1500+380</f>
        <v>1880</v>
      </c>
      <c r="X101" s="67"/>
    </row>
    <row r="102" spans="2:24" ht="30" x14ac:dyDescent="0.25">
      <c r="B102" s="93" t="s">
        <v>69</v>
      </c>
      <c r="C102" s="43" t="s">
        <v>76</v>
      </c>
      <c r="D102" s="67"/>
      <c r="E102" s="67">
        <v>188</v>
      </c>
      <c r="F102" s="67"/>
      <c r="G102" s="67"/>
      <c r="H102" s="67"/>
      <c r="I102" s="67"/>
      <c r="J102" s="67"/>
      <c r="K102" s="67"/>
      <c r="L102" s="11"/>
      <c r="M102" s="74"/>
      <c r="N102" s="74"/>
      <c r="O102" s="93" t="s">
        <v>69</v>
      </c>
      <c r="P102" s="87" t="s">
        <v>81</v>
      </c>
      <c r="Q102" s="72">
        <f>78+342+635</f>
        <v>1055</v>
      </c>
      <c r="R102" s="72"/>
      <c r="S102" s="72"/>
      <c r="T102" s="72"/>
      <c r="U102" s="72"/>
      <c r="V102" s="72"/>
      <c r="W102" s="72"/>
      <c r="X102" s="67"/>
    </row>
    <row r="103" spans="2:24" ht="30" customHeight="1" x14ac:dyDescent="0.25">
      <c r="B103" s="93" t="s">
        <v>69</v>
      </c>
      <c r="C103" s="96" t="s">
        <v>74</v>
      </c>
      <c r="D103" s="67"/>
      <c r="E103" s="67"/>
      <c r="F103" s="67"/>
      <c r="G103" s="67"/>
      <c r="H103" s="67"/>
      <c r="I103" s="67">
        <v>829</v>
      </c>
      <c r="J103" s="67"/>
      <c r="K103" s="67"/>
      <c r="L103" s="11"/>
      <c r="M103" s="74"/>
      <c r="N103" s="74"/>
      <c r="O103" s="93" t="s">
        <v>69</v>
      </c>
      <c r="P103" s="88" t="s">
        <v>12</v>
      </c>
      <c r="Q103" s="72"/>
      <c r="R103" s="72"/>
      <c r="S103" s="72"/>
      <c r="T103" s="72"/>
      <c r="U103" s="72">
        <v>400</v>
      </c>
      <c r="V103" s="72"/>
      <c r="W103" s="72"/>
      <c r="X103" s="67"/>
    </row>
    <row r="104" spans="2:24" ht="24.75" x14ac:dyDescent="0.25">
      <c r="B104" s="93" t="s">
        <v>69</v>
      </c>
      <c r="C104" s="44" t="s">
        <v>72</v>
      </c>
      <c r="D104" s="67"/>
      <c r="E104" s="67"/>
      <c r="F104" s="67">
        <v>95</v>
      </c>
      <c r="G104" s="67"/>
      <c r="H104" s="67"/>
      <c r="I104" s="67"/>
      <c r="J104" s="67"/>
      <c r="K104" s="67"/>
      <c r="L104" s="11"/>
      <c r="M104" s="74"/>
      <c r="N104" s="74"/>
      <c r="O104" s="93" t="s">
        <v>69</v>
      </c>
      <c r="P104" s="89" t="s">
        <v>80</v>
      </c>
      <c r="Q104" s="72"/>
      <c r="R104" s="72">
        <v>776</v>
      </c>
      <c r="S104" s="72"/>
      <c r="T104" s="72"/>
      <c r="U104" s="72"/>
      <c r="V104" s="72"/>
      <c r="W104" s="72"/>
      <c r="X104" s="67"/>
    </row>
    <row r="105" spans="2:24" x14ac:dyDescent="0.25">
      <c r="B105" s="93" t="s">
        <v>69</v>
      </c>
      <c r="C105" s="44" t="s">
        <v>73</v>
      </c>
      <c r="D105" s="67"/>
      <c r="E105" s="67"/>
      <c r="F105" s="67"/>
      <c r="G105" s="67"/>
      <c r="H105" s="67"/>
      <c r="I105" s="67"/>
      <c r="J105" s="67">
        <v>624</v>
      </c>
      <c r="K105" s="67"/>
      <c r="L105" s="11"/>
      <c r="M105" s="74"/>
      <c r="N105" s="74"/>
      <c r="O105" s="93" t="s">
        <v>69</v>
      </c>
      <c r="P105" s="89" t="s">
        <v>82</v>
      </c>
      <c r="Q105" s="72"/>
      <c r="R105" s="72"/>
      <c r="S105" s="72"/>
      <c r="T105" s="72">
        <v>40</v>
      </c>
      <c r="U105" s="72"/>
      <c r="V105" s="72"/>
      <c r="W105" s="72"/>
      <c r="X105" s="67"/>
    </row>
    <row r="106" spans="2:24" ht="60.75" x14ac:dyDescent="0.25">
      <c r="B106" s="93" t="s">
        <v>69</v>
      </c>
      <c r="C106" s="44" t="s">
        <v>78</v>
      </c>
      <c r="D106" s="67"/>
      <c r="E106" s="67"/>
      <c r="F106" s="67"/>
      <c r="G106" s="67"/>
      <c r="H106" s="67"/>
      <c r="I106" s="67"/>
      <c r="J106" s="94">
        <f>413+68+84</f>
        <v>565</v>
      </c>
      <c r="K106" s="67"/>
      <c r="L106" s="11"/>
      <c r="M106" s="74"/>
      <c r="N106" s="74"/>
      <c r="O106" s="93" t="s">
        <v>69</v>
      </c>
      <c r="P106" s="89" t="s">
        <v>83</v>
      </c>
      <c r="Q106" s="72"/>
      <c r="R106" s="72"/>
      <c r="S106" s="72">
        <f>20+90+375+2010+280+252</f>
        <v>3027</v>
      </c>
      <c r="T106" s="72"/>
      <c r="U106" s="72"/>
      <c r="V106" s="72"/>
      <c r="W106" s="72"/>
      <c r="X106" s="67"/>
    </row>
    <row r="107" spans="2:24" ht="33" customHeight="1" x14ac:dyDescent="0.25">
      <c r="B107" s="93" t="s">
        <v>69</v>
      </c>
      <c r="C107" s="42" t="s">
        <v>75</v>
      </c>
      <c r="D107" s="67"/>
      <c r="E107" s="67"/>
      <c r="F107" s="67"/>
      <c r="G107" s="67"/>
      <c r="H107" s="67"/>
      <c r="I107" s="67"/>
      <c r="J107" s="67">
        <f>116+35.5</f>
        <v>151.5</v>
      </c>
      <c r="K107" s="67"/>
      <c r="L107" s="11"/>
      <c r="M107" s="74"/>
      <c r="N107" s="74"/>
      <c r="O107" s="93" t="s">
        <v>69</v>
      </c>
      <c r="P107" s="90" t="s">
        <v>87</v>
      </c>
      <c r="Q107" s="72"/>
      <c r="R107" s="72">
        <v>400</v>
      </c>
      <c r="S107" s="72"/>
      <c r="T107" s="72"/>
      <c r="U107" s="72"/>
      <c r="V107" s="72"/>
      <c r="W107" s="72"/>
      <c r="X107" s="67"/>
    </row>
    <row r="108" spans="2:24" ht="48" x14ac:dyDescent="0.25">
      <c r="B108" s="93" t="s">
        <v>69</v>
      </c>
      <c r="C108" s="44" t="s">
        <v>71</v>
      </c>
      <c r="D108" s="67"/>
      <c r="E108" s="67"/>
      <c r="F108" s="67">
        <f>1489+350+300+25</f>
        <v>2164</v>
      </c>
      <c r="G108" s="67"/>
      <c r="H108" s="67"/>
      <c r="I108" s="67"/>
      <c r="J108" s="67"/>
      <c r="K108" s="67"/>
      <c r="L108" s="11"/>
      <c r="M108" s="74"/>
      <c r="N108" s="74"/>
      <c r="O108" s="93" t="s">
        <v>69</v>
      </c>
      <c r="P108" s="98" t="s">
        <v>85</v>
      </c>
      <c r="Q108" s="72"/>
      <c r="R108" s="72"/>
      <c r="S108" s="72"/>
      <c r="T108" s="72"/>
      <c r="U108" s="72"/>
      <c r="V108" s="72">
        <f>700+700+700+2224</f>
        <v>4324</v>
      </c>
      <c r="W108" s="72"/>
      <c r="X108" s="67"/>
    </row>
    <row r="109" spans="2:24" ht="18.75" customHeight="1" thickBot="1" x14ac:dyDescent="0.3">
      <c r="B109" s="93" t="s">
        <v>69</v>
      </c>
      <c r="C109" s="42" t="s">
        <v>11</v>
      </c>
      <c r="D109" s="67"/>
      <c r="E109" s="67"/>
      <c r="F109" s="67"/>
      <c r="G109" s="67"/>
      <c r="H109" s="67">
        <f>380+380+470</f>
        <v>1230</v>
      </c>
      <c r="I109" s="67"/>
      <c r="J109" s="67"/>
      <c r="K109" s="67"/>
      <c r="L109" s="11"/>
      <c r="M109" s="74"/>
      <c r="N109" s="74"/>
      <c r="O109" s="93" t="s">
        <v>69</v>
      </c>
      <c r="P109" s="88" t="s">
        <v>34</v>
      </c>
      <c r="Q109" s="72"/>
      <c r="R109" s="72"/>
      <c r="S109" s="72"/>
      <c r="T109" s="72"/>
      <c r="U109" s="72"/>
      <c r="V109" s="72">
        <f>170+136+238+204+170+360</f>
        <v>1278</v>
      </c>
      <c r="W109" s="72"/>
      <c r="X109" s="67"/>
    </row>
    <row r="110" spans="2:24" ht="18.75" customHeight="1" x14ac:dyDescent="0.25">
      <c r="B110" s="93" t="s">
        <v>69</v>
      </c>
      <c r="C110" s="95" t="s">
        <v>46</v>
      </c>
      <c r="D110" s="67"/>
      <c r="E110" s="67"/>
      <c r="F110" s="67"/>
      <c r="G110" s="67"/>
      <c r="H110" s="67"/>
      <c r="I110" s="67"/>
      <c r="J110" s="67"/>
      <c r="K110" s="67"/>
      <c r="L110" s="11">
        <v>500</v>
      </c>
      <c r="M110" s="74"/>
      <c r="N110" s="74"/>
      <c r="O110" s="97"/>
      <c r="P110" s="88"/>
      <c r="Q110" s="72"/>
      <c r="R110" s="72"/>
      <c r="S110" s="72"/>
      <c r="T110" s="72"/>
      <c r="U110" s="72"/>
      <c r="V110" s="72"/>
      <c r="W110" s="72"/>
      <c r="X110" s="67"/>
    </row>
    <row r="111" spans="2:24" ht="18.75" customHeight="1" x14ac:dyDescent="0.25">
      <c r="B111" s="108" t="s">
        <v>69</v>
      </c>
      <c r="C111" s="10" t="s">
        <v>77</v>
      </c>
      <c r="D111" s="67"/>
      <c r="E111" s="67"/>
      <c r="F111" s="67"/>
      <c r="G111" s="67"/>
      <c r="H111" s="67">
        <f>102+68+102+204+85+90</f>
        <v>651</v>
      </c>
      <c r="I111" s="67"/>
      <c r="J111" s="67"/>
      <c r="K111" s="67"/>
      <c r="L111" s="11"/>
      <c r="M111" s="74"/>
      <c r="N111" s="74"/>
      <c r="O111" s="92"/>
      <c r="P111" s="91"/>
      <c r="Q111" s="67"/>
      <c r="R111" s="67"/>
      <c r="S111" s="67"/>
      <c r="T111" s="67"/>
      <c r="U111" s="67"/>
      <c r="V111" s="67"/>
      <c r="W111" s="67"/>
      <c r="X111" s="67"/>
    </row>
    <row r="112" spans="2:24" x14ac:dyDescent="0.25">
      <c r="B112" s="9"/>
      <c r="C112" s="10"/>
      <c r="D112" s="67">
        <v>0</v>
      </c>
      <c r="E112" s="67"/>
      <c r="F112" s="67"/>
      <c r="G112" s="67"/>
      <c r="H112" s="67"/>
      <c r="I112" s="67"/>
      <c r="J112" s="67"/>
      <c r="K112" s="67"/>
      <c r="L112" s="11"/>
      <c r="M112" s="74"/>
      <c r="N112" s="74"/>
      <c r="O112" s="92"/>
      <c r="P112" s="91"/>
      <c r="Q112" s="67"/>
      <c r="R112" s="67"/>
      <c r="S112" s="67"/>
      <c r="T112" s="67"/>
      <c r="U112" s="67"/>
      <c r="V112" s="67"/>
      <c r="W112" s="67"/>
      <c r="X112" s="67"/>
    </row>
    <row r="113" spans="2:24" ht="15.75" thickBot="1" x14ac:dyDescent="0.3">
      <c r="B113" s="9"/>
      <c r="C113" s="34"/>
      <c r="D113" s="73">
        <v>0</v>
      </c>
      <c r="E113" s="73"/>
      <c r="F113" s="73"/>
      <c r="G113" s="73"/>
      <c r="H113" s="73"/>
      <c r="I113" s="73"/>
      <c r="J113" s="73"/>
      <c r="K113" s="73"/>
      <c r="L113" s="20"/>
      <c r="M113" s="74"/>
      <c r="N113" s="74"/>
      <c r="O113" s="46"/>
      <c r="P113" s="51"/>
      <c r="Q113" s="73">
        <v>0</v>
      </c>
      <c r="R113" s="73"/>
      <c r="S113" s="73"/>
      <c r="T113" s="73"/>
      <c r="U113" s="73"/>
      <c r="V113" s="73"/>
      <c r="W113" s="73"/>
      <c r="X113" s="73"/>
    </row>
    <row r="114" spans="2:24" ht="24" thickBot="1" x14ac:dyDescent="0.3">
      <c r="C114" s="35" t="s">
        <v>18</v>
      </c>
      <c r="D114" s="30">
        <f t="shared" ref="D114:L114" si="22">SUM(D100:D113)</f>
        <v>469</v>
      </c>
      <c r="E114" s="31">
        <f t="shared" si="22"/>
        <v>188</v>
      </c>
      <c r="F114" s="31">
        <f t="shared" si="22"/>
        <v>2259</v>
      </c>
      <c r="G114" s="31">
        <f t="shared" si="22"/>
        <v>0</v>
      </c>
      <c r="H114" s="31">
        <f t="shared" si="22"/>
        <v>1881</v>
      </c>
      <c r="I114" s="31">
        <f t="shared" si="22"/>
        <v>829</v>
      </c>
      <c r="J114" s="22">
        <f t="shared" si="22"/>
        <v>1340.5</v>
      </c>
      <c r="K114" s="32">
        <f t="shared" si="22"/>
        <v>6236</v>
      </c>
      <c r="L114" s="100">
        <f t="shared" si="22"/>
        <v>500</v>
      </c>
      <c r="M114" s="75"/>
      <c r="N114" s="74"/>
      <c r="P114" s="33" t="s">
        <v>18</v>
      </c>
      <c r="Q114" s="21">
        <f t="shared" ref="Q114:X114" si="23">SUM(Q100:Q113)</f>
        <v>1055</v>
      </c>
      <c r="R114" s="21">
        <f t="shared" si="23"/>
        <v>1176</v>
      </c>
      <c r="S114" s="21">
        <f t="shared" si="23"/>
        <v>3027</v>
      </c>
      <c r="T114" s="21">
        <f t="shared" si="23"/>
        <v>40</v>
      </c>
      <c r="U114" s="21">
        <f t="shared" si="23"/>
        <v>400</v>
      </c>
      <c r="V114" s="21">
        <f t="shared" si="23"/>
        <v>5602</v>
      </c>
      <c r="W114" s="21">
        <f t="shared" si="23"/>
        <v>1880</v>
      </c>
      <c r="X114" s="21">
        <f t="shared" si="23"/>
        <v>6403</v>
      </c>
    </row>
    <row r="115" spans="2:24" ht="15.75" thickBot="1" x14ac:dyDescent="0.3">
      <c r="D115" s="5"/>
      <c r="E115" s="5"/>
      <c r="F115" s="5"/>
      <c r="G115" s="5"/>
      <c r="H115" s="5"/>
      <c r="I115" s="5"/>
      <c r="J115" s="5"/>
      <c r="K115" s="5"/>
      <c r="L115" s="78"/>
      <c r="M115" s="76"/>
      <c r="N115" s="74"/>
      <c r="Q115" s="5"/>
      <c r="R115" s="5"/>
      <c r="S115" s="5"/>
      <c r="T115" s="5"/>
      <c r="U115" s="5"/>
      <c r="V115" s="5"/>
      <c r="W115" s="5"/>
      <c r="X115" s="5"/>
    </row>
    <row r="116" spans="2:24" ht="21.75" thickBot="1" x14ac:dyDescent="0.4">
      <c r="D116" s="5"/>
      <c r="E116" s="5"/>
      <c r="F116" s="267">
        <f>K114+J114+I114+H114+G114+F114+E114+D114+L114</f>
        <v>13702.5</v>
      </c>
      <c r="G116" s="268"/>
      <c r="H116" s="269"/>
      <c r="I116" s="5"/>
      <c r="J116" s="5"/>
      <c r="K116" s="5"/>
      <c r="L116" s="78"/>
      <c r="M116" s="76"/>
      <c r="N116" s="74"/>
      <c r="Q116" s="5"/>
      <c r="R116" s="5"/>
      <c r="S116" s="270">
        <f>Q114+R114+S114+T114+U114+V114+W114+X114</f>
        <v>19583</v>
      </c>
      <c r="T116" s="271"/>
      <c r="U116" s="272"/>
      <c r="V116" s="5">
        <v>19583</v>
      </c>
      <c r="W116" s="5"/>
      <c r="X116" s="5"/>
    </row>
    <row r="117" spans="2:24" x14ac:dyDescent="0.25">
      <c r="D117" s="5"/>
      <c r="E117" s="5"/>
      <c r="F117" s="5"/>
      <c r="G117" s="5"/>
      <c r="H117" s="5"/>
      <c r="J117" s="5"/>
      <c r="K117" s="5"/>
      <c r="L117" s="78"/>
      <c r="M117" s="76"/>
      <c r="N117" s="74"/>
      <c r="Q117" s="5"/>
      <c r="R117" s="5"/>
      <c r="S117" s="5"/>
      <c r="T117" s="5"/>
      <c r="U117" s="5"/>
      <c r="V117" s="5"/>
      <c r="W117" s="5"/>
      <c r="X117" s="5"/>
    </row>
    <row r="118" spans="2:24" x14ac:dyDescent="0.25">
      <c r="D118" s="5"/>
      <c r="E118" s="5"/>
      <c r="F118" s="5"/>
      <c r="G118" s="5"/>
      <c r="H118" s="5"/>
      <c r="I118" s="5"/>
      <c r="J118" s="5"/>
      <c r="K118" s="5"/>
      <c r="L118" s="78"/>
      <c r="M118" s="76"/>
      <c r="N118" s="74"/>
    </row>
    <row r="119" spans="2:24" ht="15.75" thickBot="1" x14ac:dyDescent="0.3">
      <c r="D119" s="5"/>
      <c r="E119" s="5"/>
      <c r="F119" s="5"/>
      <c r="G119" s="5"/>
      <c r="H119" s="5"/>
      <c r="I119" s="5"/>
      <c r="J119" s="5"/>
      <c r="K119" s="5"/>
      <c r="L119" s="78"/>
      <c r="M119" s="79"/>
      <c r="N119" s="74"/>
    </row>
    <row r="129" spans="2:24" ht="15.75" thickBot="1" x14ac:dyDescent="0.3"/>
    <row r="130" spans="2:24" ht="22.5" thickTop="1" thickBot="1" x14ac:dyDescent="0.4">
      <c r="C130" s="260" t="s">
        <v>36</v>
      </c>
      <c r="D130" s="261"/>
      <c r="E130" s="261"/>
      <c r="F130" s="261"/>
      <c r="G130" s="261"/>
      <c r="H130" s="261"/>
      <c r="I130" s="261"/>
      <c r="J130" s="261"/>
      <c r="K130" s="261"/>
      <c r="L130" s="84" t="s">
        <v>42</v>
      </c>
      <c r="M130" s="83"/>
      <c r="N130" s="81"/>
      <c r="O130" s="273" t="s">
        <v>19</v>
      </c>
      <c r="P130" s="274"/>
      <c r="Q130" s="274"/>
      <c r="R130" s="274"/>
      <c r="S130" s="274"/>
      <c r="T130" s="274"/>
      <c r="U130" s="274"/>
      <c r="V130" s="274"/>
      <c r="W130" s="274"/>
      <c r="X130" s="85" t="s">
        <v>42</v>
      </c>
    </row>
    <row r="131" spans="2:24" ht="16.5" thickBot="1" x14ac:dyDescent="0.3">
      <c r="I131" s="264" t="s">
        <v>67</v>
      </c>
      <c r="J131" s="265"/>
      <c r="K131" s="266"/>
      <c r="L131" s="68"/>
      <c r="M131" s="59"/>
      <c r="N131" s="74"/>
      <c r="W131" s="265"/>
      <c r="X131" s="266"/>
    </row>
    <row r="132" spans="2:24" ht="64.5" thickTop="1" thickBot="1" x14ac:dyDescent="0.3">
      <c r="B132" s="6" t="s">
        <v>0</v>
      </c>
      <c r="C132" s="24" t="s">
        <v>1</v>
      </c>
      <c r="D132" s="25" t="s">
        <v>2</v>
      </c>
      <c r="E132" s="26" t="s">
        <v>7</v>
      </c>
      <c r="F132" s="56" t="s">
        <v>38</v>
      </c>
      <c r="G132" s="25" t="s">
        <v>3</v>
      </c>
      <c r="H132" s="27" t="s">
        <v>22</v>
      </c>
      <c r="I132" s="60" t="s">
        <v>4</v>
      </c>
      <c r="J132" s="61" t="s">
        <v>8</v>
      </c>
      <c r="K132" s="62" t="s">
        <v>5</v>
      </c>
      <c r="L132" s="99" t="s">
        <v>46</v>
      </c>
      <c r="M132" s="38"/>
      <c r="N132" s="82"/>
      <c r="O132" s="36" t="s">
        <v>0</v>
      </c>
      <c r="P132" s="18" t="s">
        <v>1</v>
      </c>
      <c r="Q132" s="64" t="s">
        <v>2</v>
      </c>
      <c r="R132" s="19" t="s">
        <v>16</v>
      </c>
      <c r="S132" s="54" t="s">
        <v>38</v>
      </c>
      <c r="T132" s="14" t="s">
        <v>3</v>
      </c>
      <c r="U132" s="14" t="s">
        <v>4</v>
      </c>
      <c r="V132" s="55" t="s">
        <v>25</v>
      </c>
      <c r="W132" s="57" t="s">
        <v>8</v>
      </c>
      <c r="X132" s="58" t="s">
        <v>5</v>
      </c>
    </row>
    <row r="133" spans="2:24" ht="37.5" thickBot="1" x14ac:dyDescent="0.3">
      <c r="B133" s="93" t="s">
        <v>43</v>
      </c>
      <c r="C133" s="41" t="s">
        <v>6</v>
      </c>
      <c r="D133" s="72">
        <f>170</f>
        <v>170</v>
      </c>
      <c r="E133" s="72"/>
      <c r="F133" s="72"/>
      <c r="G133" s="72"/>
      <c r="H133" s="72"/>
      <c r="I133" s="72"/>
      <c r="J133" s="72"/>
      <c r="K133" s="72"/>
      <c r="L133" s="70"/>
      <c r="M133" s="74"/>
      <c r="N133" s="74"/>
      <c r="O133" s="97" t="s">
        <v>43</v>
      </c>
      <c r="P133" s="86" t="s">
        <v>63</v>
      </c>
      <c r="Q133" s="72"/>
      <c r="R133" s="72"/>
      <c r="S133" s="72"/>
      <c r="T133" s="72"/>
      <c r="U133" s="72"/>
      <c r="V133" s="72"/>
      <c r="W133" s="72"/>
      <c r="X133" s="72">
        <f>725+922+1369+794+1333</f>
        <v>5143</v>
      </c>
    </row>
    <row r="134" spans="2:24" ht="61.5" thickBot="1" x14ac:dyDescent="0.3">
      <c r="B134" s="93" t="s">
        <v>43</v>
      </c>
      <c r="C134" s="44" t="s">
        <v>59</v>
      </c>
      <c r="D134" s="67"/>
      <c r="E134" s="67"/>
      <c r="F134" s="67"/>
      <c r="G134" s="67"/>
      <c r="H134" s="67"/>
      <c r="I134" s="67"/>
      <c r="J134" s="67"/>
      <c r="K134" s="67">
        <f>636+788+1081+941+1337</f>
        <v>4783</v>
      </c>
      <c r="L134" s="67"/>
      <c r="M134" s="74"/>
      <c r="N134" s="74"/>
      <c r="O134" s="97" t="s">
        <v>43</v>
      </c>
      <c r="P134" s="89" t="s">
        <v>64</v>
      </c>
      <c r="Q134" s="72"/>
      <c r="R134" s="72"/>
      <c r="S134" s="72"/>
      <c r="T134" s="72"/>
      <c r="U134" s="72"/>
      <c r="V134" s="72"/>
      <c r="W134" s="72">
        <f>1900+239+144+218+805+355+251.5+250+287</f>
        <v>4449.5</v>
      </c>
      <c r="X134" s="67"/>
    </row>
    <row r="135" spans="2:24" ht="30.75" thickBot="1" x14ac:dyDescent="0.3">
      <c r="B135" s="93" t="s">
        <v>43</v>
      </c>
      <c r="C135" s="43" t="s">
        <v>56</v>
      </c>
      <c r="D135" s="67"/>
      <c r="E135" s="67"/>
      <c r="F135" s="67"/>
      <c r="G135" s="67"/>
      <c r="H135" s="67">
        <f>51+68+68+140+84+90+68</f>
        <v>569</v>
      </c>
      <c r="I135" s="67"/>
      <c r="J135" s="67"/>
      <c r="K135" s="67"/>
      <c r="L135" s="11"/>
      <c r="M135" s="74"/>
      <c r="N135" s="74"/>
      <c r="O135" s="97" t="s">
        <v>43</v>
      </c>
      <c r="P135" s="87" t="s">
        <v>48</v>
      </c>
      <c r="Q135" s="72">
        <f>117+540+250</f>
        <v>907</v>
      </c>
      <c r="R135" s="72"/>
      <c r="S135" s="72"/>
      <c r="T135" s="72"/>
      <c r="U135" s="72"/>
      <c r="V135" s="72"/>
      <c r="W135" s="72"/>
      <c r="X135" s="67"/>
    </row>
    <row r="136" spans="2:24" ht="26.25" thickBot="1" x14ac:dyDescent="0.3">
      <c r="B136" s="93" t="s">
        <v>43</v>
      </c>
      <c r="C136" s="96" t="s">
        <v>45</v>
      </c>
      <c r="D136" s="67"/>
      <c r="E136" s="67">
        <v>369</v>
      </c>
      <c r="F136" s="67"/>
      <c r="G136" s="67"/>
      <c r="H136" s="67"/>
      <c r="I136" s="67">
        <f>403</f>
        <v>403</v>
      </c>
      <c r="J136" s="67"/>
      <c r="K136" s="67"/>
      <c r="L136" s="11"/>
      <c r="M136" s="74"/>
      <c r="N136" s="74"/>
      <c r="O136" s="97" t="s">
        <v>43</v>
      </c>
      <c r="P136" s="88" t="s">
        <v>12</v>
      </c>
      <c r="Q136" s="72"/>
      <c r="R136" s="72"/>
      <c r="S136" s="72"/>
      <c r="T136" s="72"/>
      <c r="U136" s="72">
        <v>403</v>
      </c>
      <c r="V136" s="72"/>
      <c r="W136" s="72"/>
      <c r="X136" s="67"/>
    </row>
    <row r="137" spans="2:24" ht="25.5" thickBot="1" x14ac:dyDescent="0.3">
      <c r="B137" s="93" t="s">
        <v>43</v>
      </c>
      <c r="C137" s="43" t="s">
        <v>27</v>
      </c>
      <c r="D137" s="67"/>
      <c r="E137" s="67"/>
      <c r="F137" s="67"/>
      <c r="G137" s="67"/>
      <c r="H137" s="67"/>
      <c r="I137" s="67"/>
      <c r="J137" s="67"/>
      <c r="K137" s="67"/>
      <c r="L137" s="11"/>
      <c r="M137" s="74"/>
      <c r="N137" s="74"/>
      <c r="O137" s="97" t="s">
        <v>43</v>
      </c>
      <c r="P137" s="89" t="s">
        <v>62</v>
      </c>
      <c r="Q137" s="72"/>
      <c r="R137" s="72">
        <f>38+42+9</f>
        <v>89</v>
      </c>
      <c r="S137" s="72"/>
      <c r="T137" s="72"/>
      <c r="U137" s="72"/>
      <c r="V137" s="72"/>
      <c r="W137" s="72"/>
      <c r="X137" s="67"/>
    </row>
    <row r="138" spans="2:24" ht="36.75" thickBot="1" x14ac:dyDescent="0.3">
      <c r="B138" s="93" t="s">
        <v>43</v>
      </c>
      <c r="C138" s="44" t="s">
        <v>31</v>
      </c>
      <c r="D138" s="67"/>
      <c r="E138" s="67"/>
      <c r="F138" s="67"/>
      <c r="G138" s="67"/>
      <c r="H138" s="67"/>
      <c r="I138" s="67"/>
      <c r="J138" s="67"/>
      <c r="K138" s="67"/>
      <c r="L138" s="11"/>
      <c r="M138" s="74"/>
      <c r="N138" s="74"/>
      <c r="O138" s="97" t="s">
        <v>43</v>
      </c>
      <c r="P138" s="89" t="s">
        <v>47</v>
      </c>
      <c r="Q138" s="72"/>
      <c r="R138" s="72"/>
      <c r="S138" s="72"/>
      <c r="T138" s="72">
        <v>58</v>
      </c>
      <c r="U138" s="72"/>
      <c r="V138" s="72"/>
      <c r="W138" s="72"/>
      <c r="X138" s="67"/>
    </row>
    <row r="139" spans="2:24" ht="49.5" thickBot="1" x14ac:dyDescent="0.3">
      <c r="B139" s="93" t="s">
        <v>43</v>
      </c>
      <c r="C139" s="44" t="s">
        <v>58</v>
      </c>
      <c r="D139" s="67"/>
      <c r="E139" s="67"/>
      <c r="F139" s="67"/>
      <c r="G139" s="67"/>
      <c r="H139" s="67"/>
      <c r="I139" s="67"/>
      <c r="J139" s="94">
        <f>1511+444+20+287+262.5</f>
        <v>2524.5</v>
      </c>
      <c r="K139" s="67"/>
      <c r="L139" s="11"/>
      <c r="M139" s="74"/>
      <c r="N139" s="74"/>
      <c r="O139" s="97" t="s">
        <v>43</v>
      </c>
      <c r="P139" s="89" t="s">
        <v>65</v>
      </c>
      <c r="Q139" s="72"/>
      <c r="R139" s="72"/>
      <c r="S139" s="72">
        <f>50+45+14+2300+35</f>
        <v>2444</v>
      </c>
      <c r="T139" s="72"/>
      <c r="U139" s="72"/>
      <c r="V139" s="72"/>
      <c r="W139" s="72"/>
      <c r="X139" s="67"/>
    </row>
    <row r="140" spans="2:24" ht="27" thickBot="1" x14ac:dyDescent="0.3">
      <c r="B140" s="93" t="s">
        <v>43</v>
      </c>
      <c r="C140" s="42" t="s">
        <v>44</v>
      </c>
      <c r="D140" s="67"/>
      <c r="E140" s="67"/>
      <c r="F140" s="67"/>
      <c r="G140" s="67"/>
      <c r="H140" s="67"/>
      <c r="I140" s="67"/>
      <c r="J140" s="67">
        <f>127</f>
        <v>127</v>
      </c>
      <c r="K140" s="67"/>
      <c r="L140" s="11"/>
      <c r="M140" s="74"/>
      <c r="N140" s="74"/>
      <c r="O140" s="97" t="s">
        <v>43</v>
      </c>
      <c r="P140" s="90" t="s">
        <v>15</v>
      </c>
      <c r="Q140" s="72"/>
      <c r="R140" s="72"/>
      <c r="S140" s="72"/>
      <c r="T140" s="72"/>
      <c r="U140" s="72"/>
      <c r="V140" s="72"/>
      <c r="W140" s="72"/>
      <c r="X140" s="67"/>
    </row>
    <row r="141" spans="2:24" ht="48.75" thickBot="1" x14ac:dyDescent="0.3">
      <c r="B141" s="93" t="s">
        <v>43</v>
      </c>
      <c r="C141" s="44" t="s">
        <v>57</v>
      </c>
      <c r="D141" s="67"/>
      <c r="E141" s="67"/>
      <c r="F141" s="67">
        <f>40+70+2070+30+54</f>
        <v>2264</v>
      </c>
      <c r="G141" s="67"/>
      <c r="H141" s="67"/>
      <c r="I141" s="67"/>
      <c r="J141" s="67"/>
      <c r="K141" s="67"/>
      <c r="L141" s="11"/>
      <c r="M141" s="74"/>
      <c r="N141" s="74"/>
      <c r="O141" s="97" t="s">
        <v>43</v>
      </c>
      <c r="P141" s="98" t="s">
        <v>49</v>
      </c>
      <c r="Q141" s="72"/>
      <c r="R141" s="72"/>
      <c r="S141" s="72"/>
      <c r="T141" s="72"/>
      <c r="U141" s="72"/>
      <c r="V141" s="72">
        <f>700+700+710+2258+140</f>
        <v>4508</v>
      </c>
      <c r="W141" s="72"/>
      <c r="X141" s="67"/>
    </row>
    <row r="142" spans="2:24" ht="24.75" thickBot="1" x14ac:dyDescent="0.3">
      <c r="B142" s="93" t="s">
        <v>43</v>
      </c>
      <c r="C142" s="42" t="s">
        <v>11</v>
      </c>
      <c r="D142" s="67"/>
      <c r="E142" s="67"/>
      <c r="F142" s="67"/>
      <c r="G142" s="67"/>
      <c r="H142" s="67">
        <f>380+380+470</f>
        <v>1230</v>
      </c>
      <c r="I142" s="67"/>
      <c r="J142" s="67"/>
      <c r="K142" s="67"/>
      <c r="L142" s="11"/>
      <c r="M142" s="74"/>
      <c r="N142" s="74"/>
      <c r="O142" s="97" t="s">
        <v>43</v>
      </c>
      <c r="P142" s="88" t="s">
        <v>34</v>
      </c>
      <c r="Q142" s="72"/>
      <c r="R142" s="72"/>
      <c r="S142" s="72"/>
      <c r="T142" s="72"/>
      <c r="U142" s="72"/>
      <c r="V142" s="72">
        <f>68+170+170+170+280+221</f>
        <v>1079</v>
      </c>
      <c r="W142" s="72"/>
      <c r="X142" s="67"/>
    </row>
    <row r="143" spans="2:24" ht="24" x14ac:dyDescent="0.25">
      <c r="B143" s="93" t="s">
        <v>43</v>
      </c>
      <c r="C143" s="95" t="s">
        <v>46</v>
      </c>
      <c r="D143" s="67"/>
      <c r="E143" s="67"/>
      <c r="F143" s="67"/>
      <c r="G143" s="67"/>
      <c r="H143" s="67"/>
      <c r="I143" s="67"/>
      <c r="J143" s="67"/>
      <c r="K143" s="67"/>
      <c r="L143" s="11">
        <f>765+243</f>
        <v>1008</v>
      </c>
      <c r="M143" s="74"/>
      <c r="N143" s="74"/>
      <c r="O143" s="97" t="s">
        <v>43</v>
      </c>
      <c r="P143" s="88"/>
      <c r="Q143" s="72"/>
      <c r="R143" s="72"/>
      <c r="S143" s="72"/>
      <c r="T143" s="72"/>
      <c r="U143" s="72"/>
      <c r="V143" s="72"/>
      <c r="W143" s="72"/>
      <c r="X143" s="67"/>
    </row>
    <row r="144" spans="2:24" x14ac:dyDescent="0.25">
      <c r="B144" s="9"/>
      <c r="C144" s="10"/>
      <c r="D144" s="67"/>
      <c r="E144" s="67"/>
      <c r="F144" s="67"/>
      <c r="G144" s="67"/>
      <c r="H144" s="67"/>
      <c r="I144" s="67"/>
      <c r="J144" s="67"/>
      <c r="K144" s="67"/>
      <c r="L144" s="11"/>
      <c r="M144" s="74"/>
      <c r="N144" s="74"/>
      <c r="O144" s="92"/>
      <c r="P144" s="91"/>
      <c r="Q144" s="67"/>
      <c r="R144" s="67"/>
      <c r="S144" s="67"/>
      <c r="T144" s="67"/>
      <c r="U144" s="67"/>
      <c r="V144" s="67"/>
      <c r="W144" s="67"/>
      <c r="X144" s="67"/>
    </row>
    <row r="145" spans="2:26" x14ac:dyDescent="0.25">
      <c r="B145" s="9"/>
      <c r="C145" s="10"/>
      <c r="D145" s="67">
        <v>0</v>
      </c>
      <c r="E145" s="67"/>
      <c r="F145" s="67"/>
      <c r="G145" s="67"/>
      <c r="H145" s="67"/>
      <c r="I145" s="67"/>
      <c r="J145" s="67"/>
      <c r="K145" s="67"/>
      <c r="L145" s="11"/>
      <c r="M145" s="74"/>
      <c r="N145" s="74"/>
      <c r="O145" s="92"/>
      <c r="P145" s="91"/>
      <c r="Q145" s="67"/>
      <c r="R145" s="67"/>
      <c r="S145" s="67"/>
      <c r="T145" s="67"/>
      <c r="U145" s="67"/>
      <c r="V145" s="67"/>
      <c r="W145" s="67"/>
      <c r="X145" s="67"/>
    </row>
    <row r="146" spans="2:26" ht="15.75" thickBot="1" x14ac:dyDescent="0.3">
      <c r="B146" s="9"/>
      <c r="C146" s="34"/>
      <c r="D146" s="73">
        <v>0</v>
      </c>
      <c r="E146" s="73"/>
      <c r="F146" s="73"/>
      <c r="G146" s="73"/>
      <c r="H146" s="73"/>
      <c r="I146" s="73"/>
      <c r="J146" s="73"/>
      <c r="K146" s="73"/>
      <c r="L146" s="20"/>
      <c r="M146" s="74"/>
      <c r="N146" s="74"/>
      <c r="O146" s="46"/>
      <c r="P146" s="51"/>
      <c r="Q146" s="73">
        <v>0</v>
      </c>
      <c r="R146" s="73"/>
      <c r="S146" s="73"/>
      <c r="T146" s="73"/>
      <c r="U146" s="73"/>
      <c r="V146" s="73"/>
      <c r="W146" s="73"/>
      <c r="X146" s="73"/>
    </row>
    <row r="147" spans="2:26" ht="24" thickBot="1" x14ac:dyDescent="0.3">
      <c r="C147" s="35" t="s">
        <v>18</v>
      </c>
      <c r="D147" s="30">
        <f t="shared" ref="D147:L147" si="24">SUM(D133:D146)</f>
        <v>170</v>
      </c>
      <c r="E147" s="31">
        <f t="shared" si="24"/>
        <v>369</v>
      </c>
      <c r="F147" s="31">
        <f t="shared" si="24"/>
        <v>2264</v>
      </c>
      <c r="G147" s="31">
        <f t="shared" si="24"/>
        <v>0</v>
      </c>
      <c r="H147" s="31">
        <f t="shared" si="24"/>
        <v>1799</v>
      </c>
      <c r="I147" s="31">
        <f t="shared" si="24"/>
        <v>403</v>
      </c>
      <c r="J147" s="22">
        <f t="shared" si="24"/>
        <v>2651.5</v>
      </c>
      <c r="K147" s="32">
        <f t="shared" si="24"/>
        <v>4783</v>
      </c>
      <c r="L147" s="100">
        <f t="shared" si="24"/>
        <v>1008</v>
      </c>
      <c r="M147" s="75"/>
      <c r="N147" s="74"/>
      <c r="P147" s="33" t="s">
        <v>18</v>
      </c>
      <c r="Q147" s="21">
        <f t="shared" ref="Q147:X147" si="25">SUM(Q133:Q146)</f>
        <v>907</v>
      </c>
      <c r="R147" s="22">
        <f t="shared" si="25"/>
        <v>89</v>
      </c>
      <c r="S147" s="22">
        <f t="shared" si="25"/>
        <v>2444</v>
      </c>
      <c r="T147" s="22">
        <f t="shared" si="25"/>
        <v>58</v>
      </c>
      <c r="U147" s="22">
        <f t="shared" si="25"/>
        <v>403</v>
      </c>
      <c r="V147" s="22">
        <f t="shared" si="25"/>
        <v>5587</v>
      </c>
      <c r="W147" s="22">
        <f t="shared" si="25"/>
        <v>4449.5</v>
      </c>
      <c r="X147" s="23">
        <f t="shared" si="25"/>
        <v>5143</v>
      </c>
    </row>
    <row r="148" spans="2:26" ht="15.75" thickBot="1" x14ac:dyDescent="0.3">
      <c r="D148" s="5"/>
      <c r="E148" s="5"/>
      <c r="F148" s="5"/>
      <c r="G148" s="5"/>
      <c r="H148" s="5"/>
      <c r="I148" s="5"/>
      <c r="J148" s="5"/>
      <c r="K148" s="5"/>
      <c r="L148" s="78"/>
      <c r="M148" s="76"/>
      <c r="N148" s="74"/>
      <c r="Q148" s="5"/>
      <c r="R148" s="5"/>
      <c r="S148" s="5"/>
      <c r="T148" s="5"/>
      <c r="U148" s="5"/>
      <c r="V148" s="5"/>
      <c r="W148" s="5"/>
      <c r="X148" s="5"/>
    </row>
    <row r="149" spans="2:26" ht="21.75" thickBot="1" x14ac:dyDescent="0.4">
      <c r="D149" s="5"/>
      <c r="E149" s="5"/>
      <c r="F149" s="267">
        <f>K147+J147+I147+H147+G147+F147+E147+D147+L147</f>
        <v>13447.5</v>
      </c>
      <c r="G149" s="268"/>
      <c r="H149" s="269"/>
      <c r="I149" s="5"/>
      <c r="J149" s="5">
        <v>13447.5</v>
      </c>
      <c r="K149" s="5"/>
      <c r="L149" s="78"/>
      <c r="M149" s="76"/>
      <c r="N149" s="74"/>
      <c r="Q149" s="5"/>
      <c r="R149" s="5"/>
      <c r="S149" s="270">
        <f>Q147+R147+S147+T147+U147+V147+W147+X147</f>
        <v>19080.5</v>
      </c>
      <c r="T149" s="271"/>
      <c r="U149" s="272"/>
      <c r="V149" s="5">
        <v>19080.5</v>
      </c>
      <c r="W149" s="5"/>
      <c r="X149" s="5"/>
    </row>
    <row r="150" spans="2:26" x14ac:dyDescent="0.25">
      <c r="D150" s="5"/>
      <c r="E150" s="5"/>
      <c r="F150" s="5"/>
      <c r="G150" s="5"/>
      <c r="H150" s="5"/>
      <c r="J150" s="5"/>
      <c r="K150" s="5"/>
      <c r="L150" s="78"/>
      <c r="M150" s="76"/>
      <c r="N150" s="74"/>
      <c r="Q150" s="5"/>
      <c r="R150" s="5"/>
      <c r="S150" s="5"/>
      <c r="T150" s="5"/>
      <c r="U150" s="5"/>
      <c r="V150" s="5"/>
      <c r="W150" s="5"/>
      <c r="X150" s="5"/>
    </row>
    <row r="151" spans="2:26" x14ac:dyDescent="0.25">
      <c r="D151" s="5"/>
      <c r="E151" s="5"/>
      <c r="F151" s="5"/>
      <c r="G151" s="5"/>
      <c r="H151" s="5"/>
      <c r="I151" s="5"/>
      <c r="J151" s="5"/>
      <c r="K151" s="5"/>
      <c r="L151" s="78"/>
      <c r="M151" s="76"/>
      <c r="N151" s="74"/>
      <c r="Q151" s="5"/>
      <c r="R151" s="5"/>
      <c r="S151" s="5"/>
      <c r="T151" s="5"/>
      <c r="U151" s="5"/>
      <c r="V151" s="5"/>
      <c r="W151" s="5"/>
      <c r="X151" s="5"/>
    </row>
    <row r="152" spans="2:26" ht="15.75" thickBot="1" x14ac:dyDescent="0.3">
      <c r="D152" s="5"/>
      <c r="E152" s="5"/>
      <c r="F152" s="5"/>
      <c r="G152" s="5"/>
      <c r="H152" s="5"/>
      <c r="I152" s="5"/>
      <c r="J152" s="5"/>
      <c r="K152" s="5"/>
      <c r="L152" s="78"/>
      <c r="M152" s="79"/>
      <c r="N152" s="74"/>
      <c r="Q152" s="5"/>
      <c r="R152" s="5"/>
      <c r="S152" s="5"/>
      <c r="T152" s="5"/>
      <c r="U152" s="5"/>
      <c r="V152" s="5"/>
      <c r="W152" s="5"/>
      <c r="X152" s="5"/>
    </row>
    <row r="153" spans="2:26" x14ac:dyDescent="0.25">
      <c r="L153" s="80"/>
      <c r="M153" s="80"/>
    </row>
    <row r="154" spans="2:26" x14ac:dyDescent="0.25">
      <c r="L154" s="80"/>
      <c r="M154" s="80"/>
    </row>
    <row r="155" spans="2:26" ht="15.75" thickBot="1" x14ac:dyDescent="0.3"/>
    <row r="156" spans="2:26" ht="22.5" thickTop="1" thickBot="1" x14ac:dyDescent="0.4">
      <c r="C156" s="260" t="s">
        <v>36</v>
      </c>
      <c r="D156" s="261"/>
      <c r="E156" s="261"/>
      <c r="F156" s="261"/>
      <c r="G156" s="261"/>
      <c r="H156" s="261"/>
      <c r="I156" s="261"/>
      <c r="J156" s="261"/>
      <c r="K156" s="261"/>
      <c r="L156" s="84" t="s">
        <v>41</v>
      </c>
      <c r="M156" s="83"/>
      <c r="N156" s="81"/>
      <c r="O156" s="273" t="s">
        <v>19</v>
      </c>
      <c r="P156" s="274"/>
      <c r="Q156" s="274"/>
      <c r="R156" s="274"/>
      <c r="S156" s="274"/>
      <c r="T156" s="274"/>
      <c r="U156" s="274"/>
      <c r="V156" s="274"/>
      <c r="W156" s="274"/>
      <c r="X156" s="85" t="s">
        <v>41</v>
      </c>
    </row>
    <row r="157" spans="2:26" ht="16.5" thickBot="1" x14ac:dyDescent="0.3">
      <c r="I157" s="264" t="s">
        <v>37</v>
      </c>
      <c r="J157" s="265"/>
      <c r="K157" s="266"/>
      <c r="L157" s="68"/>
      <c r="M157" s="59"/>
      <c r="N157" s="74"/>
      <c r="W157" s="265"/>
      <c r="X157" s="266"/>
    </row>
    <row r="158" spans="2:26" s="2" customFormat="1" ht="64.5" thickTop="1" thickBot="1" x14ac:dyDescent="0.3">
      <c r="B158" s="6" t="s">
        <v>0</v>
      </c>
      <c r="C158" s="24" t="s">
        <v>1</v>
      </c>
      <c r="D158" s="25" t="s">
        <v>2</v>
      </c>
      <c r="E158" s="26" t="s">
        <v>7</v>
      </c>
      <c r="F158" s="56" t="s">
        <v>38</v>
      </c>
      <c r="G158" s="25" t="s">
        <v>3</v>
      </c>
      <c r="H158" s="27" t="s">
        <v>22</v>
      </c>
      <c r="I158" s="60" t="s">
        <v>4</v>
      </c>
      <c r="J158" s="61" t="s">
        <v>8</v>
      </c>
      <c r="K158" s="62" t="s">
        <v>5</v>
      </c>
      <c r="L158" s="69"/>
      <c r="M158" s="38"/>
      <c r="N158" s="82"/>
      <c r="O158" s="36" t="s">
        <v>0</v>
      </c>
      <c r="P158" s="18" t="s">
        <v>1</v>
      </c>
      <c r="Q158" s="64" t="s">
        <v>2</v>
      </c>
      <c r="R158" s="19" t="s">
        <v>16</v>
      </c>
      <c r="S158" s="54" t="s">
        <v>38</v>
      </c>
      <c r="T158" s="14" t="s">
        <v>3</v>
      </c>
      <c r="U158" s="14" t="s">
        <v>4</v>
      </c>
      <c r="V158" s="55" t="s">
        <v>25</v>
      </c>
      <c r="W158" s="57" t="s">
        <v>8</v>
      </c>
      <c r="X158" s="58" t="s">
        <v>5</v>
      </c>
    </row>
    <row r="159" spans="2:26" ht="48.75" x14ac:dyDescent="0.25">
      <c r="B159" s="40" t="s">
        <v>20</v>
      </c>
      <c r="C159" s="41" t="s">
        <v>6</v>
      </c>
      <c r="D159" s="72">
        <v>160</v>
      </c>
      <c r="E159" s="72">
        <v>0</v>
      </c>
      <c r="F159" s="72">
        <v>0</v>
      </c>
      <c r="G159" s="72">
        <v>0</v>
      </c>
      <c r="H159" s="72">
        <v>0</v>
      </c>
      <c r="I159" s="72">
        <v>0</v>
      </c>
      <c r="J159" s="72"/>
      <c r="K159" s="72">
        <v>0</v>
      </c>
      <c r="L159" s="70"/>
      <c r="M159" s="74"/>
      <c r="N159" s="74"/>
      <c r="O159" s="52" t="s">
        <v>20</v>
      </c>
      <c r="P159" s="53" t="s">
        <v>35</v>
      </c>
      <c r="Q159" s="72">
        <v>0</v>
      </c>
      <c r="R159" s="72">
        <v>0</v>
      </c>
      <c r="S159" s="72">
        <v>0</v>
      </c>
      <c r="T159" s="72">
        <v>0</v>
      </c>
      <c r="U159" s="72">
        <v>0</v>
      </c>
      <c r="V159" s="72">
        <v>0</v>
      </c>
      <c r="W159" s="72">
        <v>0</v>
      </c>
      <c r="X159" s="72">
        <f>109+1973+1400+1641+70+756+830</f>
        <v>6779</v>
      </c>
      <c r="Y159" s="65"/>
      <c r="Z159" s="65"/>
    </row>
    <row r="160" spans="2:26" ht="45.75" customHeight="1" x14ac:dyDescent="0.25">
      <c r="B160" s="40" t="s">
        <v>20</v>
      </c>
      <c r="C160" s="44" t="s">
        <v>29</v>
      </c>
      <c r="D160" s="67">
        <v>0</v>
      </c>
      <c r="E160" s="67">
        <v>0</v>
      </c>
      <c r="F160" s="67">
        <v>0</v>
      </c>
      <c r="G160" s="67">
        <v>0</v>
      </c>
      <c r="H160" s="67">
        <v>0</v>
      </c>
      <c r="I160" s="67">
        <v>0</v>
      </c>
      <c r="J160" s="67"/>
      <c r="K160" s="67">
        <f>542+680+1493+1388+806+1177</f>
        <v>6086</v>
      </c>
      <c r="L160" s="71"/>
      <c r="M160" s="74"/>
      <c r="N160" s="74"/>
      <c r="O160" s="52" t="s">
        <v>20</v>
      </c>
      <c r="P160" s="47" t="s">
        <v>23</v>
      </c>
      <c r="Q160" s="72">
        <v>0</v>
      </c>
      <c r="R160" s="72">
        <v>0</v>
      </c>
      <c r="S160" s="72">
        <v>0</v>
      </c>
      <c r="T160" s="72">
        <v>0</v>
      </c>
      <c r="U160" s="72">
        <v>0</v>
      </c>
      <c r="V160" s="72">
        <v>0</v>
      </c>
      <c r="W160" s="72">
        <f>127+896+100</f>
        <v>1123</v>
      </c>
      <c r="X160" s="67">
        <v>0</v>
      </c>
    </row>
    <row r="161" spans="2:24" ht="38.25" customHeight="1" x14ac:dyDescent="0.25">
      <c r="B161" s="40" t="s">
        <v>20</v>
      </c>
      <c r="C161" s="43" t="s">
        <v>21</v>
      </c>
      <c r="D161" s="67">
        <v>0</v>
      </c>
      <c r="E161" s="67">
        <v>0</v>
      </c>
      <c r="F161" s="67">
        <v>0</v>
      </c>
      <c r="G161" s="67">
        <v>0</v>
      </c>
      <c r="H161" s="67">
        <f>78+66+102+68+102+51+51</f>
        <v>518</v>
      </c>
      <c r="I161" s="67">
        <v>0</v>
      </c>
      <c r="J161" s="67"/>
      <c r="K161" s="67">
        <v>0</v>
      </c>
      <c r="L161" s="70"/>
      <c r="M161" s="74"/>
      <c r="N161" s="74"/>
      <c r="O161" s="52" t="s">
        <v>20</v>
      </c>
      <c r="P161" s="50" t="s">
        <v>40</v>
      </c>
      <c r="Q161" s="72">
        <f>144+287+180</f>
        <v>611</v>
      </c>
      <c r="R161" s="72">
        <v>0</v>
      </c>
      <c r="S161" s="72">
        <v>0</v>
      </c>
      <c r="T161" s="72">
        <v>0</v>
      </c>
      <c r="U161" s="72">
        <v>0</v>
      </c>
      <c r="V161" s="72">
        <v>0</v>
      </c>
      <c r="W161" s="72">
        <v>0</v>
      </c>
      <c r="X161" s="67">
        <v>0</v>
      </c>
    </row>
    <row r="162" spans="2:24" ht="22.5" customHeight="1" x14ac:dyDescent="0.25">
      <c r="B162" s="40" t="s">
        <v>20</v>
      </c>
      <c r="C162" s="42" t="s">
        <v>10</v>
      </c>
      <c r="D162" s="67">
        <v>0</v>
      </c>
      <c r="E162" s="67">
        <v>123</v>
      </c>
      <c r="F162" s="67">
        <v>0</v>
      </c>
      <c r="G162" s="67">
        <v>0</v>
      </c>
      <c r="H162" s="67">
        <v>0</v>
      </c>
      <c r="I162" s="67">
        <f>391+81</f>
        <v>472</v>
      </c>
      <c r="J162" s="67"/>
      <c r="K162" s="67">
        <v>0</v>
      </c>
      <c r="L162" s="70"/>
      <c r="M162" s="74"/>
      <c r="N162" s="74"/>
      <c r="O162" s="52" t="s">
        <v>20</v>
      </c>
      <c r="P162" s="48" t="s">
        <v>12</v>
      </c>
      <c r="Q162" s="72">
        <v>0</v>
      </c>
      <c r="R162" s="72">
        <v>0</v>
      </c>
      <c r="S162" s="72">
        <v>0</v>
      </c>
      <c r="T162" s="72">
        <v>0</v>
      </c>
      <c r="U162" s="72">
        <v>779</v>
      </c>
      <c r="V162" s="72">
        <v>0</v>
      </c>
      <c r="W162" s="72">
        <v>0</v>
      </c>
      <c r="X162" s="67">
        <v>0</v>
      </c>
    </row>
    <row r="163" spans="2:24" ht="22.5" customHeight="1" x14ac:dyDescent="0.25">
      <c r="B163" s="40" t="s">
        <v>20</v>
      </c>
      <c r="C163" s="43" t="s">
        <v>27</v>
      </c>
      <c r="D163" s="67">
        <v>242</v>
      </c>
      <c r="E163" s="67">
        <v>0</v>
      </c>
      <c r="F163" s="67">
        <f>60</f>
        <v>60</v>
      </c>
      <c r="G163" s="67">
        <v>0</v>
      </c>
      <c r="H163" s="67">
        <v>0</v>
      </c>
      <c r="I163" s="67">
        <v>0</v>
      </c>
      <c r="J163" s="67"/>
      <c r="K163" s="67">
        <v>0</v>
      </c>
      <c r="L163" s="70"/>
      <c r="M163" s="74"/>
      <c r="N163" s="74"/>
      <c r="O163" s="52" t="s">
        <v>20</v>
      </c>
      <c r="P163" s="48" t="s">
        <v>13</v>
      </c>
      <c r="Q163" s="72">
        <v>0</v>
      </c>
      <c r="R163" s="72">
        <v>0</v>
      </c>
      <c r="S163" s="72">
        <v>0</v>
      </c>
      <c r="T163" s="72">
        <v>0</v>
      </c>
      <c r="U163" s="72">
        <v>0</v>
      </c>
      <c r="V163" s="72">
        <v>0</v>
      </c>
      <c r="W163" s="72">
        <f>327+60</f>
        <v>387</v>
      </c>
      <c r="X163" s="67">
        <v>0</v>
      </c>
    </row>
    <row r="164" spans="2:24" ht="36" x14ac:dyDescent="0.25">
      <c r="B164" s="40" t="s">
        <v>20</v>
      </c>
      <c r="C164" s="44" t="s">
        <v>31</v>
      </c>
      <c r="D164" s="67">
        <v>0</v>
      </c>
      <c r="E164" s="67">
        <v>0</v>
      </c>
      <c r="F164" s="67">
        <v>0</v>
      </c>
      <c r="G164" s="67">
        <f>40+45</f>
        <v>85</v>
      </c>
      <c r="H164" s="67">
        <v>0</v>
      </c>
      <c r="I164" s="67">
        <v>0</v>
      </c>
      <c r="J164" s="67"/>
      <c r="K164" s="67">
        <v>0</v>
      </c>
      <c r="L164" s="70"/>
      <c r="M164" s="74"/>
      <c r="N164" s="74"/>
      <c r="O164" s="52" t="s">
        <v>20</v>
      </c>
      <c r="P164" s="49" t="s">
        <v>33</v>
      </c>
      <c r="Q164" s="72">
        <v>0</v>
      </c>
      <c r="R164" s="72">
        <v>0</v>
      </c>
      <c r="S164" s="72">
        <v>0</v>
      </c>
      <c r="T164" s="72">
        <f>90+10+234</f>
        <v>334</v>
      </c>
      <c r="U164" s="72">
        <v>0</v>
      </c>
      <c r="V164" s="72">
        <v>0</v>
      </c>
      <c r="W164" s="72">
        <v>0</v>
      </c>
      <c r="X164" s="67">
        <v>0</v>
      </c>
    </row>
    <row r="165" spans="2:24" ht="36.75" x14ac:dyDescent="0.25">
      <c r="B165" s="40" t="s">
        <v>20</v>
      </c>
      <c r="C165" s="44" t="s">
        <v>28</v>
      </c>
      <c r="D165" s="67">
        <v>0</v>
      </c>
      <c r="E165" s="67">
        <v>0</v>
      </c>
      <c r="F165" s="67">
        <v>0</v>
      </c>
      <c r="G165" s="67">
        <v>0</v>
      </c>
      <c r="H165" s="67">
        <v>0</v>
      </c>
      <c r="I165" s="67">
        <v>0</v>
      </c>
      <c r="J165" s="67">
        <f>1013+1701</f>
        <v>2714</v>
      </c>
      <c r="K165" s="67">
        <v>0</v>
      </c>
      <c r="L165" s="70"/>
      <c r="M165" s="74"/>
      <c r="N165" s="74"/>
      <c r="O165" s="52" t="s">
        <v>20</v>
      </c>
      <c r="P165" s="49" t="s">
        <v>39</v>
      </c>
      <c r="Q165" s="72">
        <v>0</v>
      </c>
      <c r="R165" s="72">
        <v>0</v>
      </c>
      <c r="S165" s="72">
        <f>2200+118+30+82+36+338</f>
        <v>2804</v>
      </c>
      <c r="T165" s="72">
        <v>0</v>
      </c>
      <c r="U165" s="72">
        <v>0</v>
      </c>
      <c r="V165" s="72">
        <v>0</v>
      </c>
      <c r="W165" s="72">
        <v>0</v>
      </c>
      <c r="X165" s="67">
        <v>0</v>
      </c>
    </row>
    <row r="166" spans="2:24" ht="32.25" customHeight="1" x14ac:dyDescent="0.25">
      <c r="B166" s="40" t="s">
        <v>20</v>
      </c>
      <c r="C166" s="42" t="s">
        <v>9</v>
      </c>
      <c r="D166" s="67">
        <v>0</v>
      </c>
      <c r="E166" s="67">
        <v>180</v>
      </c>
      <c r="F166" s="67">
        <v>0</v>
      </c>
      <c r="G166" s="67">
        <v>0</v>
      </c>
      <c r="H166" s="67">
        <v>0</v>
      </c>
      <c r="I166" s="67">
        <v>0</v>
      </c>
      <c r="J166" s="67">
        <v>0</v>
      </c>
      <c r="K166" s="67">
        <v>0</v>
      </c>
      <c r="L166" s="70"/>
      <c r="M166" s="74"/>
      <c r="N166" s="74"/>
      <c r="O166" s="52" t="s">
        <v>20</v>
      </c>
      <c r="P166" s="66" t="s">
        <v>15</v>
      </c>
      <c r="Q166" s="72">
        <v>0</v>
      </c>
      <c r="R166" s="72">
        <v>1221</v>
      </c>
      <c r="S166" s="72" t="s">
        <v>26</v>
      </c>
      <c r="T166" s="72">
        <v>0</v>
      </c>
      <c r="U166" s="72">
        <v>0</v>
      </c>
      <c r="V166" s="72">
        <v>0</v>
      </c>
      <c r="W166" s="72">
        <v>0</v>
      </c>
      <c r="X166" s="67">
        <v>0</v>
      </c>
    </row>
    <row r="167" spans="2:24" ht="36" x14ac:dyDescent="0.25">
      <c r="B167" s="40" t="s">
        <v>20</v>
      </c>
      <c r="C167" s="44" t="s">
        <v>30</v>
      </c>
      <c r="D167" s="67">
        <v>0</v>
      </c>
      <c r="E167" s="67">
        <v>0</v>
      </c>
      <c r="F167" s="67">
        <f>1638+45+36</f>
        <v>1719</v>
      </c>
      <c r="G167" s="67">
        <v>0</v>
      </c>
      <c r="H167" s="67">
        <v>0</v>
      </c>
      <c r="I167" s="67">
        <v>0</v>
      </c>
      <c r="J167" s="67">
        <v>0</v>
      </c>
      <c r="K167" s="67">
        <v>0</v>
      </c>
      <c r="L167" s="70"/>
      <c r="M167" s="74"/>
      <c r="N167" s="74"/>
      <c r="O167" s="52" t="s">
        <v>20</v>
      </c>
      <c r="P167" s="63" t="s">
        <v>32</v>
      </c>
      <c r="Q167" s="72">
        <v>0</v>
      </c>
      <c r="R167" s="72">
        <v>0</v>
      </c>
      <c r="S167" s="72">
        <v>0</v>
      </c>
      <c r="T167" s="72">
        <v>0</v>
      </c>
      <c r="U167" s="72">
        <v>0</v>
      </c>
      <c r="V167" s="72">
        <f>700+700+3067+710</f>
        <v>5177</v>
      </c>
      <c r="W167" s="72">
        <v>0</v>
      </c>
      <c r="X167" s="67">
        <v>0</v>
      </c>
    </row>
    <row r="168" spans="2:24" ht="22.5" customHeight="1" x14ac:dyDescent="0.25">
      <c r="B168" s="40" t="s">
        <v>20</v>
      </c>
      <c r="C168" s="42" t="s">
        <v>11</v>
      </c>
      <c r="D168" s="67">
        <v>0</v>
      </c>
      <c r="E168" s="67">
        <v>0</v>
      </c>
      <c r="F168" s="67">
        <v>0</v>
      </c>
      <c r="G168" s="67">
        <v>0</v>
      </c>
      <c r="H168" s="67">
        <f>380+380+460</f>
        <v>1220</v>
      </c>
      <c r="I168" s="67">
        <v>0</v>
      </c>
      <c r="J168" s="67">
        <v>0</v>
      </c>
      <c r="K168" s="67">
        <v>0</v>
      </c>
      <c r="L168" s="70"/>
      <c r="M168" s="74"/>
      <c r="N168" s="74"/>
      <c r="O168" s="52" t="s">
        <v>20</v>
      </c>
      <c r="P168" s="48" t="s">
        <v>34</v>
      </c>
      <c r="Q168" s="72">
        <v>0</v>
      </c>
      <c r="R168" s="72">
        <v>0</v>
      </c>
      <c r="S168" s="72">
        <v>0</v>
      </c>
      <c r="T168" s="72">
        <v>0</v>
      </c>
      <c r="U168" s="72">
        <v>0</v>
      </c>
      <c r="V168" s="72">
        <f>170+238+170+153+170+336</f>
        <v>1237</v>
      </c>
      <c r="W168" s="72">
        <v>0</v>
      </c>
      <c r="X168" s="67">
        <v>0</v>
      </c>
    </row>
    <row r="169" spans="2:24" ht="22.5" customHeight="1" x14ac:dyDescent="0.25">
      <c r="B169" s="40" t="s">
        <v>20</v>
      </c>
      <c r="C169" s="45"/>
      <c r="D169" s="67">
        <v>0</v>
      </c>
      <c r="E169" s="67"/>
      <c r="F169" s="67"/>
      <c r="G169" s="67"/>
      <c r="H169" s="67"/>
      <c r="I169" s="67"/>
      <c r="J169" s="67"/>
      <c r="K169" s="67"/>
      <c r="L169" s="70"/>
      <c r="M169" s="74"/>
      <c r="N169" s="74"/>
      <c r="O169" s="52" t="s">
        <v>20</v>
      </c>
      <c r="P169" s="48"/>
      <c r="Q169" s="72">
        <v>0</v>
      </c>
      <c r="R169" s="72">
        <v>0</v>
      </c>
      <c r="S169" s="72">
        <v>0</v>
      </c>
      <c r="T169" s="72">
        <v>0</v>
      </c>
      <c r="U169" s="72">
        <v>0</v>
      </c>
      <c r="V169" s="72">
        <v>0</v>
      </c>
      <c r="W169" s="72">
        <v>0</v>
      </c>
      <c r="X169" s="67">
        <v>0</v>
      </c>
    </row>
    <row r="170" spans="2:24" ht="22.5" hidden="1" customHeight="1" x14ac:dyDescent="0.25">
      <c r="B170" s="9"/>
      <c r="C170" s="10"/>
      <c r="D170" s="67">
        <v>0</v>
      </c>
      <c r="E170" s="67"/>
      <c r="F170" s="67"/>
      <c r="G170" s="67"/>
      <c r="H170" s="67"/>
      <c r="I170" s="67"/>
      <c r="J170" s="67"/>
      <c r="K170" s="67"/>
      <c r="L170" s="70"/>
      <c r="M170" s="74"/>
      <c r="N170" s="74"/>
      <c r="O170" s="46"/>
      <c r="P170" s="51"/>
      <c r="Q170" s="67">
        <v>0</v>
      </c>
      <c r="R170" s="67"/>
      <c r="S170" s="67"/>
      <c r="T170" s="67"/>
      <c r="U170" s="67"/>
      <c r="V170" s="67"/>
      <c r="W170" s="67"/>
      <c r="X170" s="67"/>
    </row>
    <row r="171" spans="2:24" ht="22.5" hidden="1" customHeight="1" x14ac:dyDescent="0.25">
      <c r="B171" s="9"/>
      <c r="C171" s="10"/>
      <c r="D171" s="67">
        <v>0</v>
      </c>
      <c r="E171" s="67"/>
      <c r="F171" s="67"/>
      <c r="G171" s="67"/>
      <c r="H171" s="67"/>
      <c r="I171" s="67"/>
      <c r="J171" s="67"/>
      <c r="K171" s="67"/>
      <c r="L171" s="70"/>
      <c r="M171" s="74"/>
      <c r="N171" s="74"/>
      <c r="O171" s="46"/>
      <c r="P171" s="51"/>
      <c r="Q171" s="67">
        <v>0</v>
      </c>
      <c r="R171" s="67"/>
      <c r="S171" s="67"/>
      <c r="T171" s="67"/>
      <c r="U171" s="67"/>
      <c r="V171" s="67"/>
      <c r="W171" s="67"/>
      <c r="X171" s="67"/>
    </row>
    <row r="172" spans="2:24" ht="22.5" hidden="1" customHeight="1" x14ac:dyDescent="0.25">
      <c r="B172" s="9"/>
      <c r="C172" s="10"/>
      <c r="D172" s="67">
        <v>0</v>
      </c>
      <c r="E172" s="67"/>
      <c r="F172" s="67"/>
      <c r="G172" s="67"/>
      <c r="H172" s="67"/>
      <c r="I172" s="67"/>
      <c r="J172" s="67"/>
      <c r="K172" s="67"/>
      <c r="L172" s="70"/>
      <c r="M172" s="74"/>
      <c r="N172" s="74"/>
      <c r="O172" s="46"/>
      <c r="P172" s="51"/>
      <c r="Q172" s="67">
        <v>0</v>
      </c>
      <c r="R172" s="67"/>
      <c r="S172" s="67"/>
      <c r="T172" s="67"/>
      <c r="U172" s="67"/>
      <c r="V172" s="67"/>
      <c r="W172" s="67"/>
      <c r="X172" s="67"/>
    </row>
    <row r="173" spans="2:24" ht="22.5" hidden="1" customHeight="1" x14ac:dyDescent="0.25">
      <c r="B173" s="9"/>
      <c r="C173" s="10"/>
      <c r="D173" s="67">
        <v>0</v>
      </c>
      <c r="E173" s="67"/>
      <c r="F173" s="67"/>
      <c r="G173" s="67"/>
      <c r="H173" s="67"/>
      <c r="I173" s="67"/>
      <c r="J173" s="67"/>
      <c r="K173" s="67"/>
      <c r="L173" s="70"/>
      <c r="M173" s="74"/>
      <c r="N173" s="74"/>
      <c r="O173" s="46"/>
      <c r="P173" s="51"/>
      <c r="Q173" s="67">
        <v>0</v>
      </c>
      <c r="R173" s="67"/>
      <c r="S173" s="67"/>
      <c r="T173" s="67"/>
      <c r="U173" s="67"/>
      <c r="V173" s="67"/>
      <c r="W173" s="67"/>
      <c r="X173" s="67"/>
    </row>
    <row r="174" spans="2:24" ht="22.5" hidden="1" customHeight="1" x14ac:dyDescent="0.25">
      <c r="B174" s="9"/>
      <c r="C174" s="10"/>
      <c r="D174" s="67">
        <v>0</v>
      </c>
      <c r="E174" s="67"/>
      <c r="F174" s="67"/>
      <c r="G174" s="67"/>
      <c r="H174" s="67"/>
      <c r="I174" s="67"/>
      <c r="J174" s="67"/>
      <c r="K174" s="67"/>
      <c r="L174" s="70"/>
      <c r="M174" s="74"/>
      <c r="N174" s="74"/>
      <c r="O174" s="46"/>
      <c r="P174" s="51"/>
      <c r="Q174" s="67">
        <v>0</v>
      </c>
      <c r="R174" s="67"/>
      <c r="S174" s="67"/>
      <c r="T174" s="67"/>
      <c r="U174" s="67"/>
      <c r="V174" s="67"/>
      <c r="W174" s="67"/>
      <c r="X174" s="67"/>
    </row>
    <row r="175" spans="2:24" ht="22.5" hidden="1" customHeight="1" x14ac:dyDescent="0.25">
      <c r="B175" s="9"/>
      <c r="C175" s="10"/>
      <c r="D175" s="67">
        <v>0</v>
      </c>
      <c r="E175" s="67"/>
      <c r="F175" s="67"/>
      <c r="G175" s="67"/>
      <c r="H175" s="67"/>
      <c r="I175" s="67"/>
      <c r="J175" s="67"/>
      <c r="K175" s="67"/>
      <c r="L175" s="70"/>
      <c r="M175" s="74"/>
      <c r="N175" s="74"/>
      <c r="O175" s="46"/>
      <c r="P175" s="51"/>
      <c r="Q175" s="67">
        <v>0</v>
      </c>
      <c r="R175" s="67"/>
      <c r="S175" s="67"/>
      <c r="T175" s="67"/>
      <c r="U175" s="67"/>
      <c r="V175" s="67"/>
      <c r="W175" s="67"/>
      <c r="X175" s="67"/>
    </row>
    <row r="176" spans="2:24" ht="22.5" hidden="1" customHeight="1" x14ac:dyDescent="0.25">
      <c r="B176" s="9"/>
      <c r="C176" s="10"/>
      <c r="D176" s="67">
        <v>0</v>
      </c>
      <c r="E176" s="67"/>
      <c r="F176" s="67"/>
      <c r="G176" s="67"/>
      <c r="H176" s="67"/>
      <c r="I176" s="67"/>
      <c r="J176" s="67"/>
      <c r="K176" s="67"/>
      <c r="L176" s="70"/>
      <c r="M176" s="74"/>
      <c r="N176" s="74"/>
      <c r="O176" s="46"/>
      <c r="P176" s="51"/>
      <c r="Q176" s="67">
        <v>0</v>
      </c>
      <c r="R176" s="67"/>
      <c r="S176" s="67"/>
      <c r="T176" s="67"/>
      <c r="U176" s="67"/>
      <c r="V176" s="67"/>
      <c r="W176" s="67"/>
      <c r="X176" s="67"/>
    </row>
    <row r="177" spans="2:24" ht="22.5" hidden="1" customHeight="1" x14ac:dyDescent="0.25">
      <c r="B177" s="9"/>
      <c r="C177" s="10"/>
      <c r="D177" s="67">
        <v>0</v>
      </c>
      <c r="E177" s="67"/>
      <c r="F177" s="67"/>
      <c r="G177" s="67"/>
      <c r="H177" s="67"/>
      <c r="I177" s="67"/>
      <c r="J177" s="67"/>
      <c r="K177" s="67"/>
      <c r="L177" s="70"/>
      <c r="M177" s="74"/>
      <c r="N177" s="74"/>
      <c r="O177" s="46"/>
      <c r="P177" s="51"/>
      <c r="Q177" s="67">
        <v>0</v>
      </c>
      <c r="R177" s="67"/>
      <c r="S177" s="67"/>
      <c r="T177" s="67"/>
      <c r="U177" s="67"/>
      <c r="V177" s="67"/>
      <c r="W177" s="67"/>
      <c r="X177" s="67"/>
    </row>
    <row r="178" spans="2:24" ht="22.5" hidden="1" customHeight="1" x14ac:dyDescent="0.25">
      <c r="B178" s="9"/>
      <c r="C178" s="10"/>
      <c r="D178" s="67">
        <v>0</v>
      </c>
      <c r="E178" s="67"/>
      <c r="F178" s="67"/>
      <c r="G178" s="67"/>
      <c r="H178" s="67"/>
      <c r="I178" s="67"/>
      <c r="J178" s="67"/>
      <c r="K178" s="67"/>
      <c r="L178" s="70"/>
      <c r="M178" s="74"/>
      <c r="N178" s="74"/>
      <c r="O178" s="46"/>
      <c r="P178" s="51"/>
      <c r="Q178" s="67">
        <v>0</v>
      </c>
      <c r="R178" s="67"/>
      <c r="S178" s="67"/>
      <c r="T178" s="67"/>
      <c r="U178" s="67"/>
      <c r="V178" s="67"/>
      <c r="W178" s="67"/>
      <c r="X178" s="67"/>
    </row>
    <row r="179" spans="2:24" ht="22.5" hidden="1" customHeight="1" x14ac:dyDescent="0.25">
      <c r="B179" s="9"/>
      <c r="C179" s="10"/>
      <c r="D179" s="67">
        <v>0</v>
      </c>
      <c r="E179" s="67"/>
      <c r="F179" s="67"/>
      <c r="G179" s="67"/>
      <c r="H179" s="67"/>
      <c r="I179" s="67"/>
      <c r="J179" s="67"/>
      <c r="K179" s="67"/>
      <c r="L179" s="70"/>
      <c r="M179" s="74"/>
      <c r="N179" s="74"/>
      <c r="O179" s="46"/>
      <c r="P179" s="51"/>
      <c r="Q179" s="67">
        <v>0</v>
      </c>
      <c r="R179" s="67"/>
      <c r="S179" s="67"/>
      <c r="T179" s="67"/>
      <c r="U179" s="67"/>
      <c r="V179" s="67"/>
      <c r="W179" s="67"/>
      <c r="X179" s="67"/>
    </row>
    <row r="180" spans="2:24" ht="22.5" hidden="1" customHeight="1" x14ac:dyDescent="0.25">
      <c r="B180" s="9"/>
      <c r="C180" s="10"/>
      <c r="D180" s="67">
        <v>0</v>
      </c>
      <c r="E180" s="67"/>
      <c r="F180" s="67"/>
      <c r="G180" s="67"/>
      <c r="H180" s="67"/>
      <c r="I180" s="67"/>
      <c r="J180" s="67"/>
      <c r="K180" s="67"/>
      <c r="L180" s="70"/>
      <c r="M180" s="74"/>
      <c r="N180" s="74"/>
      <c r="O180" s="46"/>
      <c r="P180" s="51"/>
      <c r="Q180" s="67">
        <v>0</v>
      </c>
      <c r="R180" s="67"/>
      <c r="S180" s="67"/>
      <c r="T180" s="67"/>
      <c r="U180" s="67"/>
      <c r="V180" s="67"/>
      <c r="W180" s="67"/>
      <c r="X180" s="67"/>
    </row>
    <row r="181" spans="2:24" ht="22.5" customHeight="1" thickBot="1" x14ac:dyDescent="0.3">
      <c r="B181" s="9"/>
      <c r="C181" s="34"/>
      <c r="D181" s="73">
        <v>0</v>
      </c>
      <c r="E181" s="73"/>
      <c r="F181" s="73"/>
      <c r="G181" s="73"/>
      <c r="H181" s="73"/>
      <c r="I181" s="73"/>
      <c r="J181" s="73"/>
      <c r="K181" s="73"/>
      <c r="L181" s="70"/>
      <c r="M181" s="74"/>
      <c r="N181" s="74"/>
      <c r="O181" s="46"/>
      <c r="P181" s="51"/>
      <c r="Q181" s="73">
        <v>0</v>
      </c>
      <c r="R181" s="73"/>
      <c r="S181" s="73"/>
      <c r="T181" s="73"/>
      <c r="U181" s="73"/>
      <c r="V181" s="73"/>
      <c r="W181" s="73"/>
      <c r="X181" s="73"/>
    </row>
    <row r="182" spans="2:24" ht="31.5" customHeight="1" thickBot="1" x14ac:dyDescent="0.3">
      <c r="C182" s="35" t="s">
        <v>18</v>
      </c>
      <c r="D182" s="30">
        <f t="shared" ref="D182:K182" si="26">SUM(D159:D181)</f>
        <v>402</v>
      </c>
      <c r="E182" s="31">
        <f t="shared" si="26"/>
        <v>303</v>
      </c>
      <c r="F182" s="31">
        <f t="shared" si="26"/>
        <v>1779</v>
      </c>
      <c r="G182" s="31">
        <f t="shared" si="26"/>
        <v>85</v>
      </c>
      <c r="H182" s="31">
        <f t="shared" si="26"/>
        <v>1738</v>
      </c>
      <c r="I182" s="31">
        <f t="shared" si="26"/>
        <v>472</v>
      </c>
      <c r="J182" s="22">
        <f t="shared" si="26"/>
        <v>2714</v>
      </c>
      <c r="K182" s="32">
        <f t="shared" si="26"/>
        <v>6086</v>
      </c>
      <c r="L182" s="77"/>
      <c r="M182" s="75"/>
      <c r="N182" s="74"/>
      <c r="P182" s="33" t="s">
        <v>18</v>
      </c>
      <c r="Q182" s="21">
        <f>SUM(Q159:Q181)</f>
        <v>611</v>
      </c>
      <c r="R182" s="22">
        <f t="shared" ref="R182:X182" si="27">SUM(R159:R181)</f>
        <v>1221</v>
      </c>
      <c r="S182" s="22">
        <f t="shared" si="27"/>
        <v>2804</v>
      </c>
      <c r="T182" s="22">
        <f t="shared" si="27"/>
        <v>334</v>
      </c>
      <c r="U182" s="22">
        <f t="shared" si="27"/>
        <v>779</v>
      </c>
      <c r="V182" s="22">
        <f t="shared" si="27"/>
        <v>6414</v>
      </c>
      <c r="W182" s="22">
        <f t="shared" si="27"/>
        <v>1510</v>
      </c>
      <c r="X182" s="23">
        <f t="shared" si="27"/>
        <v>6779</v>
      </c>
    </row>
    <row r="183" spans="2:24" ht="22.5" customHeight="1" thickBot="1" x14ac:dyDescent="0.3">
      <c r="D183" s="5"/>
      <c r="E183" s="5"/>
      <c r="F183" s="5"/>
      <c r="G183" s="5"/>
      <c r="H183" s="5"/>
      <c r="I183" s="5"/>
      <c r="J183" s="5"/>
      <c r="K183" s="5"/>
      <c r="L183" s="78"/>
      <c r="M183" s="76"/>
      <c r="N183" s="74"/>
      <c r="Q183" s="5"/>
      <c r="R183" s="5"/>
      <c r="S183" s="5"/>
      <c r="T183" s="5"/>
      <c r="U183" s="5"/>
      <c r="V183" s="5"/>
      <c r="W183" s="5"/>
      <c r="X183" s="5"/>
    </row>
    <row r="184" spans="2:24" ht="22.5" customHeight="1" thickBot="1" x14ac:dyDescent="0.4">
      <c r="D184" s="5"/>
      <c r="E184" s="5"/>
      <c r="F184" s="275">
        <f>K182+J182+I182+H182+G182+F182+E182+D182</f>
        <v>13579</v>
      </c>
      <c r="G184" s="268"/>
      <c r="H184" s="269"/>
      <c r="I184" s="5"/>
      <c r="J184" s="5">
        <v>13579</v>
      </c>
      <c r="K184" s="5"/>
      <c r="L184" s="78"/>
      <c r="M184" s="76"/>
      <c r="N184" s="74"/>
      <c r="Q184" s="5"/>
      <c r="R184" s="5"/>
      <c r="S184" s="270">
        <f>Q182+R182+S182+T182+U182+V182+W182+X182</f>
        <v>20452</v>
      </c>
      <c r="T184" s="271"/>
      <c r="U184" s="272"/>
      <c r="V184" s="5">
        <v>20452</v>
      </c>
      <c r="W184" s="5"/>
      <c r="X184" s="5"/>
    </row>
    <row r="185" spans="2:24" ht="22.5" customHeight="1" x14ac:dyDescent="0.25">
      <c r="D185" s="5"/>
      <c r="E185" s="5"/>
      <c r="F185" s="5"/>
      <c r="G185" s="5"/>
      <c r="H185" s="5"/>
      <c r="J185" s="5"/>
      <c r="K185" s="5"/>
      <c r="L185" s="78"/>
      <c r="M185" s="76"/>
      <c r="N185" s="74"/>
      <c r="Q185" s="5"/>
      <c r="R185" s="5"/>
      <c r="S185" s="5"/>
      <c r="T185" s="5"/>
      <c r="U185" s="5"/>
      <c r="V185" s="5"/>
      <c r="W185" s="5"/>
      <c r="X185" s="5"/>
    </row>
    <row r="186" spans="2:24" x14ac:dyDescent="0.25">
      <c r="D186" s="5"/>
      <c r="E186" s="5"/>
      <c r="F186" s="5"/>
      <c r="G186" s="5"/>
      <c r="H186" s="5"/>
      <c r="I186" s="5"/>
      <c r="J186" s="5"/>
      <c r="K186" s="5"/>
      <c r="L186" s="78"/>
      <c r="M186" s="76"/>
      <c r="N186" s="74"/>
      <c r="Q186" s="5"/>
      <c r="R186" s="5"/>
      <c r="S186" s="5"/>
      <c r="T186" s="5"/>
      <c r="U186" s="5"/>
      <c r="V186" s="5"/>
      <c r="W186" s="5"/>
      <c r="X186" s="5"/>
    </row>
    <row r="187" spans="2:24" ht="15.75" thickBot="1" x14ac:dyDescent="0.3">
      <c r="D187" s="5"/>
      <c r="E187" s="5"/>
      <c r="F187" s="5"/>
      <c r="G187" s="5"/>
      <c r="H187" s="5"/>
      <c r="I187" s="5"/>
      <c r="J187" s="5"/>
      <c r="K187" s="5"/>
      <c r="L187" s="78"/>
      <c r="M187" s="79"/>
      <c r="N187" s="74"/>
      <c r="Q187" s="5"/>
      <c r="R187" s="5"/>
      <c r="S187" s="5"/>
      <c r="T187" s="5"/>
      <c r="U187" s="5"/>
      <c r="V187" s="5"/>
      <c r="W187" s="5"/>
      <c r="X187" s="5"/>
    </row>
    <row r="188" spans="2:24" x14ac:dyDescent="0.25">
      <c r="L188" s="80"/>
      <c r="M188" s="80"/>
    </row>
    <row r="189" spans="2:24" x14ac:dyDescent="0.25">
      <c r="L189" s="80"/>
      <c r="M189" s="80"/>
    </row>
    <row r="190" spans="2:24" x14ac:dyDescent="0.25">
      <c r="L190" s="80"/>
      <c r="M190" s="80"/>
    </row>
    <row r="191" spans="2:24" x14ac:dyDescent="0.25">
      <c r="L191" s="80"/>
      <c r="M191" s="80"/>
    </row>
  </sheetData>
  <mergeCells count="36">
    <mergeCell ref="C2:K2"/>
    <mergeCell ref="O2:W2"/>
    <mergeCell ref="I3:K3"/>
    <mergeCell ref="V3:X3"/>
    <mergeCell ref="F21:H21"/>
    <mergeCell ref="S21:U21"/>
    <mergeCell ref="C32:K32"/>
    <mergeCell ref="O32:W32"/>
    <mergeCell ref="I33:K33"/>
    <mergeCell ref="V33:X33"/>
    <mergeCell ref="F51:H51"/>
    <mergeCell ref="S51:U51"/>
    <mergeCell ref="C97:K97"/>
    <mergeCell ref="I98:K98"/>
    <mergeCell ref="F116:H116"/>
    <mergeCell ref="O97:W97"/>
    <mergeCell ref="S116:U116"/>
    <mergeCell ref="V98:X98"/>
    <mergeCell ref="F184:H184"/>
    <mergeCell ref="C156:K156"/>
    <mergeCell ref="S184:U184"/>
    <mergeCell ref="I157:K157"/>
    <mergeCell ref="W157:X157"/>
    <mergeCell ref="O156:W156"/>
    <mergeCell ref="C130:K130"/>
    <mergeCell ref="O130:W130"/>
    <mergeCell ref="I131:K131"/>
    <mergeCell ref="W131:X131"/>
    <mergeCell ref="F149:H149"/>
    <mergeCell ref="S149:U149"/>
    <mergeCell ref="C66:K66"/>
    <mergeCell ref="O66:W66"/>
    <mergeCell ref="I67:K67"/>
    <mergeCell ref="V67:X67"/>
    <mergeCell ref="F85:H85"/>
    <mergeCell ref="S85:U85"/>
  </mergeCells>
  <pageMargins left="0.23622047244094491" right="0.23622047244094491" top="0.35" bottom="0.31496062992125984" header="0.31496062992125984" footer="0.31496062992125984"/>
  <pageSetup scale="8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AE26"/>
  <sheetViews>
    <sheetView topLeftCell="A13" workbookViewId="0">
      <selection activeCell="H24" sqref="H24"/>
    </sheetView>
  </sheetViews>
  <sheetFormatPr baseColWidth="10" defaultRowHeight="15" x14ac:dyDescent="0.25"/>
  <cols>
    <col min="3" max="3" width="12.28515625" customWidth="1"/>
    <col min="4" max="4" width="2.28515625" customWidth="1"/>
    <col min="14" max="14" width="15.42578125" style="80" customWidth="1"/>
    <col min="17" max="17" width="5.140625" customWidth="1"/>
    <col min="19" max="19" width="12.28515625" customWidth="1"/>
    <col min="20" max="20" width="2.28515625" customWidth="1"/>
    <col min="30" max="30" width="15.42578125" style="80" customWidth="1"/>
  </cols>
  <sheetData>
    <row r="1" spans="2:31" ht="14.25" customHeight="1" thickBot="1" x14ac:dyDescent="0.3"/>
    <row r="2" spans="2:31" ht="22.5" thickTop="1" thickBot="1" x14ac:dyDescent="0.4">
      <c r="C2" s="7"/>
      <c r="D2" s="260" t="s">
        <v>36</v>
      </c>
      <c r="E2" s="261"/>
      <c r="F2" s="261"/>
      <c r="G2" s="261"/>
      <c r="H2" s="261"/>
      <c r="I2" s="261"/>
      <c r="J2" s="261"/>
      <c r="K2" s="261"/>
      <c r="L2" s="261"/>
      <c r="M2" s="84"/>
      <c r="N2" s="151"/>
      <c r="S2" s="7"/>
      <c r="T2" s="260" t="s">
        <v>36</v>
      </c>
      <c r="U2" s="261"/>
      <c r="V2" s="261"/>
      <c r="W2" s="261"/>
      <c r="X2" s="261"/>
      <c r="Y2" s="261"/>
      <c r="Z2" s="261"/>
      <c r="AA2" s="261"/>
      <c r="AB2" s="261"/>
      <c r="AC2" s="84"/>
      <c r="AD2" s="151"/>
    </row>
    <row r="3" spans="2:31" ht="16.5" thickBot="1" x14ac:dyDescent="0.3">
      <c r="C3" s="7"/>
      <c r="D3" s="1"/>
      <c r="J3" s="264" t="s">
        <v>185</v>
      </c>
      <c r="K3" s="265"/>
      <c r="L3" s="276"/>
      <c r="M3" s="68"/>
      <c r="N3" s="152"/>
      <c r="S3" s="7"/>
      <c r="T3" s="1"/>
      <c r="Z3" s="264" t="s">
        <v>184</v>
      </c>
      <c r="AA3" s="265"/>
      <c r="AB3" s="266"/>
      <c r="AC3" s="68"/>
      <c r="AD3" s="152"/>
    </row>
    <row r="4" spans="2:31" ht="58.5" customHeight="1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S4" s="164" t="s">
        <v>0</v>
      </c>
      <c r="T4" s="24"/>
      <c r="U4" s="145" t="s">
        <v>2</v>
      </c>
      <c r="V4" s="146" t="s">
        <v>7</v>
      </c>
      <c r="W4" s="147" t="s">
        <v>38</v>
      </c>
      <c r="X4" s="145" t="s">
        <v>3</v>
      </c>
      <c r="Y4" s="146" t="s">
        <v>22</v>
      </c>
      <c r="Z4" s="148" t="s">
        <v>4</v>
      </c>
      <c r="AA4" s="149" t="s">
        <v>8</v>
      </c>
      <c r="AB4" s="150" t="s">
        <v>5</v>
      </c>
      <c r="AC4" s="165" t="s">
        <v>146</v>
      </c>
      <c r="AD4" s="161" t="s">
        <v>18</v>
      </c>
    </row>
    <row r="5" spans="2:31" ht="42.75" customHeight="1" thickTop="1" thickBot="1" x14ac:dyDescent="0.35">
      <c r="B5" s="199" t="s">
        <v>141</v>
      </c>
      <c r="C5" s="169" t="s">
        <v>123</v>
      </c>
      <c r="D5" s="153"/>
      <c r="E5" s="30">
        <v>665.5</v>
      </c>
      <c r="F5" s="31">
        <v>68</v>
      </c>
      <c r="G5" s="31">
        <v>2076</v>
      </c>
      <c r="H5" s="31">
        <v>140</v>
      </c>
      <c r="I5" s="31">
        <v>1706</v>
      </c>
      <c r="J5" s="31">
        <v>850</v>
      </c>
      <c r="K5" s="22">
        <v>781</v>
      </c>
      <c r="L5" s="178">
        <v>7786</v>
      </c>
      <c r="M5" s="166">
        <v>500</v>
      </c>
      <c r="N5" s="167">
        <f>SUM(E5:M5)</f>
        <v>14572.5</v>
      </c>
      <c r="R5" s="162" t="s">
        <v>141</v>
      </c>
      <c r="S5" s="169" t="s">
        <v>20</v>
      </c>
      <c r="T5" s="163"/>
      <c r="U5" s="30">
        <v>402</v>
      </c>
      <c r="V5" s="31">
        <v>303</v>
      </c>
      <c r="W5" s="31">
        <v>1779</v>
      </c>
      <c r="X5" s="31">
        <v>85</v>
      </c>
      <c r="Y5" s="31">
        <v>1738</v>
      </c>
      <c r="Z5" s="31">
        <v>472</v>
      </c>
      <c r="AA5" s="22">
        <v>2714</v>
      </c>
      <c r="AB5" s="32">
        <v>6086</v>
      </c>
      <c r="AC5" s="166">
        <v>0</v>
      </c>
      <c r="AD5" s="167">
        <f>SUM(U5:AC5)</f>
        <v>13579</v>
      </c>
    </row>
    <row r="6" spans="2:31" ht="42.75" customHeight="1" thickBot="1" x14ac:dyDescent="0.35">
      <c r="B6" s="199" t="s">
        <v>142</v>
      </c>
      <c r="C6" s="169" t="s">
        <v>182</v>
      </c>
      <c r="D6" s="153"/>
      <c r="E6" s="30">
        <v>891</v>
      </c>
      <c r="F6" s="31">
        <v>212</v>
      </c>
      <c r="G6" s="31">
        <v>1970</v>
      </c>
      <c r="H6" s="31">
        <v>75</v>
      </c>
      <c r="I6" s="31">
        <v>1927</v>
      </c>
      <c r="J6" s="31">
        <v>716</v>
      </c>
      <c r="K6" s="22">
        <v>2220</v>
      </c>
      <c r="L6" s="32">
        <v>6511</v>
      </c>
      <c r="M6" s="166">
        <v>500</v>
      </c>
      <c r="N6" s="167">
        <f t="shared" ref="N6:N9" si="0">SUM(E6:M6)</f>
        <v>15022</v>
      </c>
      <c r="O6" s="203" t="s">
        <v>189</v>
      </c>
      <c r="R6" s="162" t="s">
        <v>142</v>
      </c>
      <c r="S6" s="169" t="s">
        <v>145</v>
      </c>
      <c r="T6" s="153"/>
      <c r="U6" s="30">
        <v>170</v>
      </c>
      <c r="V6" s="31">
        <v>369</v>
      </c>
      <c r="W6" s="31">
        <v>2264</v>
      </c>
      <c r="X6" s="31">
        <v>0</v>
      </c>
      <c r="Y6" s="31">
        <v>1799</v>
      </c>
      <c r="Z6" s="31">
        <v>403</v>
      </c>
      <c r="AA6" s="22">
        <v>2651.5</v>
      </c>
      <c r="AB6" s="32">
        <v>4783</v>
      </c>
      <c r="AC6" s="166">
        <v>1008</v>
      </c>
      <c r="AD6" s="167">
        <f t="shared" ref="AD6:AD8" si="1">SUM(U6:AC6)</f>
        <v>13447.5</v>
      </c>
    </row>
    <row r="7" spans="2:31" ht="42.75" customHeight="1" thickBot="1" x14ac:dyDescent="0.35">
      <c r="B7" s="199" t="s">
        <v>143</v>
      </c>
      <c r="C7" s="168" t="s">
        <v>183</v>
      </c>
      <c r="D7" s="153"/>
      <c r="E7" s="30">
        <v>886</v>
      </c>
      <c r="F7" s="31">
        <v>821</v>
      </c>
      <c r="G7" s="31">
        <v>1754</v>
      </c>
      <c r="H7" s="31">
        <v>15</v>
      </c>
      <c r="I7" s="31">
        <v>1791</v>
      </c>
      <c r="J7" s="31">
        <v>352</v>
      </c>
      <c r="K7" s="22">
        <v>705</v>
      </c>
      <c r="L7" s="32">
        <v>5789</v>
      </c>
      <c r="M7" s="166">
        <v>0</v>
      </c>
      <c r="N7" s="167">
        <f t="shared" si="0"/>
        <v>12113</v>
      </c>
      <c r="R7" s="162" t="s">
        <v>143</v>
      </c>
      <c r="S7" s="168" t="s">
        <v>147</v>
      </c>
      <c r="T7" s="153"/>
      <c r="U7" s="30">
        <v>469</v>
      </c>
      <c r="V7" s="31">
        <v>188</v>
      </c>
      <c r="W7" s="31">
        <v>2259</v>
      </c>
      <c r="X7" s="31">
        <v>0</v>
      </c>
      <c r="Y7" s="31">
        <v>1881</v>
      </c>
      <c r="Z7" s="31">
        <v>829</v>
      </c>
      <c r="AA7" s="22">
        <v>1340.5</v>
      </c>
      <c r="AB7" s="32">
        <v>6236</v>
      </c>
      <c r="AC7" s="166">
        <v>500</v>
      </c>
      <c r="AD7" s="167">
        <f t="shared" si="1"/>
        <v>13702.5</v>
      </c>
    </row>
    <row r="8" spans="2:31" ht="42.75" customHeight="1" thickBot="1" x14ac:dyDescent="0.35">
      <c r="B8" s="199" t="s">
        <v>144</v>
      </c>
      <c r="C8" s="169"/>
      <c r="D8" s="153"/>
      <c r="E8" s="30"/>
      <c r="F8" s="31"/>
      <c r="G8" s="31"/>
      <c r="H8" s="31"/>
      <c r="I8" s="31"/>
      <c r="J8" s="31"/>
      <c r="K8" s="22"/>
      <c r="L8" s="32"/>
      <c r="M8" s="166"/>
      <c r="N8" s="167">
        <f t="shared" si="0"/>
        <v>0</v>
      </c>
      <c r="R8" s="162" t="s">
        <v>144</v>
      </c>
      <c r="S8" s="169" t="s">
        <v>89</v>
      </c>
      <c r="T8" s="153"/>
      <c r="U8" s="30">
        <v>352</v>
      </c>
      <c r="V8" s="31">
        <v>180</v>
      </c>
      <c r="W8" s="31">
        <v>2776</v>
      </c>
      <c r="X8" s="31">
        <v>45</v>
      </c>
      <c r="Y8" s="31">
        <v>1638</v>
      </c>
      <c r="Z8" s="31">
        <v>381</v>
      </c>
      <c r="AA8" s="22">
        <v>1223</v>
      </c>
      <c r="AB8" s="32">
        <v>2689</v>
      </c>
      <c r="AC8" s="166">
        <v>500</v>
      </c>
      <c r="AD8" s="167">
        <f t="shared" si="1"/>
        <v>9784</v>
      </c>
    </row>
    <row r="9" spans="2:31" ht="24" customHeight="1" thickBot="1" x14ac:dyDescent="0.35">
      <c r="B9" s="197"/>
      <c r="C9" s="169"/>
      <c r="D9" s="153"/>
      <c r="E9" s="30"/>
      <c r="F9" s="31"/>
      <c r="G9" s="31"/>
      <c r="H9" s="31"/>
      <c r="I9" s="31"/>
      <c r="J9" s="31"/>
      <c r="K9" s="22"/>
      <c r="L9" s="32"/>
      <c r="M9" s="166"/>
      <c r="N9" s="167">
        <f t="shared" si="0"/>
        <v>0</v>
      </c>
      <c r="R9" s="197"/>
      <c r="S9" s="169"/>
      <c r="T9" s="153"/>
      <c r="U9" s="30"/>
      <c r="V9" s="31"/>
      <c r="W9" s="31"/>
      <c r="X9" s="31"/>
      <c r="Y9" s="31"/>
      <c r="Z9" s="31"/>
      <c r="AA9" s="22"/>
      <c r="AB9" s="32"/>
      <c r="AC9" s="166"/>
      <c r="AD9" s="167"/>
    </row>
    <row r="10" spans="2:31" ht="19.5" thickBot="1" x14ac:dyDescent="0.35">
      <c r="B10" s="154"/>
      <c r="E10" s="30"/>
      <c r="F10" s="31"/>
      <c r="G10" s="31"/>
      <c r="H10" s="31"/>
      <c r="I10" s="31"/>
      <c r="J10" s="31"/>
      <c r="K10" s="22"/>
      <c r="L10" s="157"/>
      <c r="M10" s="77"/>
      <c r="N10" s="156">
        <v>0</v>
      </c>
      <c r="R10" s="154"/>
      <c r="U10" s="30"/>
      <c r="V10" s="31"/>
      <c r="W10" s="31"/>
      <c r="X10" s="31"/>
      <c r="Y10" s="31"/>
      <c r="Z10" s="31"/>
      <c r="AA10" s="22"/>
      <c r="AB10" s="157"/>
      <c r="AC10" s="77"/>
      <c r="AD10" s="156">
        <v>0</v>
      </c>
    </row>
    <row r="11" spans="2:31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160">
        <f>SUM(N5:N10)</f>
        <v>41707.5</v>
      </c>
      <c r="S11" s="7"/>
      <c r="T11" s="1"/>
      <c r="U11" s="5"/>
      <c r="V11" s="5"/>
      <c r="W11" s="5"/>
      <c r="X11" s="5"/>
      <c r="Y11" s="5"/>
      <c r="Z11" s="5"/>
      <c r="AA11" s="5"/>
      <c r="AB11" s="158"/>
      <c r="AC11" s="159" t="s">
        <v>18</v>
      </c>
      <c r="AD11" s="160">
        <f>SUM(AD5:AD10)</f>
        <v>50513</v>
      </c>
    </row>
    <row r="12" spans="2:31" ht="21" x14ac:dyDescent="0.35">
      <c r="E12" s="5"/>
      <c r="F12" s="5"/>
      <c r="G12" s="155"/>
      <c r="H12" s="155"/>
      <c r="I12" s="155"/>
      <c r="J12" s="5"/>
      <c r="K12" s="5"/>
      <c r="L12" s="5"/>
      <c r="M12" s="71"/>
      <c r="N12" s="74"/>
      <c r="O12" s="130"/>
      <c r="U12" s="5"/>
      <c r="V12" s="5"/>
      <c r="W12" s="155"/>
      <c r="X12" s="155"/>
      <c r="Y12" s="155"/>
      <c r="Z12" s="5"/>
      <c r="AA12" s="5"/>
      <c r="AB12" s="5"/>
      <c r="AC12" s="71"/>
      <c r="AD12" s="74"/>
      <c r="AE12" s="130"/>
    </row>
    <row r="13" spans="2:31" ht="15.75" x14ac:dyDescent="0.25">
      <c r="C13" s="7"/>
      <c r="D13" s="1"/>
      <c r="E13" s="170"/>
      <c r="F13" s="5"/>
      <c r="G13" s="5"/>
      <c r="H13" s="5"/>
      <c r="I13" s="5"/>
      <c r="K13" s="5"/>
      <c r="L13" s="5"/>
      <c r="M13" s="71"/>
      <c r="N13" s="74"/>
      <c r="O13" s="130"/>
      <c r="S13" s="7"/>
      <c r="T13" s="1"/>
      <c r="U13" s="170"/>
      <c r="V13" s="5"/>
      <c r="W13" s="5"/>
      <c r="X13" s="5"/>
      <c r="Y13" s="5"/>
      <c r="AA13" s="5"/>
      <c r="AB13" s="5"/>
      <c r="AC13" s="71"/>
      <c r="AD13" s="74"/>
      <c r="AE13" s="130"/>
    </row>
    <row r="14" spans="2:31" x14ac:dyDescent="0.25">
      <c r="M14" s="130"/>
      <c r="N14" s="74"/>
      <c r="O14" s="130"/>
      <c r="AC14" s="130"/>
      <c r="AD14" s="74"/>
      <c r="AE14" s="130"/>
    </row>
    <row r="15" spans="2:31" ht="15.75" thickBot="1" x14ac:dyDescent="0.3"/>
    <row r="16" spans="2:31" ht="22.5" thickTop="1" thickBot="1" x14ac:dyDescent="0.4">
      <c r="C16" s="7"/>
      <c r="D16" s="273" t="s">
        <v>19</v>
      </c>
      <c r="E16" s="274"/>
      <c r="F16" s="274"/>
      <c r="G16" s="274"/>
      <c r="H16" s="274"/>
      <c r="I16" s="274"/>
      <c r="J16" s="274"/>
      <c r="K16" s="274"/>
      <c r="L16" s="274"/>
      <c r="M16" s="171"/>
      <c r="N16" s="151"/>
      <c r="S16" s="7"/>
      <c r="T16" s="273" t="s">
        <v>19</v>
      </c>
      <c r="U16" s="274"/>
      <c r="V16" s="274"/>
      <c r="W16" s="274"/>
      <c r="X16" s="274"/>
      <c r="Y16" s="274"/>
      <c r="Z16" s="274"/>
      <c r="AA16" s="274"/>
      <c r="AB16" s="274"/>
      <c r="AC16" s="171"/>
      <c r="AD16" s="151"/>
    </row>
    <row r="17" spans="2:31" ht="16.5" thickBot="1" x14ac:dyDescent="0.3">
      <c r="C17" s="7"/>
      <c r="D17" s="1"/>
      <c r="J17" s="264" t="s">
        <v>185</v>
      </c>
      <c r="K17" s="265"/>
      <c r="L17" s="276"/>
      <c r="M17" s="68"/>
      <c r="N17" s="152"/>
      <c r="S17" s="7"/>
      <c r="T17" s="1"/>
      <c r="Z17" s="264" t="s">
        <v>184</v>
      </c>
      <c r="AA17" s="265"/>
      <c r="AB17" s="266"/>
      <c r="AC17" s="68"/>
      <c r="AD17" s="152"/>
    </row>
    <row r="18" spans="2:31" ht="58.5" customHeight="1" thickTop="1" thickBot="1" x14ac:dyDescent="0.3">
      <c r="C18" s="164" t="s">
        <v>0</v>
      </c>
      <c r="D18" s="24"/>
      <c r="E18" s="176" t="s">
        <v>2</v>
      </c>
      <c r="F18" s="146" t="s">
        <v>7</v>
      </c>
      <c r="G18" s="146" t="s">
        <v>38</v>
      </c>
      <c r="H18" s="176" t="s">
        <v>3</v>
      </c>
      <c r="I18" s="177" t="s">
        <v>4</v>
      </c>
      <c r="J18" s="146" t="s">
        <v>22</v>
      </c>
      <c r="K18" s="149" t="s">
        <v>8</v>
      </c>
      <c r="L18" s="180" t="s">
        <v>5</v>
      </c>
      <c r="M18" s="181"/>
      <c r="N18" s="172" t="s">
        <v>18</v>
      </c>
      <c r="S18" s="164" t="s">
        <v>0</v>
      </c>
      <c r="T18" s="24"/>
      <c r="U18" s="176" t="s">
        <v>2</v>
      </c>
      <c r="V18" s="146" t="s">
        <v>7</v>
      </c>
      <c r="W18" s="146" t="s">
        <v>38</v>
      </c>
      <c r="X18" s="176" t="s">
        <v>3</v>
      </c>
      <c r="Y18" s="177" t="s">
        <v>4</v>
      </c>
      <c r="Z18" s="146" t="s">
        <v>22</v>
      </c>
      <c r="AA18" s="149" t="s">
        <v>8</v>
      </c>
      <c r="AB18" s="180" t="s">
        <v>5</v>
      </c>
      <c r="AC18" s="181"/>
      <c r="AD18" s="172" t="s">
        <v>18</v>
      </c>
    </row>
    <row r="19" spans="2:31" ht="42.75" customHeight="1" thickTop="1" thickBot="1" x14ac:dyDescent="0.35">
      <c r="B19" s="198" t="s">
        <v>141</v>
      </c>
      <c r="C19" s="169" t="s">
        <v>123</v>
      </c>
      <c r="D19" s="153"/>
      <c r="E19" s="30">
        <v>863</v>
      </c>
      <c r="F19" s="31">
        <v>1081</v>
      </c>
      <c r="G19" s="31">
        <v>2839</v>
      </c>
      <c r="H19" s="31">
        <v>145</v>
      </c>
      <c r="I19" s="31">
        <v>729</v>
      </c>
      <c r="J19" s="31">
        <v>6157</v>
      </c>
      <c r="K19" s="22">
        <v>1245</v>
      </c>
      <c r="L19" s="32">
        <v>8215</v>
      </c>
      <c r="M19" s="166"/>
      <c r="N19" s="167">
        <f>SUM(E19:M19)</f>
        <v>21274</v>
      </c>
      <c r="R19" s="182" t="s">
        <v>141</v>
      </c>
      <c r="S19" s="169" t="s">
        <v>20</v>
      </c>
      <c r="T19" s="163"/>
      <c r="U19" s="30">
        <v>611</v>
      </c>
      <c r="V19" s="31">
        <v>1221</v>
      </c>
      <c r="W19" s="31">
        <v>2804</v>
      </c>
      <c r="X19" s="31">
        <v>334</v>
      </c>
      <c r="Y19" s="31">
        <v>779</v>
      </c>
      <c r="Z19" s="31">
        <v>6414</v>
      </c>
      <c r="AA19" s="22">
        <v>1510</v>
      </c>
      <c r="AB19" s="178">
        <v>6779</v>
      </c>
      <c r="AC19" s="179">
        <v>0</v>
      </c>
      <c r="AD19" s="167">
        <f>SUM(U19:AC19)</f>
        <v>20452</v>
      </c>
    </row>
    <row r="20" spans="2:31" ht="42.75" customHeight="1" thickBot="1" x14ac:dyDescent="0.35">
      <c r="B20" s="198" t="s">
        <v>142</v>
      </c>
      <c r="C20" s="169" t="s">
        <v>186</v>
      </c>
      <c r="D20" s="153"/>
      <c r="E20" s="30">
        <v>830</v>
      </c>
      <c r="F20" s="31">
        <v>1055</v>
      </c>
      <c r="G20" s="31">
        <v>3148</v>
      </c>
      <c r="H20" s="31">
        <v>176</v>
      </c>
      <c r="I20" s="31">
        <v>0</v>
      </c>
      <c r="J20" s="31">
        <v>8637</v>
      </c>
      <c r="K20" s="22">
        <v>1947</v>
      </c>
      <c r="L20" s="32">
        <v>7231</v>
      </c>
      <c r="M20" s="166"/>
      <c r="N20" s="167">
        <f t="shared" ref="N20:N23" si="2">SUM(E20:M20)</f>
        <v>23024</v>
      </c>
      <c r="O20" s="203" t="s">
        <v>189</v>
      </c>
      <c r="R20" s="182" t="s">
        <v>142</v>
      </c>
      <c r="S20" s="169" t="s">
        <v>145</v>
      </c>
      <c r="T20" s="153"/>
      <c r="U20" s="30">
        <v>907</v>
      </c>
      <c r="V20" s="31">
        <v>89</v>
      </c>
      <c r="W20" s="31">
        <v>2444</v>
      </c>
      <c r="X20" s="31">
        <v>58</v>
      </c>
      <c r="Y20" s="31">
        <v>403</v>
      </c>
      <c r="Z20" s="31">
        <v>5587</v>
      </c>
      <c r="AA20" s="22">
        <v>4449.5</v>
      </c>
      <c r="AB20" s="32">
        <v>5143</v>
      </c>
      <c r="AC20" s="166">
        <v>0</v>
      </c>
      <c r="AD20" s="167">
        <f t="shared" ref="AD20:AD22" si="3">SUM(U20:AC20)</f>
        <v>19080.5</v>
      </c>
    </row>
    <row r="21" spans="2:31" ht="42.75" customHeight="1" thickBot="1" x14ac:dyDescent="0.35">
      <c r="B21" s="198" t="s">
        <v>143</v>
      </c>
      <c r="C21" s="168" t="s">
        <v>187</v>
      </c>
      <c r="D21" s="153"/>
      <c r="E21" s="30">
        <v>803</v>
      </c>
      <c r="F21" s="31">
        <v>590</v>
      </c>
      <c r="G21" s="31">
        <v>2219</v>
      </c>
      <c r="H21" s="31">
        <v>75</v>
      </c>
      <c r="I21" s="31">
        <v>714</v>
      </c>
      <c r="J21" s="31">
        <v>5982</v>
      </c>
      <c r="K21" s="22">
        <v>1916</v>
      </c>
      <c r="L21" s="32">
        <v>7144</v>
      </c>
      <c r="M21" s="166"/>
      <c r="N21" s="167">
        <f t="shared" si="2"/>
        <v>19443</v>
      </c>
      <c r="R21" s="182" t="s">
        <v>143</v>
      </c>
      <c r="S21" s="168" t="s">
        <v>147</v>
      </c>
      <c r="T21" s="153"/>
      <c r="U21" s="30">
        <v>1055</v>
      </c>
      <c r="V21" s="31">
        <v>1176</v>
      </c>
      <c r="W21" s="31">
        <v>3027</v>
      </c>
      <c r="X21" s="31">
        <v>40</v>
      </c>
      <c r="Y21" s="31">
        <v>400</v>
      </c>
      <c r="Z21" s="31">
        <v>5602</v>
      </c>
      <c r="AA21" s="22">
        <v>1880</v>
      </c>
      <c r="AB21" s="32">
        <v>6403</v>
      </c>
      <c r="AC21" s="166">
        <v>0</v>
      </c>
      <c r="AD21" s="167">
        <f t="shared" si="3"/>
        <v>19583</v>
      </c>
    </row>
    <row r="22" spans="2:31" ht="42.75" customHeight="1" thickBot="1" x14ac:dyDescent="0.35">
      <c r="B22" s="198" t="s">
        <v>144</v>
      </c>
      <c r="C22" s="169"/>
      <c r="D22" s="153"/>
      <c r="E22" s="30"/>
      <c r="F22" s="31"/>
      <c r="G22" s="31"/>
      <c r="H22" s="31"/>
      <c r="I22" s="31"/>
      <c r="J22" s="31"/>
      <c r="K22" s="22"/>
      <c r="L22" s="32"/>
      <c r="M22" s="166"/>
      <c r="N22" s="167">
        <f t="shared" si="2"/>
        <v>0</v>
      </c>
      <c r="R22" s="182" t="s">
        <v>144</v>
      </c>
      <c r="S22" s="169" t="s">
        <v>89</v>
      </c>
      <c r="T22" s="153"/>
      <c r="U22" s="30">
        <v>770</v>
      </c>
      <c r="V22" s="31">
        <v>1462</v>
      </c>
      <c r="W22" s="31">
        <v>3659</v>
      </c>
      <c r="X22" s="31">
        <v>125</v>
      </c>
      <c r="Y22" s="31">
        <v>728</v>
      </c>
      <c r="Z22" s="31">
        <v>5451</v>
      </c>
      <c r="AA22" s="22">
        <v>4130.5</v>
      </c>
      <c r="AB22" s="32">
        <v>2659</v>
      </c>
      <c r="AC22" s="166"/>
      <c r="AD22" s="167">
        <f t="shared" si="3"/>
        <v>18984.5</v>
      </c>
      <c r="AE22" s="203" t="s">
        <v>189</v>
      </c>
    </row>
    <row r="23" spans="2:31" ht="18" customHeight="1" thickBot="1" x14ac:dyDescent="0.35">
      <c r="B23" s="197"/>
      <c r="C23" s="169"/>
      <c r="D23" s="153"/>
      <c r="E23" s="30"/>
      <c r="F23" s="31"/>
      <c r="G23" s="31"/>
      <c r="H23" s="31"/>
      <c r="I23" s="31"/>
      <c r="J23" s="31"/>
      <c r="K23" s="22"/>
      <c r="L23" s="32"/>
      <c r="M23" s="166"/>
      <c r="N23" s="167">
        <f t="shared" si="2"/>
        <v>0</v>
      </c>
      <c r="R23" s="197"/>
      <c r="S23" s="169"/>
      <c r="T23" s="153"/>
      <c r="U23" s="30"/>
      <c r="V23" s="31"/>
      <c r="W23" s="31"/>
      <c r="X23" s="31"/>
      <c r="Y23" s="31"/>
      <c r="Z23" s="31"/>
      <c r="AA23" s="22"/>
      <c r="AB23" s="32"/>
      <c r="AC23" s="166"/>
      <c r="AD23" s="167"/>
    </row>
    <row r="24" spans="2:31" ht="19.5" thickBot="1" x14ac:dyDescent="0.35">
      <c r="B24" s="154"/>
      <c r="E24" s="30"/>
      <c r="F24" s="31"/>
      <c r="G24" s="31"/>
      <c r="H24" s="31"/>
      <c r="I24" s="31"/>
      <c r="J24" s="31"/>
      <c r="K24" s="22"/>
      <c r="L24" s="157"/>
      <c r="M24" s="77"/>
      <c r="N24" s="156">
        <v>0</v>
      </c>
      <c r="R24" s="154"/>
      <c r="U24" s="30"/>
      <c r="V24" s="31"/>
      <c r="W24" s="31"/>
      <c r="X24" s="31"/>
      <c r="Y24" s="31"/>
      <c r="Z24" s="31"/>
      <c r="AA24" s="22"/>
      <c r="AB24" s="157"/>
      <c r="AC24" s="77"/>
      <c r="AD24" s="156">
        <v>0</v>
      </c>
    </row>
    <row r="25" spans="2:31" ht="24" thickBot="1" x14ac:dyDescent="0.35">
      <c r="C25" s="7"/>
      <c r="D25" s="1"/>
      <c r="E25" s="5"/>
      <c r="F25" s="5"/>
      <c r="G25" s="5"/>
      <c r="H25" s="5"/>
      <c r="I25" s="5"/>
      <c r="J25" s="5"/>
      <c r="K25" s="5"/>
      <c r="L25" s="173"/>
      <c r="M25" s="174" t="s">
        <v>18</v>
      </c>
      <c r="N25" s="175">
        <f>SUM(N19:N24)</f>
        <v>63741</v>
      </c>
      <c r="S25" s="7"/>
      <c r="T25" s="1"/>
      <c r="U25" s="5"/>
      <c r="V25" s="5"/>
      <c r="W25" s="5"/>
      <c r="X25" s="5"/>
      <c r="Y25" s="5"/>
      <c r="Z25" s="5"/>
      <c r="AA25" s="5"/>
      <c r="AB25" s="173"/>
      <c r="AC25" s="174" t="s">
        <v>18</v>
      </c>
      <c r="AD25" s="175">
        <f>SUM(AD19:AD24)</f>
        <v>78100</v>
      </c>
    </row>
    <row r="26" spans="2:31" ht="21" x14ac:dyDescent="0.35">
      <c r="E26" s="5"/>
      <c r="F26" s="5"/>
      <c r="G26" s="155"/>
      <c r="H26" s="155"/>
      <c r="I26" s="155"/>
      <c r="J26" s="5"/>
      <c r="K26" s="5"/>
      <c r="L26" s="5"/>
      <c r="M26" s="71"/>
      <c r="N26" s="74"/>
      <c r="O26" s="130"/>
      <c r="U26" s="5"/>
      <c r="V26" s="5"/>
      <c r="W26" s="155"/>
      <c r="X26" s="155"/>
      <c r="Y26" s="155"/>
      <c r="Z26" s="5"/>
      <c r="AA26" s="5"/>
      <c r="AB26" s="5"/>
      <c r="AC26" s="71"/>
      <c r="AD26" s="74"/>
      <c r="AE26" s="130"/>
    </row>
  </sheetData>
  <mergeCells count="8">
    <mergeCell ref="T16:AB16"/>
    <mergeCell ref="Z17:AB17"/>
    <mergeCell ref="T2:AB2"/>
    <mergeCell ref="Z3:AB3"/>
    <mergeCell ref="D2:L2"/>
    <mergeCell ref="J3:L3"/>
    <mergeCell ref="D16:L16"/>
    <mergeCell ref="J17:L17"/>
  </mergeCells>
  <pageMargins left="0.23622047244094491" right="0.23622047244094491" top="0.74803149606299213" bottom="0.74803149606299213" header="0.31496062992125984" footer="0.31496062992125984"/>
  <pageSetup scale="8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BM34"/>
  <sheetViews>
    <sheetView topLeftCell="A16" zoomScaleNormal="100" workbookViewId="0">
      <selection activeCell="B18" sqref="B18"/>
    </sheetView>
  </sheetViews>
  <sheetFormatPr baseColWidth="10" defaultRowHeight="15" x14ac:dyDescent="0.25"/>
  <cols>
    <col min="3" max="3" width="12.28515625" customWidth="1"/>
    <col min="4" max="4" width="2.28515625" customWidth="1"/>
    <col min="5" max="6" width="12.140625" bestFit="1" customWidth="1"/>
    <col min="7" max="7" width="12.7109375" bestFit="1" customWidth="1"/>
    <col min="9" max="10" width="12.140625" bestFit="1" customWidth="1"/>
    <col min="12" max="12" width="12.140625" bestFit="1" customWidth="1"/>
    <col min="14" max="14" width="15.85546875" style="80" bestFit="1" customWidth="1"/>
    <col min="15" max="15" width="15.42578125" customWidth="1"/>
    <col min="21" max="21" width="12.28515625" customWidth="1"/>
    <col min="22" max="22" width="2.28515625" customWidth="1"/>
    <col min="23" max="24" width="12.140625" bestFit="1" customWidth="1"/>
    <col min="25" max="25" width="12.7109375" bestFit="1" customWidth="1"/>
    <col min="27" max="28" width="12.140625" bestFit="1" customWidth="1"/>
    <col min="30" max="30" width="12.140625" bestFit="1" customWidth="1"/>
    <col min="32" max="32" width="15.42578125" style="80" customWidth="1"/>
    <col min="34" max="35" width="3.85546875" customWidth="1"/>
    <col min="38" max="38" width="12.28515625" customWidth="1"/>
    <col min="39" max="39" width="2.28515625" customWidth="1"/>
    <col min="40" max="42" width="12.140625" bestFit="1" customWidth="1"/>
    <col min="44" max="45" width="12.140625" bestFit="1" customWidth="1"/>
    <col min="47" max="47" width="12.140625" bestFit="1" customWidth="1"/>
    <col min="49" max="49" width="15.42578125" style="80" customWidth="1"/>
    <col min="53" max="53" width="12.28515625" customWidth="1"/>
    <col min="54" max="54" width="2.28515625" customWidth="1"/>
    <col min="64" max="64" width="16.7109375" style="80" customWidth="1"/>
  </cols>
  <sheetData>
    <row r="1" spans="2:65" ht="60" customHeight="1" thickBot="1" x14ac:dyDescent="0.3"/>
    <row r="2" spans="2:65" ht="22.5" thickTop="1" thickBot="1" x14ac:dyDescent="0.4">
      <c r="C2" s="7"/>
      <c r="D2" s="260" t="s">
        <v>336</v>
      </c>
      <c r="E2" s="261"/>
      <c r="F2" s="261"/>
      <c r="G2" s="261"/>
      <c r="H2" s="261"/>
      <c r="I2" s="261"/>
      <c r="J2" s="261"/>
      <c r="K2" s="261"/>
      <c r="L2" s="261"/>
      <c r="M2" s="84"/>
      <c r="N2" s="151"/>
      <c r="U2" s="7"/>
      <c r="V2" s="260" t="s">
        <v>36</v>
      </c>
      <c r="W2" s="261"/>
      <c r="X2" s="261"/>
      <c r="Y2" s="261"/>
      <c r="Z2" s="261"/>
      <c r="AA2" s="261"/>
      <c r="AB2" s="261"/>
      <c r="AC2" s="261"/>
      <c r="AD2" s="261"/>
      <c r="AE2" s="84"/>
      <c r="AF2" s="151"/>
      <c r="AL2" s="7"/>
      <c r="AM2" s="260" t="s">
        <v>36</v>
      </c>
      <c r="AN2" s="261"/>
      <c r="AO2" s="261"/>
      <c r="AP2" s="261"/>
      <c r="AQ2" s="261"/>
      <c r="AR2" s="261"/>
      <c r="AS2" s="261"/>
      <c r="AT2" s="261"/>
      <c r="AU2" s="261"/>
      <c r="AV2" s="84"/>
      <c r="AW2" s="151"/>
      <c r="BA2" s="7"/>
      <c r="BB2" s="260" t="s">
        <v>36</v>
      </c>
      <c r="BC2" s="261"/>
      <c r="BD2" s="261"/>
      <c r="BE2" s="261"/>
      <c r="BF2" s="261"/>
      <c r="BG2" s="261"/>
      <c r="BH2" s="261"/>
      <c r="BI2" s="261"/>
      <c r="BJ2" s="261"/>
      <c r="BK2" s="84"/>
      <c r="BL2" s="151"/>
    </row>
    <row r="3" spans="2:65" ht="16.5" thickBot="1" x14ac:dyDescent="0.3">
      <c r="C3" s="7"/>
      <c r="D3" s="1"/>
      <c r="J3" s="264"/>
      <c r="K3" s="265"/>
      <c r="L3" s="276"/>
      <c r="M3" s="68"/>
      <c r="N3" s="152"/>
      <c r="U3" s="7"/>
      <c r="V3" s="1"/>
      <c r="AB3" s="264"/>
      <c r="AC3" s="265"/>
      <c r="AD3" s="276"/>
      <c r="AE3" s="68"/>
      <c r="AF3" s="152"/>
      <c r="AL3" s="7"/>
      <c r="AM3" s="1"/>
      <c r="AS3" s="264"/>
      <c r="AT3" s="265"/>
      <c r="AU3" s="276"/>
      <c r="AV3" s="68"/>
      <c r="AW3" s="152"/>
      <c r="BA3" s="7"/>
      <c r="BB3" s="1"/>
      <c r="BH3" s="264"/>
      <c r="BI3" s="265"/>
      <c r="BJ3" s="266"/>
      <c r="BK3" s="68"/>
      <c r="BL3" s="152"/>
    </row>
    <row r="4" spans="2:65" ht="61.5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U4" s="164" t="s">
        <v>0</v>
      </c>
      <c r="V4" s="24"/>
      <c r="W4" s="176" t="s">
        <v>2</v>
      </c>
      <c r="X4" s="146" t="s">
        <v>7</v>
      </c>
      <c r="Y4" s="147" t="s">
        <v>38</v>
      </c>
      <c r="Z4" s="176" t="s">
        <v>3</v>
      </c>
      <c r="AA4" s="146" t="s">
        <v>22</v>
      </c>
      <c r="AB4" s="200" t="s">
        <v>4</v>
      </c>
      <c r="AC4" s="149" t="s">
        <v>8</v>
      </c>
      <c r="AD4" s="202" t="s">
        <v>5</v>
      </c>
      <c r="AE4" s="201" t="s">
        <v>146</v>
      </c>
      <c r="AF4" s="161" t="s">
        <v>18</v>
      </c>
      <c r="AL4" s="164" t="s">
        <v>0</v>
      </c>
      <c r="AM4" s="24"/>
      <c r="AN4" s="176" t="s">
        <v>2</v>
      </c>
      <c r="AO4" s="146" t="s">
        <v>7</v>
      </c>
      <c r="AP4" s="147" t="s">
        <v>38</v>
      </c>
      <c r="AQ4" s="176" t="s">
        <v>3</v>
      </c>
      <c r="AR4" s="146" t="s">
        <v>22</v>
      </c>
      <c r="AS4" s="200" t="s">
        <v>4</v>
      </c>
      <c r="AT4" s="149" t="s">
        <v>8</v>
      </c>
      <c r="AU4" s="202" t="s">
        <v>5</v>
      </c>
      <c r="AV4" s="201" t="s">
        <v>146</v>
      </c>
      <c r="AW4" s="161" t="s">
        <v>18</v>
      </c>
      <c r="BA4" s="164" t="s">
        <v>0</v>
      </c>
      <c r="BB4" s="24"/>
      <c r="BC4" s="145" t="s">
        <v>2</v>
      </c>
      <c r="BD4" s="146" t="s">
        <v>7</v>
      </c>
      <c r="BE4" s="147" t="s">
        <v>38</v>
      </c>
      <c r="BF4" s="145" t="s">
        <v>3</v>
      </c>
      <c r="BG4" s="146" t="s">
        <v>22</v>
      </c>
      <c r="BH4" s="148" t="s">
        <v>4</v>
      </c>
      <c r="BI4" s="149" t="s">
        <v>8</v>
      </c>
      <c r="BJ4" s="150" t="s">
        <v>5</v>
      </c>
      <c r="BK4" s="165" t="s">
        <v>146</v>
      </c>
      <c r="BL4" s="161" t="s">
        <v>18</v>
      </c>
    </row>
    <row r="5" spans="2:65" ht="39" thickTop="1" thickBot="1" x14ac:dyDescent="0.35">
      <c r="B5" s="251" t="s">
        <v>141</v>
      </c>
      <c r="C5" s="168" t="s">
        <v>337</v>
      </c>
      <c r="D5" s="153"/>
      <c r="E5" s="30">
        <v>0</v>
      </c>
      <c r="F5" s="31">
        <v>0</v>
      </c>
      <c r="G5" s="31">
        <v>0</v>
      </c>
      <c r="H5" s="31">
        <v>0</v>
      </c>
      <c r="I5" s="31">
        <f>85+750</f>
        <v>835</v>
      </c>
      <c r="J5" s="31">
        <v>0</v>
      </c>
      <c r="K5" s="22">
        <v>2120</v>
      </c>
      <c r="L5" s="32">
        <v>0</v>
      </c>
      <c r="M5" s="166">
        <v>500</v>
      </c>
      <c r="N5" s="167">
        <f>SUM(E5:M5)</f>
        <v>3455</v>
      </c>
      <c r="T5" s="251" t="s">
        <v>141</v>
      </c>
      <c r="U5" s="168" t="s">
        <v>268</v>
      </c>
      <c r="V5" s="153"/>
      <c r="W5" s="30">
        <v>190</v>
      </c>
      <c r="X5" s="31">
        <v>0</v>
      </c>
      <c r="Y5" s="31">
        <v>108</v>
      </c>
      <c r="Z5" s="31">
        <v>15</v>
      </c>
      <c r="AA5" s="31">
        <v>1740</v>
      </c>
      <c r="AB5" s="31">
        <v>0</v>
      </c>
      <c r="AC5" s="22">
        <v>127</v>
      </c>
      <c r="AD5" s="32">
        <v>5789</v>
      </c>
      <c r="AE5" s="166"/>
      <c r="AF5" s="167">
        <f>SUM(W5:AE5)</f>
        <v>7969</v>
      </c>
      <c r="AK5" s="199" t="s">
        <v>141</v>
      </c>
      <c r="AL5" s="168" t="s">
        <v>147</v>
      </c>
      <c r="AM5" s="153"/>
      <c r="AN5" s="30">
        <v>469</v>
      </c>
      <c r="AO5" s="31">
        <v>188</v>
      </c>
      <c r="AP5" s="31">
        <v>2259</v>
      </c>
      <c r="AQ5" s="31">
        <v>0</v>
      </c>
      <c r="AR5" s="31">
        <v>1881</v>
      </c>
      <c r="AS5" s="31">
        <v>829</v>
      </c>
      <c r="AT5" s="22">
        <v>1340.5</v>
      </c>
      <c r="AU5" s="32">
        <v>6236</v>
      </c>
      <c r="AV5" s="166">
        <v>500</v>
      </c>
      <c r="AW5" s="167">
        <f>SUM(AN5:AV5)</f>
        <v>13702.5</v>
      </c>
      <c r="AZ5" s="220" t="s">
        <v>141</v>
      </c>
      <c r="BA5" s="221" t="s">
        <v>20</v>
      </c>
      <c r="BB5" s="163"/>
      <c r="BC5" s="30">
        <v>402</v>
      </c>
      <c r="BD5" s="31">
        <v>303</v>
      </c>
      <c r="BE5" s="31">
        <v>1779</v>
      </c>
      <c r="BF5" s="31">
        <v>85</v>
      </c>
      <c r="BG5" s="31">
        <v>1738</v>
      </c>
      <c r="BH5" s="31">
        <v>472</v>
      </c>
      <c r="BI5" s="22">
        <v>2714</v>
      </c>
      <c r="BJ5" s="32">
        <v>6086</v>
      </c>
      <c r="BK5" s="166">
        <v>0</v>
      </c>
      <c r="BL5" s="167">
        <f>SUM(BC5:BK5)</f>
        <v>13579</v>
      </c>
    </row>
    <row r="6" spans="2:65" ht="40.5" thickBot="1" x14ac:dyDescent="0.35">
      <c r="B6" s="251" t="s">
        <v>142</v>
      </c>
      <c r="C6" s="168" t="s">
        <v>338</v>
      </c>
      <c r="D6" s="153"/>
      <c r="E6" s="30">
        <v>712</v>
      </c>
      <c r="F6" s="31">
        <v>292</v>
      </c>
      <c r="G6" s="31">
        <v>1925</v>
      </c>
      <c r="H6" s="31">
        <v>15</v>
      </c>
      <c r="I6" s="31">
        <v>1811</v>
      </c>
      <c r="J6" s="31">
        <v>86</v>
      </c>
      <c r="K6" s="22">
        <v>1972</v>
      </c>
      <c r="L6" s="32">
        <v>5944</v>
      </c>
      <c r="M6" s="166">
        <v>0</v>
      </c>
      <c r="N6" s="167">
        <f t="shared" ref="N6:N9" si="0">SUM(E6:M6)</f>
        <v>12757</v>
      </c>
      <c r="O6" s="250"/>
      <c r="T6" s="251" t="s">
        <v>142</v>
      </c>
      <c r="U6" s="169" t="s">
        <v>269</v>
      </c>
      <c r="V6" s="153"/>
      <c r="W6" s="30">
        <v>956</v>
      </c>
      <c r="X6" s="31">
        <v>0</v>
      </c>
      <c r="Y6" s="31">
        <v>2424</v>
      </c>
      <c r="Z6" s="31">
        <v>0</v>
      </c>
      <c r="AA6" s="31">
        <v>1386</v>
      </c>
      <c r="AB6" s="31">
        <v>704</v>
      </c>
      <c r="AC6" s="22">
        <v>2425</v>
      </c>
      <c r="AD6" s="32">
        <v>3964</v>
      </c>
      <c r="AE6" s="247">
        <v>500</v>
      </c>
      <c r="AF6" s="167">
        <f t="shared" ref="AF6:AF9" si="1">SUM(W6:AE6)</f>
        <v>12359</v>
      </c>
      <c r="AG6" s="250"/>
      <c r="AK6" s="199" t="s">
        <v>142</v>
      </c>
      <c r="AL6" s="169" t="s">
        <v>89</v>
      </c>
      <c r="AM6" s="153"/>
      <c r="AN6" s="30">
        <v>352</v>
      </c>
      <c r="AO6" s="31">
        <v>180</v>
      </c>
      <c r="AP6" s="31">
        <v>2776</v>
      </c>
      <c r="AQ6" s="31">
        <v>45</v>
      </c>
      <c r="AR6" s="31">
        <v>1638</v>
      </c>
      <c r="AS6" s="31">
        <v>381</v>
      </c>
      <c r="AT6" s="22">
        <v>1223</v>
      </c>
      <c r="AU6" s="32">
        <v>2689</v>
      </c>
      <c r="AV6" s="166">
        <v>500</v>
      </c>
      <c r="AW6" s="167">
        <f t="shared" ref="AW6:AW9" si="2">SUM(AN6:AV6)</f>
        <v>9784</v>
      </c>
      <c r="AX6" s="203" t="s">
        <v>189</v>
      </c>
      <c r="AZ6" s="162" t="s">
        <v>142</v>
      </c>
      <c r="BA6" s="224" t="s">
        <v>145</v>
      </c>
      <c r="BB6" s="153"/>
      <c r="BC6" s="30">
        <v>170</v>
      </c>
      <c r="BD6" s="31">
        <v>369</v>
      </c>
      <c r="BE6" s="31">
        <v>2264</v>
      </c>
      <c r="BF6" s="31">
        <v>0</v>
      </c>
      <c r="BG6" s="31">
        <v>1799</v>
      </c>
      <c r="BH6" s="31">
        <v>403</v>
      </c>
      <c r="BI6" s="22">
        <v>2651.5</v>
      </c>
      <c r="BJ6" s="32">
        <v>4783</v>
      </c>
      <c r="BK6" s="166">
        <v>1008</v>
      </c>
      <c r="BL6" s="215">
        <f t="shared" ref="BL6:BL7" si="3">SUM(BC6:BK6)</f>
        <v>13447.5</v>
      </c>
    </row>
    <row r="7" spans="2:65" ht="38.25" thickBot="1" x14ac:dyDescent="0.35">
      <c r="B7" s="251" t="s">
        <v>143</v>
      </c>
      <c r="C7" s="168" t="s">
        <v>339</v>
      </c>
      <c r="D7" s="153"/>
      <c r="E7" s="30">
        <v>470</v>
      </c>
      <c r="F7" s="31">
        <v>480</v>
      </c>
      <c r="G7" s="31">
        <v>1334</v>
      </c>
      <c r="H7" s="31">
        <v>100</v>
      </c>
      <c r="I7" s="31">
        <v>1573</v>
      </c>
      <c r="J7" s="31">
        <v>452</v>
      </c>
      <c r="K7" s="22">
        <v>1536</v>
      </c>
      <c r="L7" s="32">
        <v>5191</v>
      </c>
      <c r="M7" s="166">
        <v>977</v>
      </c>
      <c r="N7" s="167">
        <f t="shared" si="0"/>
        <v>12113</v>
      </c>
      <c r="T7" s="251" t="s">
        <v>143</v>
      </c>
      <c r="U7" s="169" t="s">
        <v>270</v>
      </c>
      <c r="V7" s="153"/>
      <c r="W7" s="30">
        <v>448</v>
      </c>
      <c r="X7" s="31">
        <v>759</v>
      </c>
      <c r="Y7" s="31">
        <v>2261</v>
      </c>
      <c r="Z7" s="31">
        <v>0</v>
      </c>
      <c r="AA7" s="31">
        <v>1573</v>
      </c>
      <c r="AB7" s="31">
        <v>0</v>
      </c>
      <c r="AC7" s="22">
        <v>1004</v>
      </c>
      <c r="AD7" s="178">
        <v>5653</v>
      </c>
      <c r="AE7" s="247">
        <v>500</v>
      </c>
      <c r="AF7" s="167">
        <f t="shared" si="1"/>
        <v>12198</v>
      </c>
      <c r="AK7" s="199" t="s">
        <v>143</v>
      </c>
      <c r="AL7" s="169" t="s">
        <v>123</v>
      </c>
      <c r="AM7" s="153"/>
      <c r="AN7" s="30">
        <v>665.5</v>
      </c>
      <c r="AO7" s="31">
        <v>68</v>
      </c>
      <c r="AP7" s="31">
        <v>2076</v>
      </c>
      <c r="AQ7" s="31">
        <v>140</v>
      </c>
      <c r="AR7" s="31">
        <v>1706</v>
      </c>
      <c r="AS7" s="31">
        <v>850</v>
      </c>
      <c r="AT7" s="22">
        <v>781</v>
      </c>
      <c r="AU7" s="178">
        <v>7786</v>
      </c>
      <c r="AV7" s="166">
        <v>500</v>
      </c>
      <c r="AW7" s="167">
        <f t="shared" si="2"/>
        <v>14572.5</v>
      </c>
      <c r="AZ7" s="222"/>
      <c r="BA7" s="223"/>
      <c r="BB7" s="153"/>
      <c r="BC7" s="225"/>
      <c r="BD7" s="227"/>
      <c r="BE7" s="283" t="s">
        <v>192</v>
      </c>
      <c r="BF7" s="283"/>
      <c r="BG7" s="283"/>
      <c r="BH7" s="284"/>
      <c r="BI7" s="226"/>
      <c r="BJ7" s="225"/>
      <c r="BK7" s="228"/>
      <c r="BL7" s="229">
        <f t="shared" si="3"/>
        <v>0</v>
      </c>
    </row>
    <row r="8" spans="2:65" ht="38.25" thickBot="1" x14ac:dyDescent="0.35">
      <c r="B8" s="251" t="s">
        <v>144</v>
      </c>
      <c r="C8" s="168" t="s">
        <v>340</v>
      </c>
      <c r="D8" s="153"/>
      <c r="E8" s="30">
        <v>676</v>
      </c>
      <c r="F8" s="31">
        <v>287</v>
      </c>
      <c r="G8" s="31">
        <v>2170</v>
      </c>
      <c r="H8" s="31">
        <v>25</v>
      </c>
      <c r="I8" s="31">
        <v>1488</v>
      </c>
      <c r="J8" s="31">
        <v>433</v>
      </c>
      <c r="K8" s="22">
        <v>1835</v>
      </c>
      <c r="L8" s="32">
        <v>3313</v>
      </c>
      <c r="M8" s="166">
        <v>500</v>
      </c>
      <c r="N8" s="167">
        <f t="shared" si="0"/>
        <v>10727</v>
      </c>
      <c r="T8" s="251" t="s">
        <v>144</v>
      </c>
      <c r="U8" s="168" t="s">
        <v>272</v>
      </c>
      <c r="V8" s="153"/>
      <c r="W8" s="212">
        <v>728</v>
      </c>
      <c r="X8" s="210">
        <v>138</v>
      </c>
      <c r="Y8" s="210">
        <v>2336</v>
      </c>
      <c r="Z8" s="210">
        <v>155</v>
      </c>
      <c r="AA8" s="210">
        <v>1437</v>
      </c>
      <c r="AB8" s="210">
        <v>449</v>
      </c>
      <c r="AC8" s="211">
        <v>820</v>
      </c>
      <c r="AD8" s="213">
        <v>2460</v>
      </c>
      <c r="AE8" s="248">
        <v>818</v>
      </c>
      <c r="AF8" s="167">
        <f t="shared" si="1"/>
        <v>9341</v>
      </c>
      <c r="AK8" s="199" t="s">
        <v>144</v>
      </c>
      <c r="AL8" s="168" t="s">
        <v>191</v>
      </c>
      <c r="AM8" s="153"/>
      <c r="AN8" s="212">
        <f>891+221+100+155+220</f>
        <v>1587</v>
      </c>
      <c r="AO8" s="210">
        <f>212+180+641</f>
        <v>1033</v>
      </c>
      <c r="AP8" s="210">
        <f>1970+60+45+1601</f>
        <v>3676</v>
      </c>
      <c r="AQ8" s="210">
        <f>75+45</f>
        <v>120</v>
      </c>
      <c r="AR8" s="210">
        <f>1927+51</f>
        <v>1978</v>
      </c>
      <c r="AS8" s="210">
        <f>716+352</f>
        <v>1068</v>
      </c>
      <c r="AT8" s="211">
        <f>2220+578</f>
        <v>2798</v>
      </c>
      <c r="AU8" s="213">
        <v>6511</v>
      </c>
      <c r="AV8" s="214">
        <v>500</v>
      </c>
      <c r="AW8" s="167">
        <f t="shared" si="2"/>
        <v>19271</v>
      </c>
      <c r="AZ8" s="154"/>
      <c r="BC8" s="218"/>
      <c r="BD8" s="218"/>
      <c r="BE8" s="218"/>
      <c r="BF8" s="218"/>
      <c r="BG8" s="218"/>
      <c r="BH8" s="218"/>
      <c r="BI8" s="219"/>
      <c r="BJ8" s="232"/>
      <c r="BK8" s="232"/>
      <c r="BL8" s="233">
        <v>0</v>
      </c>
    </row>
    <row r="9" spans="2:65" ht="47.25" customHeight="1" thickBot="1" x14ac:dyDescent="0.35">
      <c r="B9" s="251" t="s">
        <v>271</v>
      </c>
      <c r="C9" s="168" t="s">
        <v>341</v>
      </c>
      <c r="D9" s="153"/>
      <c r="E9" s="30">
        <v>818</v>
      </c>
      <c r="F9" s="31">
        <v>76</v>
      </c>
      <c r="G9" s="31">
        <v>1825</v>
      </c>
      <c r="H9" s="31">
        <v>73</v>
      </c>
      <c r="I9" s="31">
        <v>1590</v>
      </c>
      <c r="J9" s="31">
        <v>389</v>
      </c>
      <c r="K9" s="22">
        <v>2073</v>
      </c>
      <c r="L9" s="32">
        <v>6408</v>
      </c>
      <c r="M9" s="166">
        <v>500</v>
      </c>
      <c r="N9" s="167">
        <f t="shared" si="0"/>
        <v>13752</v>
      </c>
      <c r="T9" s="251" t="s">
        <v>271</v>
      </c>
      <c r="U9" s="169" t="s">
        <v>273</v>
      </c>
      <c r="V9" s="153"/>
      <c r="W9" s="30">
        <v>528</v>
      </c>
      <c r="X9" s="31">
        <v>256</v>
      </c>
      <c r="Y9" s="31">
        <v>1819</v>
      </c>
      <c r="Z9" s="31">
        <v>60</v>
      </c>
      <c r="AA9" s="31">
        <v>748</v>
      </c>
      <c r="AB9" s="31">
        <v>935</v>
      </c>
      <c r="AC9" s="22">
        <v>1203.5</v>
      </c>
      <c r="AD9" s="32">
        <v>2280</v>
      </c>
      <c r="AE9" s="247">
        <v>0</v>
      </c>
      <c r="AF9" s="167">
        <f t="shared" si="1"/>
        <v>7829.5</v>
      </c>
      <c r="AK9" s="197"/>
      <c r="AL9" s="169"/>
      <c r="AM9" s="153"/>
      <c r="AN9" s="30"/>
      <c r="AO9" s="31"/>
      <c r="AP9" s="31"/>
      <c r="AQ9" s="31"/>
      <c r="AR9" s="31"/>
      <c r="AS9" s="31"/>
      <c r="AT9" s="22"/>
      <c r="AU9" s="32"/>
      <c r="AV9" s="166"/>
      <c r="AW9" s="167">
        <f t="shared" si="2"/>
        <v>0</v>
      </c>
      <c r="BA9" s="7"/>
      <c r="BB9" s="1"/>
      <c r="BC9" s="230"/>
      <c r="BD9" s="230"/>
      <c r="BE9" s="230"/>
      <c r="BF9" s="230"/>
      <c r="BG9" s="230"/>
      <c r="BH9" s="230"/>
      <c r="BI9" s="230"/>
      <c r="BJ9" s="216"/>
      <c r="BK9" s="217" t="s">
        <v>18</v>
      </c>
      <c r="BL9" s="231">
        <f>SUM(BL5:BL8)</f>
        <v>27026.5</v>
      </c>
    </row>
    <row r="10" spans="2:65" ht="21.75" thickBot="1" x14ac:dyDescent="0.4">
      <c r="B10" s="154"/>
      <c r="E10" s="30"/>
      <c r="F10" s="31"/>
      <c r="G10" s="277" t="s">
        <v>345</v>
      </c>
      <c r="H10" s="278"/>
      <c r="I10" s="278"/>
      <c r="J10" s="279"/>
      <c r="K10" s="22"/>
      <c r="L10" s="157"/>
      <c r="M10" s="77"/>
      <c r="N10" s="156">
        <v>0</v>
      </c>
      <c r="T10" s="154"/>
      <c r="W10" s="30"/>
      <c r="X10" s="31"/>
      <c r="Y10" s="277" t="s">
        <v>267</v>
      </c>
      <c r="Z10" s="278"/>
      <c r="AA10" s="278"/>
      <c r="AB10" s="279"/>
      <c r="AC10" s="22"/>
      <c r="AD10" s="157"/>
      <c r="AE10" s="77"/>
      <c r="AF10" s="156">
        <v>0</v>
      </c>
      <c r="AK10" s="154"/>
      <c r="AN10" s="30"/>
      <c r="AO10" s="31"/>
      <c r="AP10" s="285" t="s">
        <v>193</v>
      </c>
      <c r="AQ10" s="286"/>
      <c r="AR10" s="286"/>
      <c r="AS10" s="287"/>
      <c r="AT10" s="22"/>
      <c r="AU10" s="157"/>
      <c r="AV10" s="77"/>
      <c r="AW10" s="156">
        <v>0</v>
      </c>
      <c r="BC10" s="5"/>
      <c r="BD10" s="5"/>
      <c r="BE10" s="155"/>
      <c r="BF10" s="155"/>
      <c r="BG10" s="155"/>
      <c r="BH10" s="5"/>
      <c r="BI10" s="5"/>
      <c r="BJ10" s="5"/>
      <c r="BK10" s="71"/>
      <c r="BL10" s="74"/>
      <c r="BM10" s="130"/>
    </row>
    <row r="11" spans="2:65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294">
        <f>SUM(N5:N10)</f>
        <v>52804</v>
      </c>
      <c r="U11" s="7"/>
      <c r="V11" s="1"/>
      <c r="W11" s="5"/>
      <c r="X11" s="5"/>
      <c r="Y11" s="5"/>
      <c r="Z11" s="5"/>
      <c r="AA11" s="5"/>
      <c r="AB11" s="5"/>
      <c r="AC11" s="5"/>
      <c r="AD11" s="158"/>
      <c r="AE11" s="159" t="s">
        <v>18</v>
      </c>
      <c r="AF11" s="160">
        <f>SUM(AF5:AF10)</f>
        <v>49696.5</v>
      </c>
      <c r="AL11" s="7"/>
      <c r="AM11" s="1"/>
      <c r="AN11" s="5"/>
      <c r="AO11" s="5"/>
      <c r="AP11" s="5"/>
      <c r="AQ11" s="5"/>
      <c r="AR11" s="5"/>
      <c r="AS11" s="5"/>
      <c r="AT11" s="5"/>
      <c r="AU11" s="158"/>
      <c r="AV11" s="159" t="s">
        <v>18</v>
      </c>
      <c r="AW11" s="160">
        <f>SUM(AW5:AW10)</f>
        <v>57330</v>
      </c>
      <c r="BA11" s="7"/>
      <c r="BB11" s="1"/>
      <c r="BC11" s="170"/>
      <c r="BD11" s="5"/>
      <c r="BE11" s="5"/>
      <c r="BF11" s="5"/>
      <c r="BG11" s="5"/>
      <c r="BI11" s="5"/>
      <c r="BJ11" s="5"/>
      <c r="BK11" s="71"/>
      <c r="BL11" s="74"/>
      <c r="BM11" s="130"/>
    </row>
    <row r="12" spans="2:65" s="80" customFormat="1" ht="24" thickBot="1" x14ac:dyDescent="0.35">
      <c r="C12" s="235"/>
      <c r="D12" s="129"/>
      <c r="E12" s="301" t="s">
        <v>342</v>
      </c>
      <c r="F12" s="302"/>
      <c r="G12" s="303"/>
      <c r="H12" s="78"/>
      <c r="I12" s="78"/>
      <c r="J12" s="78"/>
      <c r="K12" s="78"/>
      <c r="L12" s="207"/>
      <c r="M12" s="208"/>
      <c r="N12" s="209"/>
      <c r="U12" s="235"/>
      <c r="V12" s="129"/>
      <c r="W12" s="78"/>
      <c r="X12" s="78"/>
      <c r="Y12" s="78"/>
      <c r="Z12" s="78"/>
      <c r="AA12" s="78"/>
      <c r="AB12" s="78"/>
      <c r="AC12" s="78"/>
      <c r="AD12" s="207"/>
      <c r="AE12" s="208"/>
      <c r="AF12" s="209"/>
      <c r="AL12" s="235"/>
      <c r="AM12" s="129"/>
      <c r="AN12" s="78"/>
      <c r="AO12" s="78"/>
      <c r="AP12" s="78"/>
      <c r="AQ12" s="78"/>
      <c r="AR12" s="78"/>
      <c r="AS12" s="78"/>
      <c r="AT12" s="78"/>
      <c r="AU12" s="207"/>
      <c r="AV12" s="208"/>
      <c r="AW12" s="209"/>
      <c r="BA12" s="235"/>
      <c r="BB12" s="129"/>
      <c r="BC12" s="252"/>
      <c r="BD12" s="78"/>
      <c r="BE12" s="78"/>
      <c r="BF12" s="78"/>
      <c r="BG12" s="78"/>
      <c r="BI12" s="78"/>
      <c r="BJ12" s="78"/>
      <c r="BK12" s="71"/>
      <c r="BL12" s="74"/>
      <c r="BM12" s="74"/>
    </row>
    <row r="13" spans="2:65" s="80" customFormat="1" ht="23.25" x14ac:dyDescent="0.3">
      <c r="C13" s="235"/>
      <c r="D13" s="129"/>
      <c r="E13" s="78"/>
      <c r="F13" s="78"/>
      <c r="G13" s="78"/>
      <c r="H13" s="78"/>
      <c r="I13" s="78"/>
      <c r="J13" s="78"/>
      <c r="K13" s="78"/>
      <c r="L13" s="207"/>
      <c r="M13" s="208"/>
      <c r="N13" s="209"/>
      <c r="U13" s="235"/>
      <c r="V13" s="129"/>
      <c r="W13" s="78"/>
      <c r="X13" s="78"/>
      <c r="Y13" s="78"/>
      <c r="Z13" s="78"/>
      <c r="AA13" s="78"/>
      <c r="AB13" s="78"/>
      <c r="AC13" s="78"/>
      <c r="AD13" s="207"/>
      <c r="AE13" s="208"/>
      <c r="AF13" s="209"/>
      <c r="AL13" s="235"/>
      <c r="AM13" s="129"/>
      <c r="AN13" s="78"/>
      <c r="AO13" s="78"/>
      <c r="AP13" s="78"/>
      <c r="AQ13" s="78"/>
      <c r="AR13" s="78"/>
      <c r="AS13" s="78"/>
      <c r="AT13" s="78"/>
      <c r="AU13" s="207"/>
      <c r="AV13" s="208"/>
      <c r="AW13" s="209"/>
      <c r="BA13" s="235"/>
      <c r="BB13" s="129"/>
      <c r="BC13" s="252"/>
      <c r="BD13" s="78"/>
      <c r="BE13" s="78"/>
      <c r="BF13" s="78"/>
      <c r="BG13" s="78"/>
      <c r="BI13" s="78"/>
      <c r="BJ13" s="78"/>
      <c r="BK13" s="71"/>
      <c r="BL13" s="74"/>
      <c r="BM13" s="74"/>
    </row>
    <row r="14" spans="2:65" s="80" customFormat="1" ht="23.25" x14ac:dyDescent="0.3">
      <c r="C14" s="235"/>
      <c r="D14" s="129"/>
      <c r="E14" s="78"/>
      <c r="F14" s="78"/>
      <c r="G14" s="78"/>
      <c r="H14" s="78"/>
      <c r="I14" s="78"/>
      <c r="J14" s="78"/>
      <c r="K14" s="78"/>
      <c r="L14" s="207"/>
      <c r="M14" s="208"/>
      <c r="N14" s="209"/>
      <c r="U14" s="235"/>
      <c r="V14" s="129"/>
      <c r="W14" s="78"/>
      <c r="X14" s="78"/>
      <c r="Y14" s="78"/>
      <c r="Z14" s="78"/>
      <c r="AA14" s="78"/>
      <c r="AB14" s="78"/>
      <c r="AC14" s="78"/>
      <c r="AD14" s="207"/>
      <c r="AE14" s="208"/>
      <c r="AF14" s="209"/>
      <c r="AL14" s="235"/>
      <c r="AM14" s="129"/>
      <c r="AN14" s="78"/>
      <c r="AO14" s="78"/>
      <c r="AP14" s="78"/>
      <c r="AQ14" s="78"/>
      <c r="AR14" s="78"/>
      <c r="AS14" s="78"/>
      <c r="AT14" s="78"/>
      <c r="AU14" s="207"/>
      <c r="AV14" s="208"/>
      <c r="AW14" s="209"/>
      <c r="BA14" s="235"/>
      <c r="BB14" s="129"/>
      <c r="BC14" s="252"/>
      <c r="BD14" s="78"/>
      <c r="BE14" s="78"/>
      <c r="BF14" s="78"/>
      <c r="BG14" s="78"/>
      <c r="BI14" s="78"/>
      <c r="BJ14" s="78"/>
      <c r="BK14" s="71"/>
      <c r="BL14" s="74"/>
      <c r="BM14" s="74"/>
    </row>
    <row r="15" spans="2:65" s="80" customFormat="1" ht="23.25" x14ac:dyDescent="0.3">
      <c r="C15" s="235"/>
      <c r="D15" s="129"/>
      <c r="E15" s="78"/>
      <c r="F15" s="78"/>
      <c r="G15" s="78"/>
      <c r="H15" s="78"/>
      <c r="I15" s="78"/>
      <c r="J15" s="78"/>
      <c r="K15" s="78"/>
      <c r="L15" s="207"/>
      <c r="M15" s="208"/>
      <c r="N15" s="209"/>
      <c r="U15" s="235"/>
      <c r="V15" s="129"/>
      <c r="W15" s="78"/>
      <c r="X15" s="78"/>
      <c r="Y15" s="78"/>
      <c r="Z15" s="78"/>
      <c r="AA15" s="78"/>
      <c r="AB15" s="78"/>
      <c r="AC15" s="78"/>
      <c r="AD15" s="207"/>
      <c r="AE15" s="208"/>
      <c r="AF15" s="209"/>
      <c r="AL15" s="235"/>
      <c r="AM15" s="129"/>
      <c r="AN15" s="78"/>
      <c r="AO15" s="78"/>
      <c r="AP15" s="78"/>
      <c r="AQ15" s="78"/>
      <c r="AR15" s="78"/>
      <c r="AS15" s="78"/>
      <c r="AT15" s="78"/>
      <c r="AU15" s="207"/>
      <c r="AV15" s="208"/>
      <c r="AW15" s="209"/>
      <c r="BA15" s="235"/>
      <c r="BB15" s="129"/>
      <c r="BC15" s="252"/>
      <c r="BD15" s="78"/>
      <c r="BE15" s="78"/>
      <c r="BF15" s="78"/>
      <c r="BG15" s="78"/>
      <c r="BI15" s="78"/>
      <c r="BJ15" s="78"/>
      <c r="BK15" s="71"/>
      <c r="BL15" s="74"/>
      <c r="BM15" s="74"/>
    </row>
    <row r="16" spans="2:65" s="80" customFormat="1" ht="23.25" x14ac:dyDescent="0.3">
      <c r="C16" s="235"/>
      <c r="D16" s="129"/>
      <c r="E16" s="78"/>
      <c r="F16" s="78"/>
      <c r="G16" s="78"/>
      <c r="H16" s="78"/>
      <c r="I16" s="78"/>
      <c r="J16" s="78"/>
      <c r="K16" s="78"/>
      <c r="L16" s="207"/>
      <c r="M16" s="208"/>
      <c r="N16" s="209"/>
      <c r="U16" s="235"/>
      <c r="V16" s="129"/>
      <c r="W16" s="78"/>
      <c r="X16" s="78"/>
      <c r="Y16" s="78"/>
      <c r="Z16" s="78"/>
      <c r="AA16" s="78"/>
      <c r="AB16" s="78"/>
      <c r="AC16" s="78"/>
      <c r="AD16" s="207"/>
      <c r="AE16" s="208"/>
      <c r="AF16" s="209"/>
      <c r="AL16" s="235"/>
      <c r="AM16" s="129"/>
      <c r="AN16" s="78"/>
      <c r="AO16" s="78"/>
      <c r="AP16" s="78"/>
      <c r="AQ16" s="78"/>
      <c r="AR16" s="78"/>
      <c r="AS16" s="78"/>
      <c r="AT16" s="78"/>
      <c r="AU16" s="207"/>
      <c r="AV16" s="208"/>
      <c r="AW16" s="209"/>
      <c r="BA16" s="235"/>
      <c r="BB16" s="129"/>
      <c r="BC16" s="252"/>
      <c r="BD16" s="78"/>
      <c r="BE16" s="78"/>
      <c r="BF16" s="78"/>
      <c r="BG16" s="78"/>
      <c r="BI16" s="78"/>
      <c r="BJ16" s="78"/>
      <c r="BK16" s="71"/>
      <c r="BL16" s="74"/>
      <c r="BM16" s="74"/>
    </row>
    <row r="17" spans="2:65" s="80" customFormat="1" ht="23.25" x14ac:dyDescent="0.3">
      <c r="C17" s="235"/>
      <c r="D17" s="129"/>
      <c r="E17" s="78"/>
      <c r="F17" s="78"/>
      <c r="G17" s="78"/>
      <c r="H17" s="78"/>
      <c r="I17" s="78"/>
      <c r="J17" s="78"/>
      <c r="K17" s="78"/>
      <c r="L17" s="207"/>
      <c r="M17" s="208"/>
      <c r="N17" s="209"/>
      <c r="U17" s="235"/>
      <c r="V17" s="129"/>
      <c r="W17" s="78"/>
      <c r="X17" s="78"/>
      <c r="Y17" s="78"/>
      <c r="Z17" s="78"/>
      <c r="AA17" s="78"/>
      <c r="AB17" s="78"/>
      <c r="AC17" s="78"/>
      <c r="AD17" s="207"/>
      <c r="AE17" s="208"/>
      <c r="AF17" s="209"/>
      <c r="AL17" s="235"/>
      <c r="AM17" s="129"/>
      <c r="AN17" s="78"/>
      <c r="AO17" s="78"/>
      <c r="AP17" s="78"/>
      <c r="AQ17" s="78"/>
      <c r="AR17" s="78"/>
      <c r="AS17" s="78"/>
      <c r="AT17" s="78"/>
      <c r="AU17" s="207"/>
      <c r="AV17" s="208"/>
      <c r="AW17" s="209"/>
      <c r="BA17" s="235"/>
      <c r="BB17" s="129"/>
      <c r="BC17" s="252"/>
      <c r="BD17" s="78"/>
      <c r="BE17" s="78"/>
      <c r="BF17" s="78"/>
      <c r="BG17" s="78"/>
      <c r="BI17" s="78"/>
      <c r="BJ17" s="78"/>
      <c r="BK17" s="71"/>
      <c r="BL17" s="74"/>
      <c r="BM17" s="74"/>
    </row>
    <row r="18" spans="2:65" s="80" customFormat="1" ht="23.25" x14ac:dyDescent="0.3">
      <c r="C18" s="235"/>
      <c r="D18" s="129"/>
      <c r="E18" s="78"/>
      <c r="F18" s="78"/>
      <c r="G18" s="78"/>
      <c r="H18" s="78"/>
      <c r="I18" s="78"/>
      <c r="J18" s="78"/>
      <c r="K18" s="78"/>
      <c r="L18" s="207"/>
      <c r="M18" s="208"/>
      <c r="N18" s="209"/>
      <c r="U18" s="235"/>
      <c r="V18" s="129"/>
      <c r="W18" s="78"/>
      <c r="X18" s="78"/>
      <c r="Y18" s="78"/>
      <c r="Z18" s="78"/>
      <c r="AA18" s="78"/>
      <c r="AB18" s="78"/>
      <c r="AC18" s="78"/>
      <c r="AD18" s="207"/>
      <c r="AE18" s="208"/>
      <c r="AF18" s="209"/>
      <c r="AL18" s="235"/>
      <c r="AM18" s="129"/>
      <c r="AN18" s="78"/>
      <c r="AO18" s="78"/>
      <c r="AP18" s="78"/>
      <c r="AQ18" s="78"/>
      <c r="AR18" s="78"/>
      <c r="AS18" s="78"/>
      <c r="AT18" s="78"/>
      <c r="AU18" s="207"/>
      <c r="AV18" s="208"/>
      <c r="AW18" s="209"/>
      <c r="BA18" s="235"/>
      <c r="BB18" s="129"/>
      <c r="BC18" s="252"/>
      <c r="BD18" s="78"/>
      <c r="BE18" s="78"/>
      <c r="BF18" s="78"/>
      <c r="BG18" s="78"/>
      <c r="BI18" s="78"/>
      <c r="BJ18" s="78"/>
      <c r="BK18" s="71"/>
      <c r="BL18" s="74"/>
      <c r="BM18" s="74"/>
    </row>
    <row r="19" spans="2:65" s="80" customFormat="1" ht="23.25" x14ac:dyDescent="0.3">
      <c r="C19" s="235"/>
      <c r="D19" s="129"/>
      <c r="E19" s="78"/>
      <c r="F19" s="78"/>
      <c r="G19" s="78"/>
      <c r="H19" s="78"/>
      <c r="I19" s="78"/>
      <c r="J19" s="78"/>
      <c r="K19" s="78"/>
      <c r="L19" s="207"/>
      <c r="M19" s="208"/>
      <c r="N19" s="209"/>
      <c r="U19" s="235"/>
      <c r="V19" s="129"/>
      <c r="W19" s="78"/>
      <c r="X19" s="78"/>
      <c r="Y19" s="78"/>
      <c r="Z19" s="78"/>
      <c r="AA19" s="78"/>
      <c r="AB19" s="78"/>
      <c r="AC19" s="78"/>
      <c r="AD19" s="207"/>
      <c r="AE19" s="208"/>
      <c r="AF19" s="209"/>
      <c r="AL19" s="235"/>
      <c r="AM19" s="129"/>
      <c r="AN19" s="78"/>
      <c r="AO19" s="78"/>
      <c r="AP19" s="78"/>
      <c r="AQ19" s="78"/>
      <c r="AR19" s="78"/>
      <c r="AS19" s="78"/>
      <c r="AT19" s="78"/>
      <c r="AU19" s="207"/>
      <c r="AV19" s="208"/>
      <c r="AW19" s="209"/>
      <c r="BA19" s="235"/>
      <c r="BB19" s="129"/>
      <c r="BC19" s="252"/>
      <c r="BD19" s="78"/>
      <c r="BE19" s="78"/>
      <c r="BF19" s="78"/>
      <c r="BG19" s="78"/>
      <c r="BI19" s="78"/>
      <c r="BJ19" s="78"/>
      <c r="BK19" s="71"/>
      <c r="BL19" s="74"/>
      <c r="BM19" s="74"/>
    </row>
    <row r="20" spans="2:65" ht="21" x14ac:dyDescent="0.35">
      <c r="E20" s="5"/>
      <c r="F20" s="5"/>
      <c r="G20" s="155"/>
      <c r="H20" s="155"/>
      <c r="I20" s="155"/>
      <c r="J20" s="5"/>
      <c r="K20" s="5"/>
      <c r="L20" s="5"/>
      <c r="M20" s="71"/>
      <c r="N20" s="74"/>
      <c r="O20" s="130"/>
      <c r="W20" s="5"/>
      <c r="X20" s="5"/>
      <c r="Y20" s="155"/>
      <c r="Z20" s="155"/>
      <c r="AA20" s="155"/>
      <c r="AB20" s="5"/>
      <c r="AC20" s="5"/>
      <c r="AD20" s="5"/>
      <c r="AE20" s="71"/>
      <c r="AF20" s="74"/>
      <c r="AG20" s="130"/>
      <c r="AN20" s="5"/>
      <c r="AO20" s="5"/>
      <c r="AP20" s="155"/>
      <c r="AQ20" s="155"/>
      <c r="AR20" s="155"/>
      <c r="AS20" s="5"/>
      <c r="AT20" s="5"/>
      <c r="AU20" s="5"/>
      <c r="AV20" s="71"/>
      <c r="AW20" s="74"/>
      <c r="AX20" s="130"/>
      <c r="BK20" s="130"/>
      <c r="BL20" s="74"/>
      <c r="BM20" s="130"/>
    </row>
    <row r="21" spans="2:65" ht="16.5" thickBot="1" x14ac:dyDescent="0.3">
      <c r="C21" s="7"/>
      <c r="D21" s="1"/>
      <c r="E21" s="170"/>
      <c r="F21" s="5"/>
      <c r="G21" s="5"/>
      <c r="H21" s="5"/>
      <c r="I21" s="5"/>
      <c r="K21" s="5"/>
      <c r="L21" s="5"/>
      <c r="M21" s="71"/>
      <c r="N21" s="74"/>
      <c r="O21" s="130"/>
      <c r="U21" s="7"/>
      <c r="V21" s="1"/>
      <c r="W21" s="170"/>
      <c r="X21" s="5"/>
      <c r="Y21" s="5"/>
      <c r="Z21" s="5"/>
      <c r="AA21" s="5"/>
      <c r="AC21" s="5"/>
      <c r="AD21" s="5"/>
      <c r="AE21" s="71"/>
      <c r="AF21" s="74"/>
      <c r="AG21" s="130"/>
      <c r="AL21" s="7"/>
      <c r="AM21" s="1"/>
      <c r="AN21" s="170"/>
      <c r="AO21" s="5"/>
      <c r="AP21" s="5"/>
      <c r="AQ21" s="5"/>
      <c r="AR21" s="5"/>
      <c r="AT21" s="5"/>
      <c r="AU21" s="5"/>
      <c r="AV21" s="71"/>
      <c r="AW21" s="74"/>
      <c r="AX21" s="130"/>
    </row>
    <row r="22" spans="2:65" ht="22.5" thickTop="1" thickBot="1" x14ac:dyDescent="0.4">
      <c r="C22" s="7"/>
      <c r="D22" s="273" t="s">
        <v>343</v>
      </c>
      <c r="E22" s="274"/>
      <c r="F22" s="274"/>
      <c r="G22" s="274"/>
      <c r="H22" s="274"/>
      <c r="I22" s="274"/>
      <c r="J22" s="274"/>
      <c r="K22" s="274"/>
      <c r="L22" s="282"/>
      <c r="M22" s="295"/>
      <c r="N22" s="151"/>
      <c r="U22" s="7"/>
      <c r="V22" s="273" t="s">
        <v>19</v>
      </c>
      <c r="W22" s="274"/>
      <c r="X22" s="274"/>
      <c r="Y22" s="274"/>
      <c r="Z22" s="274"/>
      <c r="AA22" s="274"/>
      <c r="AB22" s="274"/>
      <c r="AC22" s="274"/>
      <c r="AD22" s="282"/>
      <c r="AE22" s="171"/>
      <c r="AF22" s="151"/>
      <c r="AL22" s="7"/>
      <c r="AM22" s="273" t="s">
        <v>19</v>
      </c>
      <c r="AN22" s="274"/>
      <c r="AO22" s="274"/>
      <c r="AP22" s="274"/>
      <c r="AQ22" s="274"/>
      <c r="AR22" s="274"/>
      <c r="AS22" s="274"/>
      <c r="AT22" s="274"/>
      <c r="AU22" s="282"/>
      <c r="AV22" s="171"/>
      <c r="AW22" s="151"/>
      <c r="BA22" s="7"/>
      <c r="BB22" s="273" t="s">
        <v>19</v>
      </c>
      <c r="BC22" s="274"/>
      <c r="BD22" s="274"/>
      <c r="BE22" s="274"/>
      <c r="BF22" s="274"/>
      <c r="BG22" s="274"/>
      <c r="BH22" s="274"/>
      <c r="BI22" s="274"/>
      <c r="BJ22" s="274"/>
      <c r="BK22" s="171"/>
      <c r="BL22" s="151"/>
    </row>
    <row r="23" spans="2:65" ht="16.5" thickBot="1" x14ac:dyDescent="0.3">
      <c r="C23" s="7"/>
      <c r="D23" s="1"/>
      <c r="J23" s="205"/>
      <c r="K23" s="206"/>
      <c r="L23" s="257"/>
      <c r="M23" s="68"/>
      <c r="N23" s="152"/>
      <c r="U23" s="7"/>
      <c r="V23" s="1"/>
      <c r="AB23" s="205"/>
      <c r="AC23" s="206"/>
      <c r="AD23" s="238"/>
      <c r="AE23" s="68"/>
      <c r="AF23" s="152"/>
      <c r="AL23" s="7"/>
      <c r="AM23" s="1"/>
      <c r="AS23" s="205"/>
      <c r="AT23" s="206"/>
      <c r="AU23" s="196"/>
      <c r="AV23" s="68"/>
      <c r="AW23" s="152"/>
      <c r="BA23" s="7"/>
      <c r="BB23" s="1"/>
      <c r="BH23" s="264"/>
      <c r="BI23" s="265"/>
      <c r="BJ23" s="266"/>
      <c r="BK23" s="68"/>
      <c r="BL23" s="152"/>
    </row>
    <row r="24" spans="2:65" ht="61.5" thickTop="1" thickBot="1" x14ac:dyDescent="0.3">
      <c r="C24" s="164" t="s">
        <v>0</v>
      </c>
      <c r="D24" s="24"/>
      <c r="E24" s="176" t="s">
        <v>2</v>
      </c>
      <c r="F24" s="146" t="s">
        <v>7</v>
      </c>
      <c r="G24" s="146" t="s">
        <v>38</v>
      </c>
      <c r="H24" s="176" t="s">
        <v>3</v>
      </c>
      <c r="I24" s="177" t="s">
        <v>4</v>
      </c>
      <c r="J24" s="146" t="s">
        <v>22</v>
      </c>
      <c r="K24" s="149" t="s">
        <v>8</v>
      </c>
      <c r="L24" s="180" t="s">
        <v>5</v>
      </c>
      <c r="M24" s="181"/>
      <c r="N24" s="172" t="s">
        <v>18</v>
      </c>
      <c r="U24" s="164" t="s">
        <v>0</v>
      </c>
      <c r="V24" s="24"/>
      <c r="W24" s="176" t="s">
        <v>2</v>
      </c>
      <c r="X24" s="146" t="s">
        <v>7</v>
      </c>
      <c r="Y24" s="146" t="s">
        <v>38</v>
      </c>
      <c r="Z24" s="176" t="s">
        <v>3</v>
      </c>
      <c r="AA24" s="177" t="s">
        <v>4</v>
      </c>
      <c r="AB24" s="146" t="s">
        <v>22</v>
      </c>
      <c r="AC24" s="149" t="s">
        <v>8</v>
      </c>
      <c r="AD24" s="180" t="s">
        <v>5</v>
      </c>
      <c r="AE24" s="181"/>
      <c r="AF24" s="172" t="s">
        <v>18</v>
      </c>
      <c r="AL24" s="164" t="s">
        <v>0</v>
      </c>
      <c r="AM24" s="24"/>
      <c r="AN24" s="176" t="s">
        <v>2</v>
      </c>
      <c r="AO24" s="146" t="s">
        <v>7</v>
      </c>
      <c r="AP24" s="146" t="s">
        <v>38</v>
      </c>
      <c r="AQ24" s="176" t="s">
        <v>3</v>
      </c>
      <c r="AR24" s="177" t="s">
        <v>4</v>
      </c>
      <c r="AS24" s="146" t="s">
        <v>22</v>
      </c>
      <c r="AT24" s="149" t="s">
        <v>8</v>
      </c>
      <c r="AU24" s="180" t="s">
        <v>5</v>
      </c>
      <c r="AV24" s="181"/>
      <c r="AW24" s="172" t="s">
        <v>18</v>
      </c>
      <c r="BA24" s="164" t="s">
        <v>0</v>
      </c>
      <c r="BB24" s="24"/>
      <c r="BC24" s="176" t="s">
        <v>2</v>
      </c>
      <c r="BD24" s="146" t="s">
        <v>7</v>
      </c>
      <c r="BE24" s="146" t="s">
        <v>38</v>
      </c>
      <c r="BF24" s="176" t="s">
        <v>3</v>
      </c>
      <c r="BG24" s="177" t="s">
        <v>4</v>
      </c>
      <c r="BH24" s="146" t="s">
        <v>22</v>
      </c>
      <c r="BI24" s="149" t="s">
        <v>8</v>
      </c>
      <c r="BJ24" s="180" t="s">
        <v>5</v>
      </c>
      <c r="BK24" s="181"/>
      <c r="BL24" s="172" t="s">
        <v>18</v>
      </c>
    </row>
    <row r="25" spans="2:65" ht="39" thickTop="1" thickBot="1" x14ac:dyDescent="0.35">
      <c r="B25" s="198" t="s">
        <v>141</v>
      </c>
      <c r="C25" s="296" t="s">
        <v>337</v>
      </c>
      <c r="D25" s="153"/>
      <c r="E25" s="30">
        <v>0</v>
      </c>
      <c r="F25" s="31">
        <v>130</v>
      </c>
      <c r="G25" s="31">
        <v>264</v>
      </c>
      <c r="H25" s="31">
        <v>0</v>
      </c>
      <c r="I25" s="31">
        <v>0</v>
      </c>
      <c r="J25" s="31">
        <v>3425.5</v>
      </c>
      <c r="K25" s="22">
        <v>150</v>
      </c>
      <c r="L25" s="32">
        <v>4098</v>
      </c>
      <c r="M25" s="166">
        <v>0</v>
      </c>
      <c r="N25" s="167">
        <f>SUM(E25:M25)</f>
        <v>8067.5</v>
      </c>
      <c r="T25" s="198" t="s">
        <v>141</v>
      </c>
      <c r="U25" s="168" t="s">
        <v>268</v>
      </c>
      <c r="V25" s="153"/>
      <c r="W25" s="30">
        <v>503</v>
      </c>
      <c r="X25" s="31">
        <v>0</v>
      </c>
      <c r="Y25" s="31">
        <v>192</v>
      </c>
      <c r="Z25" s="31">
        <v>0</v>
      </c>
      <c r="AA25" s="31">
        <v>0</v>
      </c>
      <c r="AB25" s="31">
        <v>5914</v>
      </c>
      <c r="AC25" s="22">
        <v>0</v>
      </c>
      <c r="AD25" s="32">
        <v>7144</v>
      </c>
      <c r="AE25" s="166">
        <v>0</v>
      </c>
      <c r="AF25" s="167">
        <f>SUM(W25:AE25)</f>
        <v>13753</v>
      </c>
      <c r="AK25" s="198" t="s">
        <v>141</v>
      </c>
      <c r="AL25" s="168" t="s">
        <v>147</v>
      </c>
      <c r="AM25" s="153"/>
      <c r="AN25" s="30">
        <v>1055</v>
      </c>
      <c r="AO25" s="31">
        <v>1176</v>
      </c>
      <c r="AP25" s="31">
        <v>3027</v>
      </c>
      <c r="AQ25" s="31">
        <v>40</v>
      </c>
      <c r="AR25" s="31">
        <v>400</v>
      </c>
      <c r="AS25" s="31">
        <v>5602</v>
      </c>
      <c r="AT25" s="22">
        <v>1880</v>
      </c>
      <c r="AU25" s="32">
        <v>6403</v>
      </c>
      <c r="AV25" s="166"/>
      <c r="AW25" s="167">
        <f>SUM(AN25:AV25)</f>
        <v>19583</v>
      </c>
      <c r="AZ25" s="182" t="s">
        <v>141</v>
      </c>
      <c r="BA25" s="169" t="s">
        <v>20</v>
      </c>
      <c r="BB25" s="163"/>
      <c r="BC25" s="30">
        <v>611</v>
      </c>
      <c r="BD25" s="31">
        <v>1221</v>
      </c>
      <c r="BE25" s="31">
        <v>2804</v>
      </c>
      <c r="BF25" s="31">
        <v>334</v>
      </c>
      <c r="BG25" s="31">
        <v>779</v>
      </c>
      <c r="BH25" s="31">
        <v>6414</v>
      </c>
      <c r="BI25" s="22">
        <v>1510</v>
      </c>
      <c r="BJ25" s="178">
        <v>6779</v>
      </c>
      <c r="BK25" s="179">
        <v>0</v>
      </c>
      <c r="BL25" s="167">
        <f>SUM(BC25:BK25)</f>
        <v>20452</v>
      </c>
    </row>
    <row r="26" spans="2:65" ht="40.5" thickBot="1" x14ac:dyDescent="0.35">
      <c r="B26" s="198" t="s">
        <v>142</v>
      </c>
      <c r="C26" s="296" t="s">
        <v>338</v>
      </c>
      <c r="D26" s="153"/>
      <c r="E26" s="30">
        <v>816</v>
      </c>
      <c r="F26" s="31">
        <v>1286</v>
      </c>
      <c r="G26" s="31">
        <v>3382</v>
      </c>
      <c r="H26" s="31">
        <v>75</v>
      </c>
      <c r="I26" s="31">
        <v>1378</v>
      </c>
      <c r="J26" s="31">
        <v>5453</v>
      </c>
      <c r="K26" s="22">
        <v>2562</v>
      </c>
      <c r="L26" s="32">
        <v>6746</v>
      </c>
      <c r="M26" s="166">
        <v>0</v>
      </c>
      <c r="N26" s="167">
        <f t="shared" ref="N26:N29" si="4">SUM(E26:M26)</f>
        <v>21698</v>
      </c>
      <c r="O26" s="298"/>
      <c r="T26" s="198" t="s">
        <v>142</v>
      </c>
      <c r="U26" s="169" t="s">
        <v>269</v>
      </c>
      <c r="V26" s="153"/>
      <c r="W26" s="30">
        <v>821</v>
      </c>
      <c r="X26" s="31">
        <v>1872</v>
      </c>
      <c r="Y26" s="31">
        <v>3069</v>
      </c>
      <c r="Z26" s="31">
        <v>145</v>
      </c>
      <c r="AA26" s="31">
        <v>704</v>
      </c>
      <c r="AB26" s="31">
        <v>4377</v>
      </c>
      <c r="AC26" s="22">
        <v>2410.5</v>
      </c>
      <c r="AD26" s="32">
        <v>4858</v>
      </c>
      <c r="AE26" s="166"/>
      <c r="AF26" s="167">
        <f t="shared" ref="AF26:AF29" si="5">SUM(W26:AE26)</f>
        <v>18256.5</v>
      </c>
      <c r="AG26" s="249"/>
      <c r="AK26" s="198" t="s">
        <v>142</v>
      </c>
      <c r="AL26" s="169" t="s">
        <v>89</v>
      </c>
      <c r="AM26" s="153"/>
      <c r="AN26" s="30">
        <v>770</v>
      </c>
      <c r="AO26" s="31">
        <v>1462</v>
      </c>
      <c r="AP26" s="31">
        <v>3659</v>
      </c>
      <c r="AQ26" s="31">
        <v>125</v>
      </c>
      <c r="AR26" s="31">
        <v>728</v>
      </c>
      <c r="AS26" s="31">
        <v>5451</v>
      </c>
      <c r="AT26" s="22">
        <v>4130.5</v>
      </c>
      <c r="AU26" s="32">
        <v>2659</v>
      </c>
      <c r="AV26" s="166"/>
      <c r="AW26" s="167">
        <f t="shared" ref="AW26:AW29" si="6">SUM(AN26:AV26)</f>
        <v>18984.5</v>
      </c>
      <c r="AX26" s="203" t="s">
        <v>189</v>
      </c>
      <c r="AZ26" s="182" t="s">
        <v>142</v>
      </c>
      <c r="BA26" s="169" t="s">
        <v>145</v>
      </c>
      <c r="BB26" s="153"/>
      <c r="BC26" s="30">
        <v>907</v>
      </c>
      <c r="BD26" s="31">
        <v>89</v>
      </c>
      <c r="BE26" s="31">
        <v>2444</v>
      </c>
      <c r="BF26" s="31">
        <v>58</v>
      </c>
      <c r="BG26" s="31">
        <v>403</v>
      </c>
      <c r="BH26" s="31">
        <v>5587</v>
      </c>
      <c r="BI26" s="22">
        <v>4449.5</v>
      </c>
      <c r="BJ26" s="32">
        <v>5143</v>
      </c>
      <c r="BK26" s="166">
        <v>0</v>
      </c>
      <c r="BL26" s="167">
        <f t="shared" ref="BL26" si="7">SUM(BC26:BK26)</f>
        <v>19080.5</v>
      </c>
    </row>
    <row r="27" spans="2:65" ht="46.5" thickBot="1" x14ac:dyDescent="0.35">
      <c r="B27" s="198" t="s">
        <v>143</v>
      </c>
      <c r="C27" s="296" t="s">
        <v>339</v>
      </c>
      <c r="D27" s="153"/>
      <c r="E27" s="30">
        <v>1255</v>
      </c>
      <c r="F27" s="31">
        <v>1543</v>
      </c>
      <c r="G27" s="31">
        <v>2560</v>
      </c>
      <c r="H27" s="31">
        <v>90</v>
      </c>
      <c r="I27" s="31">
        <v>914</v>
      </c>
      <c r="J27" s="31">
        <v>5338</v>
      </c>
      <c r="K27" s="22">
        <v>4918.5</v>
      </c>
      <c r="L27" s="32">
        <v>6742</v>
      </c>
      <c r="M27" s="166">
        <v>0</v>
      </c>
      <c r="N27" s="167">
        <f t="shared" si="4"/>
        <v>23360.5</v>
      </c>
      <c r="O27" s="297" t="s">
        <v>344</v>
      </c>
      <c r="T27" s="198" t="s">
        <v>143</v>
      </c>
      <c r="U27" s="169" t="s">
        <v>270</v>
      </c>
      <c r="V27" s="153"/>
      <c r="W27" s="30">
        <v>1043</v>
      </c>
      <c r="X27" s="31">
        <v>851</v>
      </c>
      <c r="Y27" s="31">
        <v>2816</v>
      </c>
      <c r="Z27" s="31">
        <v>210</v>
      </c>
      <c r="AA27" s="31">
        <v>805</v>
      </c>
      <c r="AB27" s="31">
        <v>4836</v>
      </c>
      <c r="AC27" s="22">
        <v>2158.5</v>
      </c>
      <c r="AD27" s="32">
        <v>7403</v>
      </c>
      <c r="AE27" s="166"/>
      <c r="AF27" s="167">
        <f t="shared" si="5"/>
        <v>20122.5</v>
      </c>
      <c r="AK27" s="198" t="s">
        <v>143</v>
      </c>
      <c r="AL27" s="169" t="s">
        <v>123</v>
      </c>
      <c r="AM27" s="153"/>
      <c r="AN27" s="30">
        <v>863</v>
      </c>
      <c r="AO27" s="31">
        <v>1081</v>
      </c>
      <c r="AP27" s="31">
        <v>2839</v>
      </c>
      <c r="AQ27" s="31">
        <v>145</v>
      </c>
      <c r="AR27" s="31">
        <v>729</v>
      </c>
      <c r="AS27" s="31">
        <v>6157</v>
      </c>
      <c r="AT27" s="22">
        <v>1245</v>
      </c>
      <c r="AU27" s="32">
        <v>8215</v>
      </c>
      <c r="AV27" s="166"/>
      <c r="AW27" s="167">
        <f t="shared" si="6"/>
        <v>21274</v>
      </c>
      <c r="AZ27" s="197"/>
      <c r="BA27" s="169"/>
      <c r="BB27" s="153"/>
      <c r="BC27" s="30"/>
      <c r="BD27" s="31"/>
      <c r="BE27" s="31"/>
      <c r="BF27" s="31"/>
      <c r="BG27" s="31"/>
      <c r="BH27" s="31"/>
      <c r="BI27" s="22"/>
      <c r="BJ27" s="32"/>
      <c r="BK27" s="166"/>
      <c r="BL27" s="167"/>
    </row>
    <row r="28" spans="2:65" ht="40.5" thickBot="1" x14ac:dyDescent="0.35">
      <c r="B28" s="198" t="s">
        <v>144</v>
      </c>
      <c r="C28" s="296" t="s">
        <v>340</v>
      </c>
      <c r="D28" s="153"/>
      <c r="E28" s="212">
        <v>484</v>
      </c>
      <c r="F28" s="210">
        <v>1137</v>
      </c>
      <c r="G28" s="210">
        <v>3222</v>
      </c>
      <c r="H28" s="210">
        <v>205</v>
      </c>
      <c r="I28" s="210">
        <v>878</v>
      </c>
      <c r="J28" s="210">
        <v>4561.5</v>
      </c>
      <c r="K28" s="211">
        <v>2361.5</v>
      </c>
      <c r="L28" s="213">
        <v>4817</v>
      </c>
      <c r="M28" s="166">
        <v>0</v>
      </c>
      <c r="N28" s="167">
        <f t="shared" si="4"/>
        <v>17666</v>
      </c>
      <c r="O28" s="299"/>
      <c r="T28" s="198" t="s">
        <v>144</v>
      </c>
      <c r="U28" s="168" t="s">
        <v>272</v>
      </c>
      <c r="V28" s="153"/>
      <c r="W28" s="212">
        <v>1512</v>
      </c>
      <c r="X28" s="210">
        <v>1469.5</v>
      </c>
      <c r="Y28" s="210">
        <v>3801</v>
      </c>
      <c r="Z28" s="210">
        <v>0</v>
      </c>
      <c r="AA28" s="210">
        <v>905</v>
      </c>
      <c r="AB28" s="210">
        <v>6580.5</v>
      </c>
      <c r="AC28" s="211">
        <v>2544</v>
      </c>
      <c r="AD28" s="213">
        <v>3349</v>
      </c>
      <c r="AE28" s="166"/>
      <c r="AF28" s="167">
        <f t="shared" si="5"/>
        <v>20161</v>
      </c>
      <c r="AG28" s="203" t="s">
        <v>274</v>
      </c>
      <c r="AK28" s="198" t="s">
        <v>144</v>
      </c>
      <c r="AL28" s="168" t="s">
        <v>190</v>
      </c>
      <c r="AM28" s="153"/>
      <c r="AN28" s="212">
        <f>830+200+100+253</f>
        <v>1383</v>
      </c>
      <c r="AO28" s="210">
        <f>1055+590</f>
        <v>1645</v>
      </c>
      <c r="AP28" s="210">
        <f>3148+60+70+1967</f>
        <v>5245</v>
      </c>
      <c r="AQ28" s="210">
        <f>176+35+40</f>
        <v>251</v>
      </c>
      <c r="AR28" s="210">
        <f>714</f>
        <v>714</v>
      </c>
      <c r="AS28" s="210">
        <f>8637+68+88</f>
        <v>8793</v>
      </c>
      <c r="AT28" s="211">
        <f>1947+1390+343+55+40</f>
        <v>3775</v>
      </c>
      <c r="AU28" s="213">
        <v>7231</v>
      </c>
      <c r="AV28" s="166"/>
      <c r="AW28" s="167">
        <f t="shared" si="6"/>
        <v>29037</v>
      </c>
      <c r="AZ28" s="154"/>
      <c r="BC28" s="30"/>
      <c r="BD28" s="31"/>
      <c r="BE28" s="280" t="s">
        <v>192</v>
      </c>
      <c r="BF28" s="280"/>
      <c r="BG28" s="280"/>
      <c r="BH28" s="281"/>
      <c r="BI28" s="22"/>
      <c r="BJ28" s="157"/>
      <c r="BK28" s="77"/>
      <c r="BL28" s="156">
        <v>0</v>
      </c>
    </row>
    <row r="29" spans="2:65" ht="39" customHeight="1" thickBot="1" x14ac:dyDescent="0.35">
      <c r="B29" s="198" t="s">
        <v>271</v>
      </c>
      <c r="C29" s="296" t="s">
        <v>341</v>
      </c>
      <c r="D29" s="153"/>
      <c r="E29" s="30">
        <v>1291</v>
      </c>
      <c r="F29" s="31">
        <v>1569.5</v>
      </c>
      <c r="G29" s="31">
        <v>4198</v>
      </c>
      <c r="H29" s="31">
        <v>146</v>
      </c>
      <c r="I29" s="31">
        <v>803</v>
      </c>
      <c r="J29" s="31">
        <v>3207</v>
      </c>
      <c r="K29" s="22">
        <v>1795.5</v>
      </c>
      <c r="L29" s="32">
        <v>9679</v>
      </c>
      <c r="M29" s="166">
        <v>0</v>
      </c>
      <c r="N29" s="167">
        <f t="shared" si="4"/>
        <v>22689</v>
      </c>
      <c r="T29" s="198" t="s">
        <v>271</v>
      </c>
      <c r="U29" s="169" t="s">
        <v>273</v>
      </c>
      <c r="V29" s="153"/>
      <c r="W29" s="30">
        <v>306</v>
      </c>
      <c r="X29" s="31">
        <v>490</v>
      </c>
      <c r="Y29" s="31">
        <v>2807</v>
      </c>
      <c r="Z29" s="31">
        <v>150</v>
      </c>
      <c r="AA29" s="31">
        <v>939</v>
      </c>
      <c r="AB29" s="31">
        <v>1260</v>
      </c>
      <c r="AC29" s="22">
        <v>617</v>
      </c>
      <c r="AD29" s="32">
        <v>2465</v>
      </c>
      <c r="AE29" s="166"/>
      <c r="AF29" s="167">
        <f t="shared" si="5"/>
        <v>9034</v>
      </c>
      <c r="AK29" s="197"/>
      <c r="AL29" s="169"/>
      <c r="AM29" s="153"/>
      <c r="AN29" s="30"/>
      <c r="AO29" s="31"/>
      <c r="AP29" s="31"/>
      <c r="AQ29" s="31"/>
      <c r="AR29" s="31"/>
      <c r="AS29" s="31"/>
      <c r="AT29" s="22"/>
      <c r="AU29" s="32"/>
      <c r="AV29" s="166"/>
      <c r="AW29" s="167">
        <f t="shared" si="6"/>
        <v>0</v>
      </c>
      <c r="BA29" s="7"/>
      <c r="BB29" s="1"/>
      <c r="BC29" s="5"/>
      <c r="BD29" s="5"/>
      <c r="BE29" s="5"/>
      <c r="BF29" s="5"/>
      <c r="BG29" s="5"/>
      <c r="BH29" s="5"/>
      <c r="BI29" s="5"/>
      <c r="BJ29" s="173"/>
      <c r="BK29" s="174" t="s">
        <v>18</v>
      </c>
      <c r="BL29" s="175">
        <f>SUM(BL25:BL28)</f>
        <v>39532.5</v>
      </c>
    </row>
    <row r="30" spans="2:65" ht="21.75" thickBot="1" x14ac:dyDescent="0.4">
      <c r="B30" s="154"/>
      <c r="E30" s="30"/>
      <c r="F30" s="31"/>
      <c r="G30" s="277" t="s">
        <v>345</v>
      </c>
      <c r="H30" s="278"/>
      <c r="I30" s="278"/>
      <c r="J30" s="279"/>
      <c r="K30" s="22"/>
      <c r="L30" s="157"/>
      <c r="M30" s="77"/>
      <c r="N30" s="156">
        <v>0</v>
      </c>
      <c r="T30" s="154"/>
      <c r="W30" s="30"/>
      <c r="X30" s="31"/>
      <c r="Y30" s="277" t="s">
        <v>267</v>
      </c>
      <c r="Z30" s="278"/>
      <c r="AA30" s="278"/>
      <c r="AB30" s="279"/>
      <c r="AC30" s="22"/>
      <c r="AD30" s="157"/>
      <c r="AE30" s="77"/>
      <c r="AF30" s="156">
        <v>0</v>
      </c>
      <c r="AK30" s="154"/>
      <c r="AN30" s="30"/>
      <c r="AO30" s="31"/>
      <c r="AP30" s="277" t="s">
        <v>193</v>
      </c>
      <c r="AQ30" s="278"/>
      <c r="AR30" s="278"/>
      <c r="AS30" s="279"/>
      <c r="AT30" s="22"/>
      <c r="AU30" s="157"/>
      <c r="AV30" s="77"/>
      <c r="AW30" s="156">
        <v>0</v>
      </c>
      <c r="BC30" s="5"/>
      <c r="BD30" s="5"/>
      <c r="BE30" s="155"/>
      <c r="BF30" s="155"/>
      <c r="BG30" s="155"/>
      <c r="BH30" s="5"/>
      <c r="BI30" s="5"/>
      <c r="BJ30" s="5"/>
      <c r="BK30" s="71"/>
      <c r="BL30" s="74"/>
      <c r="BM30" s="130"/>
    </row>
    <row r="31" spans="2:65" ht="24" thickBot="1" x14ac:dyDescent="0.35">
      <c r="C31" s="7"/>
      <c r="D31" s="1"/>
      <c r="E31" s="5"/>
      <c r="F31" s="5"/>
      <c r="G31" s="5"/>
      <c r="H31" s="5"/>
      <c r="I31" s="5"/>
      <c r="J31" s="5"/>
      <c r="K31" s="5"/>
      <c r="L31" s="173"/>
      <c r="M31" s="174" t="s">
        <v>18</v>
      </c>
      <c r="N31" s="300">
        <f>SUM(N25:N30)</f>
        <v>93481</v>
      </c>
      <c r="U31" s="7"/>
      <c r="V31" s="1"/>
      <c r="W31" s="5"/>
      <c r="X31" s="5"/>
      <c r="Y31" s="5"/>
      <c r="Z31" s="5"/>
      <c r="AA31" s="5"/>
      <c r="AB31" s="5"/>
      <c r="AC31" s="5"/>
      <c r="AD31" s="173"/>
      <c r="AE31" s="174" t="s">
        <v>18</v>
      </c>
      <c r="AF31" s="175">
        <f>SUM(AF25:AF30)</f>
        <v>81327</v>
      </c>
      <c r="AL31" s="7"/>
      <c r="AM31" s="1"/>
      <c r="AN31" s="5"/>
      <c r="AO31" s="5"/>
      <c r="AP31" s="5"/>
      <c r="AQ31" s="5"/>
      <c r="AR31" s="5"/>
      <c r="AS31" s="5"/>
      <c r="AT31" s="5"/>
      <c r="AU31" s="173"/>
      <c r="AV31" s="174" t="s">
        <v>18</v>
      </c>
      <c r="AW31" s="175">
        <f>SUM(AW25:AW30)</f>
        <v>88878.5</v>
      </c>
      <c r="AY31" t="s">
        <v>26</v>
      </c>
    </row>
    <row r="32" spans="2:65" ht="21" x14ac:dyDescent="0.35">
      <c r="E32" s="5"/>
      <c r="F32" s="5"/>
      <c r="G32" s="155"/>
      <c r="H32" s="155"/>
      <c r="I32" s="155"/>
      <c r="J32" s="5"/>
      <c r="K32" s="5"/>
      <c r="L32" s="5"/>
      <c r="M32" s="71"/>
      <c r="N32" s="74"/>
      <c r="O32" s="130"/>
      <c r="W32" s="5"/>
      <c r="X32" s="5"/>
      <c r="Y32" s="155"/>
      <c r="Z32" s="155"/>
      <c r="AA32" s="155"/>
      <c r="AB32" s="5"/>
      <c r="AC32" s="5"/>
      <c r="AD32" s="5"/>
      <c r="AE32" s="71"/>
      <c r="AF32" s="74"/>
      <c r="AG32" s="130"/>
      <c r="AN32" s="5"/>
      <c r="AO32" s="5"/>
      <c r="AP32" s="155"/>
      <c r="AQ32" s="155"/>
      <c r="AR32" s="155"/>
      <c r="AS32" s="5"/>
      <c r="AT32" s="5"/>
      <c r="AU32" s="5"/>
      <c r="AV32" s="71"/>
      <c r="AW32" s="74"/>
      <c r="AX32" s="130"/>
    </row>
    <row r="33" spans="3:50" ht="23.25" x14ac:dyDescent="0.3">
      <c r="C33" s="7"/>
      <c r="D33" s="1"/>
      <c r="E33" s="5"/>
      <c r="F33" s="5"/>
      <c r="G33" s="5"/>
      <c r="H33" s="5"/>
      <c r="I33" s="5"/>
      <c r="J33" s="5"/>
      <c r="K33" s="71"/>
      <c r="L33" s="207"/>
      <c r="M33" s="208"/>
      <c r="N33" s="209"/>
      <c r="U33" s="7"/>
      <c r="V33" s="1"/>
      <c r="W33" s="5"/>
      <c r="X33" s="5"/>
      <c r="Y33" s="5"/>
      <c r="Z33" s="5"/>
      <c r="AA33" s="5"/>
      <c r="AB33" s="5"/>
      <c r="AC33" s="71"/>
      <c r="AD33" s="207"/>
      <c r="AE33" s="208"/>
      <c r="AF33" s="209"/>
      <c r="AL33" s="7"/>
      <c r="AM33" s="1"/>
      <c r="AN33" s="5"/>
      <c r="AO33" s="5"/>
      <c r="AP33" s="5"/>
      <c r="AQ33" s="5"/>
      <c r="AR33" s="5"/>
      <c r="AS33" s="5"/>
      <c r="AT33" s="71"/>
      <c r="AU33" s="207"/>
      <c r="AV33" s="208"/>
      <c r="AW33" s="209"/>
    </row>
    <row r="34" spans="3:50" ht="21" x14ac:dyDescent="0.35">
      <c r="E34" s="5"/>
      <c r="F34" s="5"/>
      <c r="G34" s="155"/>
      <c r="H34" s="155"/>
      <c r="I34" s="155"/>
      <c r="J34" s="5"/>
      <c r="K34" s="71"/>
      <c r="L34" s="71"/>
      <c r="M34" s="71"/>
      <c r="N34" s="74"/>
      <c r="O34" s="130"/>
      <c r="W34" s="5"/>
      <c r="X34" s="5"/>
      <c r="Y34" s="155"/>
      <c r="Z34" s="155"/>
      <c r="AA34" s="155"/>
      <c r="AB34" s="5"/>
      <c r="AC34" s="71"/>
      <c r="AD34" s="71"/>
      <c r="AE34" s="71"/>
      <c r="AF34" s="74"/>
      <c r="AG34" s="130"/>
      <c r="AN34" s="5"/>
      <c r="AO34" s="5"/>
      <c r="AP34" s="155"/>
      <c r="AQ34" s="155"/>
      <c r="AR34" s="155"/>
      <c r="AS34" s="5"/>
      <c r="AT34" s="71"/>
      <c r="AU34" s="71"/>
      <c r="AV34" s="71"/>
      <c r="AW34" s="74"/>
      <c r="AX34" s="130"/>
    </row>
  </sheetData>
  <mergeCells count="22">
    <mergeCell ref="D2:L2"/>
    <mergeCell ref="J3:L3"/>
    <mergeCell ref="G10:J10"/>
    <mergeCell ref="D22:L22"/>
    <mergeCell ref="G30:J30"/>
    <mergeCell ref="E12:G12"/>
    <mergeCell ref="V2:AD2"/>
    <mergeCell ref="AB3:AD3"/>
    <mergeCell ref="Y10:AB10"/>
    <mergeCell ref="V22:AD22"/>
    <mergeCell ref="Y30:AB30"/>
    <mergeCell ref="AP30:AS30"/>
    <mergeCell ref="BE28:BH28"/>
    <mergeCell ref="AM22:AU22"/>
    <mergeCell ref="BE7:BH7"/>
    <mergeCell ref="AP10:AS10"/>
    <mergeCell ref="BB2:BJ2"/>
    <mergeCell ref="BH3:BJ3"/>
    <mergeCell ref="BB22:BJ22"/>
    <mergeCell ref="BH23:BJ23"/>
    <mergeCell ref="AM2:AU2"/>
    <mergeCell ref="AS3:AU3"/>
  </mergeCells>
  <pageMargins left="0.25" right="0.25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Hoja5</vt:lpstr>
      <vt:lpstr>Hoja2</vt:lpstr>
      <vt:lpstr>GASTOS COMEDOR  DIC-2023</vt:lpstr>
      <vt:lpstr>GASTOS COMERDOR  NOV-2023      </vt:lpstr>
      <vt:lpstr>GASTOS COMEDOR OCT-2023 </vt:lpstr>
      <vt:lpstr>GASTOS POR SEMANA  SEPT-23 </vt:lpstr>
      <vt:lpstr>CONSENTRADO X SEMANAS   </vt:lpstr>
      <vt:lpstr>GASTO X  MES </vt:lpstr>
      <vt:lpstr>Hoja7</vt:lpstr>
      <vt:lpstr>   GASTOS  POR MES        02   </vt:lpstr>
      <vt:lpstr>GASTOS POR MES          01     </vt:lpstr>
      <vt:lpstr>Hoja3</vt:lpstr>
      <vt:lpstr>Hoja1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2023-12-02T18:09:04Z</cp:lastPrinted>
  <dcterms:created xsi:type="dcterms:W3CDTF">2023-08-22T02:09:42Z</dcterms:created>
  <dcterms:modified xsi:type="dcterms:W3CDTF">2023-12-02T18:09:46Z</dcterms:modified>
</cp:coreProperties>
</file>