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2  FEBRERO 2024\"/>
    </mc:Choice>
  </mc:AlternateContent>
  <bookViews>
    <workbookView xWindow="0" yWindow="0" windowWidth="22455" windowHeight="10995" firstSheet="3" activeTab="4"/>
  </bookViews>
  <sheets>
    <sheet name="CANALES   ENERO  2024   " sheetId="1" r:id="rId1"/>
    <sheet name="COMPRAS    ENERO       2024    " sheetId="2" r:id="rId2"/>
    <sheet name="  COMBOS     ENERO     2024    " sheetId="3" r:id="rId3"/>
    <sheet name="   CANALES  FEBRERO  2024      " sheetId="4" r:id="rId4"/>
    <sheet name="COMPRAS  COMBOS  FEBRERO 2024  " sheetId="5" r:id="rId5"/>
    <sheet name="  C O M B O S  FEBRERO  2 0 2 4" sheetId="6" r:id="rId6"/>
    <sheet name="Hoja2" sheetId="7" r:id="rId7"/>
    <sheet name="Hoja3" sheetId="8" r:id="rId8"/>
    <sheet name="Hoja6" sheetId="9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5" l="1"/>
  <c r="Q10" i="5" l="1"/>
  <c r="J11" i="5" l="1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J10" i="5"/>
  <c r="P70" i="4" l="1"/>
  <c r="L70" i="4"/>
  <c r="L71" i="4"/>
  <c r="Q81" i="4"/>
  <c r="Q8" i="5"/>
  <c r="Q9" i="5" l="1"/>
  <c r="Q6" i="5" l="1"/>
  <c r="Q77" i="4" l="1"/>
  <c r="Q73" i="4"/>
  <c r="Q7" i="5" l="1"/>
  <c r="AT33" i="6"/>
  <c r="AT32" i="6"/>
  <c r="AR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32" i="6" s="1"/>
  <c r="AW9" i="6"/>
  <c r="AW8" i="6"/>
  <c r="AV5" i="6"/>
  <c r="BD33" i="6"/>
  <c r="BD32" i="6"/>
  <c r="BB32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29" i="6" s="1"/>
  <c r="BF5" i="6"/>
  <c r="Q4" i="5" l="1"/>
  <c r="Q5" i="5" l="1"/>
  <c r="J9" i="5" l="1"/>
  <c r="H9" i="5"/>
  <c r="G9" i="5"/>
  <c r="F9" i="5"/>
  <c r="E9" i="5"/>
  <c r="D9" i="5"/>
  <c r="C9" i="5"/>
  <c r="B9" i="5"/>
  <c r="J8" i="5"/>
  <c r="H8" i="5"/>
  <c r="G8" i="5"/>
  <c r="F8" i="5"/>
  <c r="E8" i="5"/>
  <c r="D8" i="5"/>
  <c r="C8" i="5"/>
  <c r="B8" i="5"/>
  <c r="J7" i="5"/>
  <c r="H7" i="5"/>
  <c r="G7" i="5"/>
  <c r="F7" i="5"/>
  <c r="E7" i="5"/>
  <c r="D7" i="5"/>
  <c r="C7" i="5"/>
  <c r="B7" i="5"/>
  <c r="J6" i="5"/>
  <c r="H6" i="5"/>
  <c r="G6" i="5"/>
  <c r="F6" i="5"/>
  <c r="E6" i="5"/>
  <c r="D6" i="5"/>
  <c r="C6" i="5"/>
  <c r="B6" i="5"/>
  <c r="P72" i="4"/>
  <c r="P71" i="4"/>
  <c r="L72" i="4"/>
  <c r="L73" i="4"/>
  <c r="L74" i="4"/>
  <c r="J5" i="5" l="1"/>
  <c r="H5" i="5"/>
  <c r="G5" i="5"/>
  <c r="F5" i="5"/>
  <c r="I5" i="5" s="1"/>
  <c r="E5" i="5"/>
  <c r="D5" i="5"/>
  <c r="C5" i="5"/>
  <c r="B5" i="5"/>
  <c r="P69" i="4"/>
  <c r="N69" i="4"/>
  <c r="L69" i="4"/>
  <c r="J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4" i="5"/>
  <c r="H4" i="5"/>
  <c r="G4" i="5"/>
  <c r="F4" i="5"/>
  <c r="E4" i="5"/>
  <c r="D4" i="5"/>
  <c r="CR33" i="6"/>
  <c r="CH33" i="6"/>
  <c r="P33" i="6"/>
  <c r="GX32" i="6"/>
  <c r="GV32" i="6"/>
  <c r="GX33" i="6" s="1"/>
  <c r="GN32" i="6"/>
  <c r="GL32" i="6"/>
  <c r="GN33" i="6" s="1"/>
  <c r="GD32" i="6"/>
  <c r="GB32" i="6"/>
  <c r="GD33" i="6" s="1"/>
  <c r="FT32" i="6"/>
  <c r="FR32" i="6"/>
  <c r="FT33" i="6" s="1"/>
  <c r="FJ32" i="6"/>
  <c r="FH32" i="6"/>
  <c r="FJ33" i="6" s="1"/>
  <c r="EZ32" i="6"/>
  <c r="EX32" i="6"/>
  <c r="EZ33" i="6" s="1"/>
  <c r="EP32" i="6"/>
  <c r="EN32" i="6"/>
  <c r="EP33" i="6" s="1"/>
  <c r="EF32" i="6"/>
  <c r="ED32" i="6"/>
  <c r="EF33" i="6" s="1"/>
  <c r="DV32" i="6"/>
  <c r="DT32" i="6"/>
  <c r="DV33" i="6" s="1"/>
  <c r="DL32" i="6"/>
  <c r="DJ32" i="6"/>
  <c r="DL33" i="6" s="1"/>
  <c r="DB32" i="6"/>
  <c r="CZ32" i="6"/>
  <c r="DB33" i="6" s="1"/>
  <c r="CR32" i="6"/>
  <c r="CP32" i="6"/>
  <c r="CH32" i="6"/>
  <c r="CF32" i="6"/>
  <c r="BX32" i="6"/>
  <c r="BV32" i="6"/>
  <c r="BX33" i="6" s="1"/>
  <c r="BN32" i="6"/>
  <c r="BN33" i="6" s="1"/>
  <c r="BL32" i="6"/>
  <c r="AJ32" i="6"/>
  <c r="AJ33" i="6" s="1"/>
  <c r="AH32" i="6"/>
  <c r="Z32" i="6"/>
  <c r="Z33" i="6" s="1"/>
  <c r="X32" i="6"/>
  <c r="P32" i="6"/>
  <c r="N32" i="6"/>
  <c r="DO31" i="6"/>
  <c r="DE31" i="6"/>
  <c r="DO30" i="6"/>
  <c r="DE30" i="6"/>
  <c r="CU30" i="6"/>
  <c r="S30" i="6"/>
  <c r="GQ29" i="6"/>
  <c r="GG29" i="6"/>
  <c r="FW29" i="6"/>
  <c r="FW30" i="6" s="1"/>
  <c r="FM29" i="6"/>
  <c r="FC29" i="6"/>
  <c r="EI29" i="6"/>
  <c r="DY29" i="6"/>
  <c r="DO29" i="6"/>
  <c r="DE29" i="6"/>
  <c r="CU29" i="6"/>
  <c r="CK29" i="6"/>
  <c r="BQ29" i="6"/>
  <c r="AC29" i="6"/>
  <c r="S29" i="6"/>
  <c r="HA28" i="6"/>
  <c r="GQ28" i="6"/>
  <c r="GG28" i="6"/>
  <c r="FW28" i="6"/>
  <c r="FM28" i="6"/>
  <c r="FC28" i="6"/>
  <c r="ES28" i="6"/>
  <c r="EI28" i="6"/>
  <c r="DY28" i="6"/>
  <c r="DO28" i="6"/>
  <c r="DE28" i="6"/>
  <c r="CU28" i="6"/>
  <c r="CK28" i="6"/>
  <c r="CA28" i="6"/>
  <c r="BQ28" i="6"/>
  <c r="AM28" i="6"/>
  <c r="AC28" i="6"/>
  <c r="S28" i="6"/>
  <c r="HA27" i="6"/>
  <c r="GQ27" i="6"/>
  <c r="GG27" i="6"/>
  <c r="FW27" i="6"/>
  <c r="FM27" i="6"/>
  <c r="FC27" i="6"/>
  <c r="ES27" i="6"/>
  <c r="EI27" i="6"/>
  <c r="DY27" i="6"/>
  <c r="DO27" i="6"/>
  <c r="DE27" i="6"/>
  <c r="CU27" i="6"/>
  <c r="CK27" i="6"/>
  <c r="CA27" i="6"/>
  <c r="BQ27" i="6"/>
  <c r="AM27" i="6"/>
  <c r="AC27" i="6"/>
  <c r="S27" i="6"/>
  <c r="HA26" i="6"/>
  <c r="GQ26" i="6"/>
  <c r="GG26" i="6"/>
  <c r="FW26" i="6"/>
  <c r="FM26" i="6"/>
  <c r="FC26" i="6"/>
  <c r="ES26" i="6"/>
  <c r="EI26" i="6"/>
  <c r="DY26" i="6"/>
  <c r="DO26" i="6"/>
  <c r="DE26" i="6"/>
  <c r="CU26" i="6"/>
  <c r="CK26" i="6"/>
  <c r="CA26" i="6"/>
  <c r="BQ26" i="6"/>
  <c r="AM26" i="6"/>
  <c r="AC26" i="6"/>
  <c r="S26" i="6"/>
  <c r="HA25" i="6"/>
  <c r="GQ25" i="6"/>
  <c r="GG25" i="6"/>
  <c r="FW25" i="6"/>
  <c r="FM25" i="6"/>
  <c r="FC25" i="6"/>
  <c r="ES25" i="6"/>
  <c r="EI25" i="6"/>
  <c r="DY25" i="6"/>
  <c r="DO25" i="6"/>
  <c r="DE25" i="6"/>
  <c r="CU25" i="6"/>
  <c r="CK25" i="6"/>
  <c r="CA25" i="6"/>
  <c r="BQ25" i="6"/>
  <c r="AM25" i="6"/>
  <c r="AC25" i="6"/>
  <c r="S25" i="6"/>
  <c r="HA24" i="6"/>
  <c r="GQ24" i="6"/>
  <c r="GG24" i="6"/>
  <c r="FW24" i="6"/>
  <c r="FM24" i="6"/>
  <c r="FC24" i="6"/>
  <c r="ES24" i="6"/>
  <c r="EI24" i="6"/>
  <c r="DY24" i="6"/>
  <c r="DO24" i="6"/>
  <c r="DE24" i="6"/>
  <c r="CU24" i="6"/>
  <c r="CK24" i="6"/>
  <c r="CA24" i="6"/>
  <c r="BQ24" i="6"/>
  <c r="AM24" i="6"/>
  <c r="AC24" i="6"/>
  <c r="S24" i="6"/>
  <c r="HA23" i="6"/>
  <c r="GQ23" i="6"/>
  <c r="GG23" i="6"/>
  <c r="FW23" i="6"/>
  <c r="FM23" i="6"/>
  <c r="FC23" i="6"/>
  <c r="ES23" i="6"/>
  <c r="EI23" i="6"/>
  <c r="DY23" i="6"/>
  <c r="DO23" i="6"/>
  <c r="DE23" i="6"/>
  <c r="CU23" i="6"/>
  <c r="CK23" i="6"/>
  <c r="CA23" i="6"/>
  <c r="BQ23" i="6"/>
  <c r="AM23" i="6"/>
  <c r="AC23" i="6"/>
  <c r="S23" i="6"/>
  <c r="I23" i="6"/>
  <c r="H23" i="6"/>
  <c r="G23" i="6"/>
  <c r="F23" i="6"/>
  <c r="E23" i="6"/>
  <c r="D23" i="6"/>
  <c r="C23" i="6"/>
  <c r="B23" i="6"/>
  <c r="HA22" i="6"/>
  <c r="GQ22" i="6"/>
  <c r="GG22" i="6"/>
  <c r="FW22" i="6"/>
  <c r="FM22" i="6"/>
  <c r="FC22" i="6"/>
  <c r="ES22" i="6"/>
  <c r="EI22" i="6"/>
  <c r="DY22" i="6"/>
  <c r="DO22" i="6"/>
  <c r="DE22" i="6"/>
  <c r="CU22" i="6"/>
  <c r="CK22" i="6"/>
  <c r="CA22" i="6"/>
  <c r="BQ22" i="6"/>
  <c r="AM22" i="6"/>
  <c r="AC22" i="6"/>
  <c r="S22" i="6"/>
  <c r="I22" i="6"/>
  <c r="H22" i="6"/>
  <c r="G22" i="6"/>
  <c r="F22" i="6"/>
  <c r="E22" i="6"/>
  <c r="D22" i="6"/>
  <c r="C22" i="6"/>
  <c r="B22" i="6"/>
  <c r="HA21" i="6"/>
  <c r="GQ21" i="6"/>
  <c r="GG21" i="6"/>
  <c r="FW21" i="6"/>
  <c r="FM21" i="6"/>
  <c r="FC21" i="6"/>
  <c r="ES21" i="6"/>
  <c r="EI21" i="6"/>
  <c r="DY21" i="6"/>
  <c r="DO21" i="6"/>
  <c r="DE21" i="6"/>
  <c r="CU21" i="6"/>
  <c r="CK21" i="6"/>
  <c r="CA21" i="6"/>
  <c r="BQ21" i="6"/>
  <c r="AM21" i="6"/>
  <c r="AC21" i="6"/>
  <c r="S21" i="6"/>
  <c r="I21" i="6"/>
  <c r="H21" i="6"/>
  <c r="G21" i="6"/>
  <c r="F21" i="6"/>
  <c r="E21" i="6"/>
  <c r="D21" i="6"/>
  <c r="C21" i="6"/>
  <c r="B21" i="6"/>
  <c r="HA20" i="6"/>
  <c r="GQ20" i="6"/>
  <c r="GG20" i="6"/>
  <c r="FW20" i="6"/>
  <c r="FM20" i="6"/>
  <c r="FC20" i="6"/>
  <c r="ES20" i="6"/>
  <c r="EI20" i="6"/>
  <c r="DY20" i="6"/>
  <c r="DO20" i="6"/>
  <c r="DE20" i="6"/>
  <c r="CU20" i="6"/>
  <c r="CK20" i="6"/>
  <c r="CA20" i="6"/>
  <c r="BQ20" i="6"/>
  <c r="AM20" i="6"/>
  <c r="AC20" i="6"/>
  <c r="S20" i="6"/>
  <c r="I20" i="6"/>
  <c r="H20" i="6"/>
  <c r="G20" i="6"/>
  <c r="F20" i="6"/>
  <c r="E20" i="6"/>
  <c r="D20" i="6"/>
  <c r="C20" i="6"/>
  <c r="B20" i="6"/>
  <c r="HA19" i="6"/>
  <c r="GQ19" i="6"/>
  <c r="GG19" i="6"/>
  <c r="FW19" i="6"/>
  <c r="FM19" i="6"/>
  <c r="FC19" i="6"/>
  <c r="ES19" i="6"/>
  <c r="EI19" i="6"/>
  <c r="DY19" i="6"/>
  <c r="DO19" i="6"/>
  <c r="DE19" i="6"/>
  <c r="CU19" i="6"/>
  <c r="CK19" i="6"/>
  <c r="CA19" i="6"/>
  <c r="BQ19" i="6"/>
  <c r="AM19" i="6"/>
  <c r="AC19" i="6"/>
  <c r="S19" i="6"/>
  <c r="H19" i="6"/>
  <c r="G19" i="6"/>
  <c r="F19" i="6"/>
  <c r="E19" i="6"/>
  <c r="D19" i="6"/>
  <c r="C19" i="6"/>
  <c r="B19" i="6"/>
  <c r="HA18" i="6"/>
  <c r="GQ18" i="6"/>
  <c r="GG18" i="6"/>
  <c r="FW18" i="6"/>
  <c r="FM18" i="6"/>
  <c r="FC18" i="6"/>
  <c r="ES18" i="6"/>
  <c r="EI18" i="6"/>
  <c r="DY18" i="6"/>
  <c r="DO18" i="6"/>
  <c r="DE18" i="6"/>
  <c r="CU18" i="6"/>
  <c r="CK18" i="6"/>
  <c r="CA18" i="6"/>
  <c r="BQ18" i="6"/>
  <c r="AM18" i="6"/>
  <c r="AC18" i="6"/>
  <c r="S18" i="6"/>
  <c r="I18" i="6"/>
  <c r="H18" i="6"/>
  <c r="G18" i="6"/>
  <c r="F18" i="6"/>
  <c r="E18" i="6"/>
  <c r="D18" i="6"/>
  <c r="C18" i="6"/>
  <c r="B18" i="6"/>
  <c r="HA17" i="6"/>
  <c r="GQ17" i="6"/>
  <c r="GG17" i="6"/>
  <c r="FW17" i="6"/>
  <c r="FM17" i="6"/>
  <c r="FC17" i="6"/>
  <c r="ES17" i="6"/>
  <c r="EI17" i="6"/>
  <c r="DY17" i="6"/>
  <c r="DO17" i="6"/>
  <c r="DE17" i="6"/>
  <c r="CU17" i="6"/>
  <c r="CK17" i="6"/>
  <c r="CA17" i="6"/>
  <c r="BQ17" i="6"/>
  <c r="AM17" i="6"/>
  <c r="AC17" i="6"/>
  <c r="S17" i="6"/>
  <c r="I17" i="6"/>
  <c r="H17" i="6"/>
  <c r="G17" i="6"/>
  <c r="F17" i="6"/>
  <c r="E17" i="6"/>
  <c r="D17" i="6"/>
  <c r="C17" i="6"/>
  <c r="B17" i="6"/>
  <c r="HA16" i="6"/>
  <c r="GQ16" i="6"/>
  <c r="GG16" i="6"/>
  <c r="FW16" i="6"/>
  <c r="FM16" i="6"/>
  <c r="FC16" i="6"/>
  <c r="ES16" i="6"/>
  <c r="EI16" i="6"/>
  <c r="DY16" i="6"/>
  <c r="DO16" i="6"/>
  <c r="DE16" i="6"/>
  <c r="CU16" i="6"/>
  <c r="CK16" i="6"/>
  <c r="CA16" i="6"/>
  <c r="BQ16" i="6"/>
  <c r="AM16" i="6"/>
  <c r="AC16" i="6"/>
  <c r="S16" i="6"/>
  <c r="I16" i="6"/>
  <c r="H16" i="6"/>
  <c r="G16" i="6"/>
  <c r="F16" i="6"/>
  <c r="E16" i="6"/>
  <c r="D16" i="6"/>
  <c r="C16" i="6"/>
  <c r="B16" i="6"/>
  <c r="HA15" i="6"/>
  <c r="GQ15" i="6"/>
  <c r="GG15" i="6"/>
  <c r="FW15" i="6"/>
  <c r="FM15" i="6"/>
  <c r="FC15" i="6"/>
  <c r="ES15" i="6"/>
  <c r="EI15" i="6"/>
  <c r="DY15" i="6"/>
  <c r="DO15" i="6"/>
  <c r="DE15" i="6"/>
  <c r="CU15" i="6"/>
  <c r="CK15" i="6"/>
  <c r="CA15" i="6"/>
  <c r="BQ15" i="6"/>
  <c r="AM15" i="6"/>
  <c r="AC15" i="6"/>
  <c r="S15" i="6"/>
  <c r="H15" i="6"/>
  <c r="G15" i="6"/>
  <c r="F15" i="6"/>
  <c r="E15" i="6"/>
  <c r="D15" i="6"/>
  <c r="C15" i="6"/>
  <c r="B15" i="6"/>
  <c r="HA14" i="6"/>
  <c r="GQ14" i="6"/>
  <c r="GG14" i="6"/>
  <c r="FW14" i="6"/>
  <c r="FM14" i="6"/>
  <c r="FC14" i="6"/>
  <c r="ES14" i="6"/>
  <c r="EI14" i="6"/>
  <c r="DY14" i="6"/>
  <c r="DO14" i="6"/>
  <c r="DE14" i="6"/>
  <c r="CU14" i="6"/>
  <c r="CK14" i="6"/>
  <c r="CA14" i="6"/>
  <c r="BQ14" i="6"/>
  <c r="AM14" i="6"/>
  <c r="AC14" i="6"/>
  <c r="S14" i="6"/>
  <c r="I14" i="6"/>
  <c r="H14" i="6"/>
  <c r="G14" i="6"/>
  <c r="F14" i="6"/>
  <c r="E14" i="6"/>
  <c r="D14" i="6"/>
  <c r="C14" i="6"/>
  <c r="B14" i="6"/>
  <c r="HA13" i="6"/>
  <c r="GQ13" i="6"/>
  <c r="GG13" i="6"/>
  <c r="FW13" i="6"/>
  <c r="FM13" i="6"/>
  <c r="FC13" i="6"/>
  <c r="ES13" i="6"/>
  <c r="EI13" i="6"/>
  <c r="DY13" i="6"/>
  <c r="DO13" i="6"/>
  <c r="DE13" i="6"/>
  <c r="CU13" i="6"/>
  <c r="CK13" i="6"/>
  <c r="CA13" i="6"/>
  <c r="BQ13" i="6"/>
  <c r="AM13" i="6"/>
  <c r="AC13" i="6"/>
  <c r="S13" i="6"/>
  <c r="I13" i="6"/>
  <c r="H13" i="6"/>
  <c r="G13" i="6"/>
  <c r="F13" i="6"/>
  <c r="E13" i="6"/>
  <c r="D13" i="6"/>
  <c r="C13" i="6"/>
  <c r="B13" i="6"/>
  <c r="HA12" i="6"/>
  <c r="GQ12" i="6"/>
  <c r="GG12" i="6"/>
  <c r="FW12" i="6"/>
  <c r="FM12" i="6"/>
  <c r="FC12" i="6"/>
  <c r="ES12" i="6"/>
  <c r="EI12" i="6"/>
  <c r="DY12" i="6"/>
  <c r="DO12" i="6"/>
  <c r="DE12" i="6"/>
  <c r="CU12" i="6"/>
  <c r="CK12" i="6"/>
  <c r="CA12" i="6"/>
  <c r="BQ12" i="6"/>
  <c r="AM12" i="6"/>
  <c r="AC12" i="6"/>
  <c r="S12" i="6"/>
  <c r="I12" i="6"/>
  <c r="H12" i="6"/>
  <c r="G12" i="6"/>
  <c r="F12" i="6"/>
  <c r="E12" i="6"/>
  <c r="D12" i="6"/>
  <c r="C12" i="6"/>
  <c r="B12" i="6"/>
  <c r="HA11" i="6"/>
  <c r="GQ11" i="6"/>
  <c r="GG11" i="6"/>
  <c r="FW11" i="6"/>
  <c r="FM11" i="6"/>
  <c r="FC11" i="6"/>
  <c r="ES11" i="6"/>
  <c r="EI11" i="6"/>
  <c r="DY11" i="6"/>
  <c r="DO11" i="6"/>
  <c r="DE11" i="6"/>
  <c r="CU11" i="6"/>
  <c r="CK11" i="6"/>
  <c r="CA11" i="6"/>
  <c r="BQ11" i="6"/>
  <c r="AM11" i="6"/>
  <c r="AC11" i="6"/>
  <c r="S11" i="6"/>
  <c r="H11" i="6"/>
  <c r="G11" i="6"/>
  <c r="F11" i="6"/>
  <c r="E11" i="6"/>
  <c r="D11" i="6"/>
  <c r="C11" i="6"/>
  <c r="B11" i="6"/>
  <c r="HA10" i="6"/>
  <c r="GQ10" i="6"/>
  <c r="GG10" i="6"/>
  <c r="FW10" i="6"/>
  <c r="FM10" i="6"/>
  <c r="FC10" i="6"/>
  <c r="ES10" i="6"/>
  <c r="EI10" i="6"/>
  <c r="DY10" i="6"/>
  <c r="DO10" i="6"/>
  <c r="DE10" i="6"/>
  <c r="CU10" i="6"/>
  <c r="CK10" i="6"/>
  <c r="CA10" i="6"/>
  <c r="BQ10" i="6"/>
  <c r="AM10" i="6"/>
  <c r="AC10" i="6"/>
  <c r="S10" i="6"/>
  <c r="H10" i="6"/>
  <c r="G10" i="6"/>
  <c r="F10" i="6"/>
  <c r="E10" i="6"/>
  <c r="D10" i="6"/>
  <c r="C10" i="6"/>
  <c r="B10" i="6"/>
  <c r="HA9" i="6"/>
  <c r="GQ9" i="6"/>
  <c r="GG9" i="6"/>
  <c r="FW9" i="6"/>
  <c r="FM9" i="6"/>
  <c r="FC9" i="6"/>
  <c r="ES9" i="6"/>
  <c r="EI9" i="6"/>
  <c r="DY9" i="6"/>
  <c r="DO9" i="6"/>
  <c r="DE9" i="6"/>
  <c r="CU9" i="6"/>
  <c r="CK9" i="6"/>
  <c r="CA9" i="6"/>
  <c r="BQ9" i="6"/>
  <c r="AM9" i="6"/>
  <c r="AC9" i="6"/>
  <c r="S9" i="6"/>
  <c r="I9" i="6"/>
  <c r="H9" i="6"/>
  <c r="G9" i="6"/>
  <c r="F9" i="6"/>
  <c r="E9" i="6"/>
  <c r="D9" i="6"/>
  <c r="C9" i="6"/>
  <c r="B9" i="6"/>
  <c r="HA8" i="6"/>
  <c r="HA29" i="6" s="1"/>
  <c r="GQ8" i="6"/>
  <c r="GQ30" i="6" s="1"/>
  <c r="GG8" i="6"/>
  <c r="GG30" i="6" s="1"/>
  <c r="FW8" i="6"/>
  <c r="FM8" i="6"/>
  <c r="FM30" i="6" s="1"/>
  <c r="FC8" i="6"/>
  <c r="FC30" i="6" s="1"/>
  <c r="ES8" i="6"/>
  <c r="ES29" i="6" s="1"/>
  <c r="EI8" i="6"/>
  <c r="DY8" i="6"/>
  <c r="DY30" i="6" s="1"/>
  <c r="DO8" i="6"/>
  <c r="DO32" i="6" s="1"/>
  <c r="DE8" i="6"/>
  <c r="DE32" i="6" s="1"/>
  <c r="CU8" i="6"/>
  <c r="CU31" i="6" s="1"/>
  <c r="CK8" i="6"/>
  <c r="CK30" i="6" s="1"/>
  <c r="CA8" i="6"/>
  <c r="CA30" i="6" s="1"/>
  <c r="BQ8" i="6"/>
  <c r="BQ30" i="6" s="1"/>
  <c r="AM8" i="6"/>
  <c r="AM29" i="6" s="1"/>
  <c r="AC8" i="6"/>
  <c r="AC30" i="6" s="1"/>
  <c r="S8" i="6"/>
  <c r="H8" i="6"/>
  <c r="G8" i="6"/>
  <c r="F8" i="6"/>
  <c r="E8" i="6"/>
  <c r="D8" i="6"/>
  <c r="C8" i="6"/>
  <c r="B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GZ5" i="6"/>
  <c r="GP5" i="6"/>
  <c r="GF5" i="6"/>
  <c r="FV5" i="6"/>
  <c r="FL5" i="6"/>
  <c r="I19" i="6" s="1"/>
  <c r="FB5" i="6"/>
  <c r="ER5" i="6"/>
  <c r="EH5" i="6"/>
  <c r="DX5" i="6"/>
  <c r="I15" i="6" s="1"/>
  <c r="DN5" i="6"/>
  <c r="DD5" i="6"/>
  <c r="CT5" i="6"/>
  <c r="CJ5" i="6"/>
  <c r="I11" i="6" s="1"/>
  <c r="BZ5" i="6"/>
  <c r="I10" i="6" s="1"/>
  <c r="BP5" i="6"/>
  <c r="I8" i="6"/>
  <c r="I7" i="6"/>
  <c r="AL5" i="6"/>
  <c r="I6" i="6" s="1"/>
  <c r="AB5" i="6"/>
  <c r="I5" i="6" s="1"/>
  <c r="R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C4" i="5" s="1"/>
  <c r="B4" i="6"/>
  <c r="B4" i="5" s="1"/>
  <c r="AB1" i="6"/>
  <c r="AL1" i="6" s="1"/>
  <c r="AV1" i="6" s="1"/>
  <c r="BF1" i="6" s="1"/>
  <c r="BP1" i="6" s="1"/>
  <c r="BZ1" i="6" s="1"/>
  <c r="CJ1" i="6" s="1"/>
  <c r="CT1" i="6" s="1"/>
  <c r="DD1" i="6" s="1"/>
  <c r="DN1" i="6" s="1"/>
  <c r="DX1" i="6" s="1"/>
  <c r="EH1" i="6" s="1"/>
  <c r="ER1" i="6" s="1"/>
  <c r="FB1" i="6" s="1"/>
  <c r="FL1" i="6" s="1"/>
  <c r="FV1" i="6" s="1"/>
  <c r="GF1" i="6" s="1"/>
  <c r="GP1" i="6" s="1"/>
  <c r="GZ1" i="6" s="1"/>
  <c r="U1" i="6"/>
  <c r="AE1" i="6" s="1"/>
  <c r="AO1" i="6" s="1"/>
  <c r="AY1" i="6" s="1"/>
  <c r="BI1" i="6" s="1"/>
  <c r="BS1" i="6" s="1"/>
  <c r="CC1" i="6" s="1"/>
  <c r="CM1" i="6" s="1"/>
  <c r="CW1" i="6" s="1"/>
  <c r="DG1" i="6" s="1"/>
  <c r="DQ1" i="6" s="1"/>
  <c r="EA1" i="6" s="1"/>
  <c r="EK1" i="6" s="1"/>
  <c r="EU1" i="6" s="1"/>
  <c r="FE1" i="6" s="1"/>
  <c r="FO1" i="6" s="1"/>
  <c r="FY1" i="6" s="1"/>
  <c r="GI1" i="6" s="1"/>
  <c r="GS1" i="6" s="1"/>
  <c r="R1" i="6"/>
  <c r="M51" i="5"/>
  <c r="K51" i="5"/>
  <c r="I51" i="5"/>
  <c r="T50" i="5"/>
  <c r="S50" i="5"/>
  <c r="I50" i="5"/>
  <c r="S49" i="5"/>
  <c r="T49" i="5" s="1"/>
  <c r="I49" i="5"/>
  <c r="T48" i="5"/>
  <c r="S48" i="5"/>
  <c r="I48" i="5"/>
  <c r="T47" i="5"/>
  <c r="S47" i="5"/>
  <c r="I47" i="5"/>
  <c r="T46" i="5"/>
  <c r="S46" i="5"/>
  <c r="I46" i="5"/>
  <c r="S45" i="5"/>
  <c r="T45" i="5" s="1"/>
  <c r="I45" i="5"/>
  <c r="T44" i="5"/>
  <c r="S44" i="5"/>
  <c r="I44" i="5"/>
  <c r="T43" i="5"/>
  <c r="S43" i="5"/>
  <c r="I43" i="5"/>
  <c r="T42" i="5"/>
  <c r="S42" i="5"/>
  <c r="I42" i="5"/>
  <c r="S41" i="5"/>
  <c r="T41" i="5" s="1"/>
  <c r="I41" i="5"/>
  <c r="T40" i="5"/>
  <c r="S40" i="5"/>
  <c r="I40" i="5"/>
  <c r="T39" i="5"/>
  <c r="S39" i="5"/>
  <c r="I39" i="5"/>
  <c r="T38" i="5"/>
  <c r="S38" i="5"/>
  <c r="I38" i="5"/>
  <c r="S37" i="5"/>
  <c r="T37" i="5" s="1"/>
  <c r="T36" i="5"/>
  <c r="S36" i="5"/>
  <c r="S35" i="5"/>
  <c r="T35" i="5" s="1"/>
  <c r="T34" i="5"/>
  <c r="S34" i="5"/>
  <c r="S33" i="5"/>
  <c r="T33" i="5" s="1"/>
  <c r="T32" i="5"/>
  <c r="S32" i="5"/>
  <c r="S31" i="5"/>
  <c r="T31" i="5" s="1"/>
  <c r="T30" i="5"/>
  <c r="S30" i="5"/>
  <c r="T29" i="5"/>
  <c r="S29" i="5"/>
  <c r="AA28" i="5"/>
  <c r="T28" i="5"/>
  <c r="S28" i="5"/>
  <c r="AB27" i="5"/>
  <c r="AA27" i="5"/>
  <c r="AC27" i="5" s="1"/>
  <c r="T27" i="5"/>
  <c r="S27" i="5"/>
  <c r="AC26" i="5"/>
  <c r="AB26" i="5"/>
  <c r="AA26" i="5"/>
  <c r="S26" i="5"/>
  <c r="T26" i="5" s="1"/>
  <c r="AC25" i="5"/>
  <c r="AB25" i="5"/>
  <c r="AA25" i="5"/>
  <c r="T25" i="5"/>
  <c r="S25" i="5"/>
  <c r="AA24" i="5"/>
  <c r="T24" i="5"/>
  <c r="S24" i="5"/>
  <c r="AB23" i="5"/>
  <c r="AA23" i="5"/>
  <c r="AC23" i="5" s="1"/>
  <c r="T23" i="5"/>
  <c r="S23" i="5"/>
  <c r="AC22" i="5"/>
  <c r="AB22" i="5"/>
  <c r="AA22" i="5"/>
  <c r="S22" i="5"/>
  <c r="T22" i="5" s="1"/>
  <c r="AC21" i="5"/>
  <c r="AB21" i="5"/>
  <c r="AA21" i="5"/>
  <c r="T21" i="5"/>
  <c r="S21" i="5"/>
  <c r="AA20" i="5"/>
  <c r="T20" i="5"/>
  <c r="S20" i="5"/>
  <c r="AB19" i="5"/>
  <c r="AA19" i="5"/>
  <c r="AC19" i="5" s="1"/>
  <c r="T19" i="5"/>
  <c r="S19" i="5"/>
  <c r="AC18" i="5"/>
  <c r="AB18" i="5"/>
  <c r="AA18" i="5"/>
  <c r="S18" i="5"/>
  <c r="T18" i="5" s="1"/>
  <c r="AC17" i="5"/>
  <c r="AB17" i="5"/>
  <c r="AA17" i="5"/>
  <c r="T17" i="5"/>
  <c r="S17" i="5"/>
  <c r="AA16" i="5"/>
  <c r="T16" i="5"/>
  <c r="S16" i="5"/>
  <c r="AB15" i="5"/>
  <c r="AA15" i="5"/>
  <c r="AC15" i="5" s="1"/>
  <c r="T15" i="5"/>
  <c r="S15" i="5"/>
  <c r="AC14" i="5"/>
  <c r="AB14" i="5"/>
  <c r="AA14" i="5"/>
  <c r="S14" i="5"/>
  <c r="T14" i="5" s="1"/>
  <c r="AC13" i="5"/>
  <c r="AB13" i="5"/>
  <c r="AA13" i="5"/>
  <c r="T13" i="5"/>
  <c r="S13" i="5"/>
  <c r="AA12" i="5"/>
  <c r="T12" i="5"/>
  <c r="S12" i="5"/>
  <c r="AB11" i="5"/>
  <c r="AA11" i="5"/>
  <c r="AC11" i="5" s="1"/>
  <c r="S11" i="5"/>
  <c r="T11" i="5" s="1"/>
  <c r="AA10" i="5"/>
  <c r="S10" i="5"/>
  <c r="T10" i="5" s="1"/>
  <c r="B10" i="5"/>
  <c r="AA9" i="5"/>
  <c r="AB9" i="5" s="1"/>
  <c r="AC9" i="5" s="1"/>
  <c r="S9" i="5"/>
  <c r="T9" i="5" s="1"/>
  <c r="AC8" i="5"/>
  <c r="AB8" i="5"/>
  <c r="AA8" i="5"/>
  <c r="S8" i="5"/>
  <c r="T8" i="5" s="1"/>
  <c r="AB7" i="5"/>
  <c r="AA7" i="5"/>
  <c r="AC7" i="5" s="1"/>
  <c r="S7" i="5"/>
  <c r="T7" i="5" s="1"/>
  <c r="S6" i="5"/>
  <c r="T6" i="5" s="1"/>
  <c r="Q51" i="5"/>
  <c r="G51" i="5"/>
  <c r="S4" i="5"/>
  <c r="H51" i="5"/>
  <c r="S3" i="5"/>
  <c r="T3" i="5" s="1"/>
  <c r="X119" i="4"/>
  <c r="U119" i="4"/>
  <c r="S119" i="4"/>
  <c r="N119" i="4"/>
  <c r="P118" i="4"/>
  <c r="F118" i="4"/>
  <c r="P117" i="4"/>
  <c r="F117" i="4"/>
  <c r="P116" i="4"/>
  <c r="F116" i="4"/>
  <c r="K115" i="4"/>
  <c r="P115" i="4" s="1"/>
  <c r="F115" i="4"/>
  <c r="P114" i="4"/>
  <c r="L114" i="4"/>
  <c r="F114" i="4"/>
  <c r="P113" i="4"/>
  <c r="L113" i="4"/>
  <c r="F113" i="4"/>
  <c r="P112" i="4"/>
  <c r="L112" i="4"/>
  <c r="F112" i="4"/>
  <c r="P111" i="4"/>
  <c r="L111" i="4"/>
  <c r="P110" i="4"/>
  <c r="L110" i="4"/>
  <c r="P109" i="4"/>
  <c r="L109" i="4"/>
  <c r="P108" i="4"/>
  <c r="L108" i="4"/>
  <c r="P107" i="4"/>
  <c r="L107" i="4"/>
  <c r="P106" i="4"/>
  <c r="L106" i="4"/>
  <c r="P105" i="4"/>
  <c r="L105" i="4"/>
  <c r="P104" i="4"/>
  <c r="L104" i="4"/>
  <c r="P103" i="4"/>
  <c r="L103" i="4"/>
  <c r="P102" i="4"/>
  <c r="L102" i="4"/>
  <c r="P101" i="4"/>
  <c r="L101" i="4"/>
  <c r="P100" i="4"/>
  <c r="L100" i="4"/>
  <c r="P99" i="4"/>
  <c r="L99" i="4"/>
  <c r="P98" i="4"/>
  <c r="L98" i="4"/>
  <c r="P97" i="4"/>
  <c r="L97" i="4"/>
  <c r="P96" i="4"/>
  <c r="L96" i="4"/>
  <c r="P95" i="4"/>
  <c r="L95" i="4"/>
  <c r="P94" i="4"/>
  <c r="L94" i="4"/>
  <c r="P93" i="4"/>
  <c r="L93" i="4"/>
  <c r="P92" i="4"/>
  <c r="L92" i="4"/>
  <c r="P91" i="4"/>
  <c r="L91" i="4"/>
  <c r="P90" i="4"/>
  <c r="L90" i="4"/>
  <c r="P89" i="4"/>
  <c r="L89" i="4"/>
  <c r="P88" i="4"/>
  <c r="L88" i="4"/>
  <c r="P87" i="4"/>
  <c r="L87" i="4"/>
  <c r="P86" i="4"/>
  <c r="L86" i="4"/>
  <c r="P85" i="4"/>
  <c r="L85" i="4"/>
  <c r="P84" i="4"/>
  <c r="L84" i="4"/>
  <c r="P83" i="4"/>
  <c r="L83" i="4"/>
  <c r="P82" i="4"/>
  <c r="L82" i="4"/>
  <c r="P81" i="4"/>
  <c r="L81" i="4"/>
  <c r="P80" i="4"/>
  <c r="L80" i="4"/>
  <c r="P79" i="4"/>
  <c r="L79" i="4"/>
  <c r="P78" i="4"/>
  <c r="L78" i="4"/>
  <c r="P77" i="4"/>
  <c r="L77" i="4"/>
  <c r="P76" i="4"/>
  <c r="L76" i="4"/>
  <c r="P75" i="4"/>
  <c r="L75" i="4"/>
  <c r="P74" i="4"/>
  <c r="P73" i="4"/>
  <c r="P68" i="4"/>
  <c r="L68" i="4"/>
  <c r="P67" i="4"/>
  <c r="L67" i="4"/>
  <c r="P66" i="4"/>
  <c r="L66" i="4"/>
  <c r="F66" i="4"/>
  <c r="P65" i="4"/>
  <c r="L65" i="4"/>
  <c r="F65" i="4"/>
  <c r="P64" i="4"/>
  <c r="L64" i="4"/>
  <c r="F64" i="4"/>
  <c r="P63" i="4"/>
  <c r="L63" i="4"/>
  <c r="F63" i="4"/>
  <c r="P62" i="4"/>
  <c r="L62" i="4"/>
  <c r="F62" i="4"/>
  <c r="P61" i="4"/>
  <c r="L61" i="4"/>
  <c r="F61" i="4"/>
  <c r="P60" i="4"/>
  <c r="L60" i="4"/>
  <c r="F60" i="4"/>
  <c r="P59" i="4"/>
  <c r="L59" i="4"/>
  <c r="F59" i="4"/>
  <c r="P58" i="4"/>
  <c r="L58" i="4"/>
  <c r="F58" i="4"/>
  <c r="P57" i="4"/>
  <c r="L57" i="4"/>
  <c r="F57" i="4"/>
  <c r="P56" i="4"/>
  <c r="L56" i="4"/>
  <c r="F56" i="4"/>
  <c r="P55" i="4"/>
  <c r="L55" i="4"/>
  <c r="F55" i="4"/>
  <c r="P54" i="4"/>
  <c r="L54" i="4"/>
  <c r="F54" i="4"/>
  <c r="P53" i="4"/>
  <c r="L53" i="4"/>
  <c r="F53" i="4"/>
  <c r="P52" i="4"/>
  <c r="L52" i="4"/>
  <c r="F52" i="4"/>
  <c r="P51" i="4"/>
  <c r="L51" i="4"/>
  <c r="F51" i="4"/>
  <c r="P50" i="4"/>
  <c r="L50" i="4"/>
  <c r="F50" i="4"/>
  <c r="P49" i="4"/>
  <c r="L49" i="4"/>
  <c r="F49" i="4"/>
  <c r="P48" i="4"/>
  <c r="L48" i="4"/>
  <c r="F48" i="4"/>
  <c r="P47" i="4"/>
  <c r="L47" i="4"/>
  <c r="F47" i="4"/>
  <c r="P46" i="4"/>
  <c r="L46" i="4"/>
  <c r="F46" i="4"/>
  <c r="P45" i="4"/>
  <c r="L45" i="4"/>
  <c r="F45" i="4"/>
  <c r="P44" i="4"/>
  <c r="L44" i="4"/>
  <c r="F44" i="4"/>
  <c r="P43" i="4"/>
  <c r="L43" i="4"/>
  <c r="F43" i="4"/>
  <c r="P42" i="4"/>
  <c r="L42" i="4"/>
  <c r="F42" i="4"/>
  <c r="P41" i="4"/>
  <c r="L41" i="4"/>
  <c r="F41" i="4"/>
  <c r="P40" i="4"/>
  <c r="L40" i="4"/>
  <c r="F40" i="4"/>
  <c r="P39" i="4"/>
  <c r="L39" i="4"/>
  <c r="F39" i="4"/>
  <c r="P38" i="4"/>
  <c r="L38" i="4"/>
  <c r="F38" i="4"/>
  <c r="P37" i="4"/>
  <c r="L37" i="4"/>
  <c r="F37" i="4"/>
  <c r="P36" i="4"/>
  <c r="L36" i="4"/>
  <c r="F36" i="4"/>
  <c r="P35" i="4"/>
  <c r="L35" i="4"/>
  <c r="F35" i="4"/>
  <c r="P34" i="4"/>
  <c r="L34" i="4"/>
  <c r="F34" i="4"/>
  <c r="P33" i="4"/>
  <c r="L33" i="4"/>
  <c r="F33" i="4"/>
  <c r="P32" i="4"/>
  <c r="L32" i="4"/>
  <c r="F32" i="4"/>
  <c r="P31" i="4"/>
  <c r="L31" i="4"/>
  <c r="F31" i="4"/>
  <c r="P30" i="4"/>
  <c r="L30" i="4"/>
  <c r="P29" i="4"/>
  <c r="L29" i="4"/>
  <c r="P28" i="4"/>
  <c r="L28" i="4"/>
  <c r="L27" i="4"/>
  <c r="P26" i="4"/>
  <c r="L26" i="4"/>
  <c r="P25" i="4"/>
  <c r="L25" i="4"/>
  <c r="P24" i="4"/>
  <c r="L24" i="4"/>
  <c r="P23" i="4"/>
  <c r="L23" i="4"/>
  <c r="P22" i="4"/>
  <c r="L22" i="4"/>
  <c r="P21" i="4"/>
  <c r="L21" i="4"/>
  <c r="P20" i="4"/>
  <c r="L20" i="4"/>
  <c r="P19" i="4"/>
  <c r="L19" i="4"/>
  <c r="P18" i="4"/>
  <c r="L18" i="4"/>
  <c r="P17" i="4"/>
  <c r="L17" i="4"/>
  <c r="P16" i="4"/>
  <c r="L16" i="4"/>
  <c r="P15" i="4"/>
  <c r="L15" i="4"/>
  <c r="P14" i="4"/>
  <c r="L14" i="4"/>
  <c r="P13" i="4"/>
  <c r="L13" i="4"/>
  <c r="P12" i="4"/>
  <c r="L12" i="4"/>
  <c r="P11" i="4"/>
  <c r="L11" i="4"/>
  <c r="P10" i="4"/>
  <c r="L10" i="4"/>
  <c r="P9" i="4"/>
  <c r="L9" i="4"/>
  <c r="P8" i="4"/>
  <c r="L8" i="4"/>
  <c r="P7" i="4"/>
  <c r="L7" i="4"/>
  <c r="P6" i="4"/>
  <c r="L6" i="4"/>
  <c r="P5" i="4"/>
  <c r="L5" i="4"/>
  <c r="P4" i="4"/>
  <c r="L4" i="4"/>
  <c r="S51" i="5" l="1"/>
  <c r="T4" i="5"/>
  <c r="AC16" i="5"/>
  <c r="AC24" i="5"/>
  <c r="S5" i="5"/>
  <c r="T5" i="5" s="1"/>
  <c r="AB10" i="5"/>
  <c r="AC10" i="5" s="1"/>
  <c r="AC29" i="5" s="1"/>
  <c r="AB12" i="5"/>
  <c r="AC12" i="5" s="1"/>
  <c r="AB16" i="5"/>
  <c r="AB20" i="5"/>
  <c r="AC20" i="5" s="1"/>
  <c r="AB24" i="5"/>
  <c r="AB28" i="5"/>
  <c r="AC28" i="5" s="1"/>
  <c r="P119" i="4"/>
  <c r="P122" i="4" s="1"/>
  <c r="Q8" i="2"/>
  <c r="Q10" i="2" l="1"/>
  <c r="Q11" i="2"/>
  <c r="J11" i="2" l="1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CH33" i="3"/>
  <c r="CH32" i="3"/>
  <c r="CF32" i="3"/>
  <c r="CK29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30" i="3" s="1"/>
  <c r="CK8" i="3"/>
  <c r="CJ5" i="3"/>
  <c r="N74" i="1" l="1"/>
  <c r="Q9" i="2" l="1"/>
  <c r="Q5" i="2" l="1"/>
  <c r="Q7" i="2" l="1"/>
  <c r="N70" i="1" l="1"/>
  <c r="Q6" i="2" l="1"/>
  <c r="Q4" i="2" l="1"/>
  <c r="P6" i="1" l="1"/>
  <c r="P7" i="1"/>
  <c r="P8" i="1"/>
  <c r="P9" i="1"/>
  <c r="L6" i="1"/>
  <c r="L7" i="1"/>
  <c r="P5" i="1"/>
  <c r="L5" i="1"/>
  <c r="L8" i="1"/>
  <c r="L9" i="1"/>
  <c r="L10" i="1"/>
  <c r="L68" i="1" l="1"/>
  <c r="J9" i="2" l="1"/>
  <c r="J8" i="2"/>
  <c r="J7" i="2"/>
  <c r="J6" i="2"/>
  <c r="J5" i="2"/>
  <c r="J4" i="2"/>
  <c r="P33" i="3" l="1"/>
  <c r="GX32" i="3"/>
  <c r="GX33" i="3" s="1"/>
  <c r="GV32" i="3"/>
  <c r="GN32" i="3"/>
  <c r="GL32" i="3"/>
  <c r="GN33" i="3" s="1"/>
  <c r="GD32" i="3"/>
  <c r="GB32" i="3"/>
  <c r="FT32" i="3"/>
  <c r="FR32" i="3"/>
  <c r="FT33" i="3" s="1"/>
  <c r="FJ32" i="3"/>
  <c r="FJ33" i="3" s="1"/>
  <c r="FH32" i="3"/>
  <c r="EZ32" i="3"/>
  <c r="EX32" i="3"/>
  <c r="EZ33" i="3" s="1"/>
  <c r="EP32" i="3"/>
  <c r="EN32" i="3"/>
  <c r="EF32" i="3"/>
  <c r="ED32" i="3"/>
  <c r="EF33" i="3" s="1"/>
  <c r="DV32" i="3"/>
  <c r="DV33" i="3" s="1"/>
  <c r="DT32" i="3"/>
  <c r="DL32" i="3"/>
  <c r="DJ32" i="3"/>
  <c r="DL33" i="3" s="1"/>
  <c r="DB32" i="3"/>
  <c r="CZ32" i="3"/>
  <c r="CR32" i="3"/>
  <c r="CP32" i="3"/>
  <c r="CR33" i="3" s="1"/>
  <c r="BX32" i="3"/>
  <c r="BV32" i="3"/>
  <c r="BX33" i="3" s="1"/>
  <c r="BN32" i="3"/>
  <c r="BN33" i="3" s="1"/>
  <c r="BL32" i="3"/>
  <c r="BD32" i="3"/>
  <c r="BD33" i="3" s="1"/>
  <c r="BB32" i="3"/>
  <c r="AT32" i="3"/>
  <c r="AT33" i="3" s="1"/>
  <c r="AR32" i="3"/>
  <c r="AJ32" i="3"/>
  <c r="AJ33" i="3" s="1"/>
  <c r="AH32" i="3"/>
  <c r="Z32" i="3"/>
  <c r="Z33" i="3" s="1"/>
  <c r="X32" i="3"/>
  <c r="P32" i="3"/>
  <c r="N32" i="3"/>
  <c r="DO31" i="3"/>
  <c r="DE31" i="3"/>
  <c r="DO30" i="3"/>
  <c r="DE30" i="3"/>
  <c r="CU30" i="3"/>
  <c r="GQ29" i="3"/>
  <c r="GG29" i="3"/>
  <c r="FW29" i="3"/>
  <c r="FM29" i="3"/>
  <c r="FC29" i="3"/>
  <c r="DY29" i="3"/>
  <c r="DO29" i="3"/>
  <c r="DE29" i="3"/>
  <c r="CU29" i="3"/>
  <c r="BQ29" i="3"/>
  <c r="BG29" i="3"/>
  <c r="AC29" i="3"/>
  <c r="S29" i="3"/>
  <c r="HA28" i="3"/>
  <c r="GQ28" i="3"/>
  <c r="GG28" i="3"/>
  <c r="FW28" i="3"/>
  <c r="FM28" i="3"/>
  <c r="FC28" i="3"/>
  <c r="ES28" i="3"/>
  <c r="EI28" i="3"/>
  <c r="DY28" i="3"/>
  <c r="DO28" i="3"/>
  <c r="DE28" i="3"/>
  <c r="CU28" i="3"/>
  <c r="CA28" i="3"/>
  <c r="BQ28" i="3"/>
  <c r="BG28" i="3"/>
  <c r="AW28" i="3"/>
  <c r="AM28" i="3"/>
  <c r="AC28" i="3"/>
  <c r="S28" i="3"/>
  <c r="HA27" i="3"/>
  <c r="GQ27" i="3"/>
  <c r="GG27" i="3"/>
  <c r="FW27" i="3"/>
  <c r="FM27" i="3"/>
  <c r="FC27" i="3"/>
  <c r="ES27" i="3"/>
  <c r="EI27" i="3"/>
  <c r="DY27" i="3"/>
  <c r="DO27" i="3"/>
  <c r="DE27" i="3"/>
  <c r="CU27" i="3"/>
  <c r="CA27" i="3"/>
  <c r="BQ27" i="3"/>
  <c r="BG27" i="3"/>
  <c r="AW27" i="3"/>
  <c r="AM27" i="3"/>
  <c r="AC27" i="3"/>
  <c r="S27" i="3"/>
  <c r="HA26" i="3"/>
  <c r="GQ26" i="3"/>
  <c r="GG26" i="3"/>
  <c r="FW26" i="3"/>
  <c r="FM26" i="3"/>
  <c r="FC26" i="3"/>
  <c r="ES26" i="3"/>
  <c r="EI26" i="3"/>
  <c r="DY26" i="3"/>
  <c r="DO26" i="3"/>
  <c r="DE26" i="3"/>
  <c r="CU26" i="3"/>
  <c r="CA26" i="3"/>
  <c r="BQ26" i="3"/>
  <c r="BG26" i="3"/>
  <c r="AW26" i="3"/>
  <c r="AM26" i="3"/>
  <c r="AC26" i="3"/>
  <c r="S26" i="3"/>
  <c r="HA25" i="3"/>
  <c r="GQ25" i="3"/>
  <c r="GG25" i="3"/>
  <c r="FW25" i="3"/>
  <c r="FM25" i="3"/>
  <c r="FC25" i="3"/>
  <c r="ES25" i="3"/>
  <c r="EI25" i="3"/>
  <c r="DY25" i="3"/>
  <c r="DO25" i="3"/>
  <c r="DE25" i="3"/>
  <c r="CU25" i="3"/>
  <c r="CA25" i="3"/>
  <c r="BQ25" i="3"/>
  <c r="BG25" i="3"/>
  <c r="AW25" i="3"/>
  <c r="AM25" i="3"/>
  <c r="AC25" i="3"/>
  <c r="S25" i="3"/>
  <c r="HA24" i="3"/>
  <c r="GQ24" i="3"/>
  <c r="GG24" i="3"/>
  <c r="FW24" i="3"/>
  <c r="FM24" i="3"/>
  <c r="FC24" i="3"/>
  <c r="ES24" i="3"/>
  <c r="EI24" i="3"/>
  <c r="DY24" i="3"/>
  <c r="DO24" i="3"/>
  <c r="DE24" i="3"/>
  <c r="CU24" i="3"/>
  <c r="CA24" i="3"/>
  <c r="BQ24" i="3"/>
  <c r="BG24" i="3"/>
  <c r="AW24" i="3"/>
  <c r="AM24" i="3"/>
  <c r="AC24" i="3"/>
  <c r="S24" i="3"/>
  <c r="HA23" i="3"/>
  <c r="GQ23" i="3"/>
  <c r="GG23" i="3"/>
  <c r="FW23" i="3"/>
  <c r="FM23" i="3"/>
  <c r="FC23" i="3"/>
  <c r="ES23" i="3"/>
  <c r="EI23" i="3"/>
  <c r="DY23" i="3"/>
  <c r="DO23" i="3"/>
  <c r="DE23" i="3"/>
  <c r="CU23" i="3"/>
  <c r="CA23" i="3"/>
  <c r="BQ23" i="3"/>
  <c r="BG23" i="3"/>
  <c r="AW23" i="3"/>
  <c r="AM23" i="3"/>
  <c r="AC23" i="3"/>
  <c r="S23" i="3"/>
  <c r="H23" i="3"/>
  <c r="G23" i="3"/>
  <c r="F23" i="3"/>
  <c r="I23" i="3" s="1"/>
  <c r="E23" i="3"/>
  <c r="D23" i="3"/>
  <c r="C23" i="3"/>
  <c r="B23" i="3"/>
  <c r="HA22" i="3"/>
  <c r="GQ22" i="3"/>
  <c r="GG22" i="3"/>
  <c r="FW22" i="3"/>
  <c r="FM22" i="3"/>
  <c r="FC22" i="3"/>
  <c r="ES22" i="3"/>
  <c r="EI22" i="3"/>
  <c r="DY22" i="3"/>
  <c r="DO22" i="3"/>
  <c r="DE22" i="3"/>
  <c r="CU22" i="3"/>
  <c r="CA22" i="3"/>
  <c r="BQ22" i="3"/>
  <c r="BG22" i="3"/>
  <c r="AW22" i="3"/>
  <c r="AM22" i="3"/>
  <c r="AC22" i="3"/>
  <c r="S22" i="3"/>
  <c r="H22" i="3"/>
  <c r="G22" i="3"/>
  <c r="F22" i="3"/>
  <c r="E22" i="3"/>
  <c r="D22" i="3"/>
  <c r="C22" i="3"/>
  <c r="B22" i="3"/>
  <c r="HA21" i="3"/>
  <c r="GQ21" i="3"/>
  <c r="GG21" i="3"/>
  <c r="FW21" i="3"/>
  <c r="FM21" i="3"/>
  <c r="FC21" i="3"/>
  <c r="ES21" i="3"/>
  <c r="EI21" i="3"/>
  <c r="DY21" i="3"/>
  <c r="DO21" i="3"/>
  <c r="DE21" i="3"/>
  <c r="CU21" i="3"/>
  <c r="CA21" i="3"/>
  <c r="BQ21" i="3"/>
  <c r="BG21" i="3"/>
  <c r="AW21" i="3"/>
  <c r="AM21" i="3"/>
  <c r="AC21" i="3"/>
  <c r="S21" i="3"/>
  <c r="H21" i="3"/>
  <c r="G21" i="3"/>
  <c r="F21" i="3"/>
  <c r="E21" i="3"/>
  <c r="D21" i="3"/>
  <c r="C21" i="3"/>
  <c r="B21" i="3"/>
  <c r="HA20" i="3"/>
  <c r="GQ20" i="3"/>
  <c r="GG20" i="3"/>
  <c r="FW20" i="3"/>
  <c r="FM20" i="3"/>
  <c r="FC20" i="3"/>
  <c r="ES20" i="3"/>
  <c r="EI20" i="3"/>
  <c r="DY20" i="3"/>
  <c r="DO20" i="3"/>
  <c r="DE20" i="3"/>
  <c r="CU20" i="3"/>
  <c r="CA20" i="3"/>
  <c r="BQ20" i="3"/>
  <c r="BG20" i="3"/>
  <c r="AW20" i="3"/>
  <c r="AM20" i="3"/>
  <c r="AC20" i="3"/>
  <c r="S20" i="3"/>
  <c r="H20" i="3"/>
  <c r="G20" i="3"/>
  <c r="F20" i="3"/>
  <c r="E20" i="3"/>
  <c r="D20" i="3"/>
  <c r="C20" i="3"/>
  <c r="B20" i="3"/>
  <c r="HA19" i="3"/>
  <c r="GQ19" i="3"/>
  <c r="GG19" i="3"/>
  <c r="FW19" i="3"/>
  <c r="FM19" i="3"/>
  <c r="FC19" i="3"/>
  <c r="ES19" i="3"/>
  <c r="EI19" i="3"/>
  <c r="DY19" i="3"/>
  <c r="DO19" i="3"/>
  <c r="DE19" i="3"/>
  <c r="CU19" i="3"/>
  <c r="CA19" i="3"/>
  <c r="BQ19" i="3"/>
  <c r="BG19" i="3"/>
  <c r="AW19" i="3"/>
  <c r="AM19" i="3"/>
  <c r="AC19" i="3"/>
  <c r="S19" i="3"/>
  <c r="H19" i="3"/>
  <c r="G19" i="3"/>
  <c r="F19" i="3"/>
  <c r="E19" i="3"/>
  <c r="D19" i="3"/>
  <c r="C19" i="3"/>
  <c r="B19" i="3"/>
  <c r="HA18" i="3"/>
  <c r="GQ18" i="3"/>
  <c r="GG18" i="3"/>
  <c r="FW18" i="3"/>
  <c r="FM18" i="3"/>
  <c r="FC18" i="3"/>
  <c r="ES18" i="3"/>
  <c r="EI18" i="3"/>
  <c r="DY18" i="3"/>
  <c r="DO18" i="3"/>
  <c r="DE18" i="3"/>
  <c r="CU18" i="3"/>
  <c r="CA18" i="3"/>
  <c r="BQ18" i="3"/>
  <c r="BG18" i="3"/>
  <c r="AW18" i="3"/>
  <c r="AM18" i="3"/>
  <c r="AC18" i="3"/>
  <c r="S18" i="3"/>
  <c r="H18" i="3"/>
  <c r="G18" i="3"/>
  <c r="F18" i="3"/>
  <c r="E18" i="3"/>
  <c r="D18" i="3"/>
  <c r="C18" i="3"/>
  <c r="B18" i="3"/>
  <c r="HA17" i="3"/>
  <c r="GQ17" i="3"/>
  <c r="GG17" i="3"/>
  <c r="FW17" i="3"/>
  <c r="FM17" i="3"/>
  <c r="FC17" i="3"/>
  <c r="ES17" i="3"/>
  <c r="EI17" i="3"/>
  <c r="DY17" i="3"/>
  <c r="DO17" i="3"/>
  <c r="DE17" i="3"/>
  <c r="CU17" i="3"/>
  <c r="CA17" i="3"/>
  <c r="BQ17" i="3"/>
  <c r="BG17" i="3"/>
  <c r="AW17" i="3"/>
  <c r="AM17" i="3"/>
  <c r="AC17" i="3"/>
  <c r="S17" i="3"/>
  <c r="H17" i="3"/>
  <c r="G17" i="3"/>
  <c r="F17" i="3"/>
  <c r="E17" i="3"/>
  <c r="D17" i="3"/>
  <c r="C17" i="3"/>
  <c r="B17" i="3"/>
  <c r="HA16" i="3"/>
  <c r="GQ16" i="3"/>
  <c r="GG16" i="3"/>
  <c r="FW16" i="3"/>
  <c r="FM16" i="3"/>
  <c r="FC16" i="3"/>
  <c r="ES16" i="3"/>
  <c r="EI16" i="3"/>
  <c r="DY16" i="3"/>
  <c r="DO16" i="3"/>
  <c r="DE16" i="3"/>
  <c r="CU16" i="3"/>
  <c r="CA16" i="3"/>
  <c r="BQ16" i="3"/>
  <c r="BG16" i="3"/>
  <c r="AW16" i="3"/>
  <c r="AM16" i="3"/>
  <c r="AC16" i="3"/>
  <c r="S16" i="3"/>
  <c r="H16" i="3"/>
  <c r="G16" i="3"/>
  <c r="F16" i="3"/>
  <c r="E16" i="3"/>
  <c r="D16" i="3"/>
  <c r="C16" i="3"/>
  <c r="B16" i="3"/>
  <c r="HA15" i="3"/>
  <c r="GQ15" i="3"/>
  <c r="GG15" i="3"/>
  <c r="FW15" i="3"/>
  <c r="FM15" i="3"/>
  <c r="FC15" i="3"/>
  <c r="ES15" i="3"/>
  <c r="EI15" i="3"/>
  <c r="DY15" i="3"/>
  <c r="DO15" i="3"/>
  <c r="DE15" i="3"/>
  <c r="CU15" i="3"/>
  <c r="CA15" i="3"/>
  <c r="BQ15" i="3"/>
  <c r="BG15" i="3"/>
  <c r="AW15" i="3"/>
  <c r="AM15" i="3"/>
  <c r="AC15" i="3"/>
  <c r="S15" i="3"/>
  <c r="H15" i="3"/>
  <c r="G15" i="3"/>
  <c r="F15" i="3"/>
  <c r="E15" i="3"/>
  <c r="D15" i="3"/>
  <c r="C15" i="3"/>
  <c r="B15" i="3"/>
  <c r="HA14" i="3"/>
  <c r="GQ14" i="3"/>
  <c r="GG14" i="3"/>
  <c r="FW14" i="3"/>
  <c r="FM14" i="3"/>
  <c r="FC14" i="3"/>
  <c r="ES14" i="3"/>
  <c r="EI14" i="3"/>
  <c r="DY14" i="3"/>
  <c r="DO14" i="3"/>
  <c r="DE14" i="3"/>
  <c r="CU14" i="3"/>
  <c r="CA14" i="3"/>
  <c r="BQ14" i="3"/>
  <c r="BG14" i="3"/>
  <c r="AW14" i="3"/>
  <c r="AM14" i="3"/>
  <c r="AC14" i="3"/>
  <c r="S14" i="3"/>
  <c r="H14" i="3"/>
  <c r="G14" i="3"/>
  <c r="F14" i="3"/>
  <c r="E14" i="3"/>
  <c r="D14" i="3"/>
  <c r="C14" i="3"/>
  <c r="B14" i="3"/>
  <c r="HA13" i="3"/>
  <c r="GQ13" i="3"/>
  <c r="GG13" i="3"/>
  <c r="FW13" i="3"/>
  <c r="FM13" i="3"/>
  <c r="FC13" i="3"/>
  <c r="ES13" i="3"/>
  <c r="EI13" i="3"/>
  <c r="DY13" i="3"/>
  <c r="DO13" i="3"/>
  <c r="DE13" i="3"/>
  <c r="CU13" i="3"/>
  <c r="CA13" i="3"/>
  <c r="BQ13" i="3"/>
  <c r="BG13" i="3"/>
  <c r="AW13" i="3"/>
  <c r="AM13" i="3"/>
  <c r="AC13" i="3"/>
  <c r="S13" i="3"/>
  <c r="H13" i="3"/>
  <c r="G13" i="3"/>
  <c r="F13" i="3"/>
  <c r="E13" i="3"/>
  <c r="D13" i="3"/>
  <c r="C13" i="3"/>
  <c r="B13" i="3"/>
  <c r="HA12" i="3"/>
  <c r="GQ12" i="3"/>
  <c r="GG12" i="3"/>
  <c r="FW12" i="3"/>
  <c r="FM12" i="3"/>
  <c r="FC12" i="3"/>
  <c r="ES12" i="3"/>
  <c r="EI12" i="3"/>
  <c r="DY12" i="3"/>
  <c r="DO12" i="3"/>
  <c r="DE12" i="3"/>
  <c r="CU12" i="3"/>
  <c r="CA12" i="3"/>
  <c r="BQ12" i="3"/>
  <c r="BG12" i="3"/>
  <c r="AW12" i="3"/>
  <c r="AM12" i="3"/>
  <c r="AC12" i="3"/>
  <c r="S12" i="3"/>
  <c r="H12" i="3"/>
  <c r="G12" i="3"/>
  <c r="F12" i="3"/>
  <c r="E12" i="3"/>
  <c r="D12" i="3"/>
  <c r="C12" i="3"/>
  <c r="B12" i="3"/>
  <c r="HA11" i="3"/>
  <c r="GQ11" i="3"/>
  <c r="GG11" i="3"/>
  <c r="FW11" i="3"/>
  <c r="FM11" i="3"/>
  <c r="FC11" i="3"/>
  <c r="ES11" i="3"/>
  <c r="EI11" i="3"/>
  <c r="DY11" i="3"/>
  <c r="DO11" i="3"/>
  <c r="DE11" i="3"/>
  <c r="CU11" i="3"/>
  <c r="CA11" i="3"/>
  <c r="BQ11" i="3"/>
  <c r="BG11" i="3"/>
  <c r="AW11" i="3"/>
  <c r="AM11" i="3"/>
  <c r="AC11" i="3"/>
  <c r="S11" i="3"/>
  <c r="H11" i="3"/>
  <c r="G11" i="3"/>
  <c r="F11" i="3"/>
  <c r="E11" i="3"/>
  <c r="D11" i="3"/>
  <c r="C11" i="3"/>
  <c r="B11" i="3"/>
  <c r="HA10" i="3"/>
  <c r="GQ10" i="3"/>
  <c r="GG10" i="3"/>
  <c r="FW10" i="3"/>
  <c r="FM10" i="3"/>
  <c r="FC10" i="3"/>
  <c r="ES10" i="3"/>
  <c r="EI10" i="3"/>
  <c r="DY10" i="3"/>
  <c r="DO10" i="3"/>
  <c r="DE10" i="3"/>
  <c r="CU10" i="3"/>
  <c r="CA10" i="3"/>
  <c r="BQ10" i="3"/>
  <c r="BG10" i="3"/>
  <c r="AW10" i="3"/>
  <c r="AM10" i="3"/>
  <c r="AC10" i="3"/>
  <c r="S10" i="3"/>
  <c r="H10" i="3"/>
  <c r="G10" i="3"/>
  <c r="F10" i="3"/>
  <c r="E10" i="3"/>
  <c r="D10" i="3"/>
  <c r="C10" i="3"/>
  <c r="B10" i="3"/>
  <c r="HA9" i="3"/>
  <c r="GQ9" i="3"/>
  <c r="GG9" i="3"/>
  <c r="FW9" i="3"/>
  <c r="FM9" i="3"/>
  <c r="FC9" i="3"/>
  <c r="ES9" i="3"/>
  <c r="EI9" i="3"/>
  <c r="DY9" i="3"/>
  <c r="DO9" i="3"/>
  <c r="DE9" i="3"/>
  <c r="CU9" i="3"/>
  <c r="CA9" i="3"/>
  <c r="BQ9" i="3"/>
  <c r="BG9" i="3"/>
  <c r="AW9" i="3"/>
  <c r="AM9" i="3"/>
  <c r="AC9" i="3"/>
  <c r="S9" i="3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HA8" i="3"/>
  <c r="HA29" i="3" s="1"/>
  <c r="GQ8" i="3"/>
  <c r="GG8" i="3"/>
  <c r="FW8" i="3"/>
  <c r="FM8" i="3"/>
  <c r="FM30" i="3" s="1"/>
  <c r="FC8" i="3"/>
  <c r="ES8" i="3"/>
  <c r="EI8" i="3"/>
  <c r="EI29" i="3" s="1"/>
  <c r="DY8" i="3"/>
  <c r="DY30" i="3" s="1"/>
  <c r="DO8" i="3"/>
  <c r="DE8" i="3"/>
  <c r="CU8" i="3"/>
  <c r="CA8" i="3"/>
  <c r="CA30" i="3" s="1"/>
  <c r="BQ8" i="3"/>
  <c r="BG8" i="3"/>
  <c r="AW8" i="3"/>
  <c r="AW29" i="3" s="1"/>
  <c r="AM8" i="3"/>
  <c r="AC8" i="3"/>
  <c r="S8" i="3"/>
  <c r="S30" i="3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H6" i="3"/>
  <c r="H6" i="2" s="1"/>
  <c r="G6" i="3"/>
  <c r="G6" i="2" s="1"/>
  <c r="F6" i="3"/>
  <c r="F6" i="2" s="1"/>
  <c r="E6" i="3"/>
  <c r="E6" i="2" s="1"/>
  <c r="D6" i="3"/>
  <c r="D6" i="2" s="1"/>
  <c r="C6" i="3"/>
  <c r="C6" i="2" s="1"/>
  <c r="B6" i="3"/>
  <c r="B6" i="2" s="1"/>
  <c r="GZ5" i="3"/>
  <c r="GP5" i="3"/>
  <c r="I22" i="3" s="1"/>
  <c r="GF5" i="3"/>
  <c r="I21" i="3" s="1"/>
  <c r="FV5" i="3"/>
  <c r="I20" i="3" s="1"/>
  <c r="FL5" i="3"/>
  <c r="I19" i="3" s="1"/>
  <c r="FB5" i="3"/>
  <c r="I18" i="3" s="1"/>
  <c r="ER5" i="3"/>
  <c r="I17" i="3" s="1"/>
  <c r="EH5" i="3"/>
  <c r="I16" i="3" s="1"/>
  <c r="DX5" i="3"/>
  <c r="I15" i="3" s="1"/>
  <c r="DN5" i="3"/>
  <c r="I14" i="3" s="1"/>
  <c r="DD5" i="3"/>
  <c r="I13" i="3" s="1"/>
  <c r="CT5" i="3"/>
  <c r="I12" i="3" s="1"/>
  <c r="I11" i="3"/>
  <c r="BZ5" i="3"/>
  <c r="I10" i="3" s="1"/>
  <c r="BP5" i="3"/>
  <c r="BF5" i="3"/>
  <c r="I8" i="3" s="1"/>
  <c r="I8" i="2" s="1"/>
  <c r="AV5" i="3"/>
  <c r="I7" i="3" s="1"/>
  <c r="I7" i="2" s="1"/>
  <c r="AL5" i="3"/>
  <c r="I6" i="3" s="1"/>
  <c r="I6" i="2" s="1"/>
  <c r="AB5" i="3"/>
  <c r="I5" i="3" s="1"/>
  <c r="I5" i="2" s="1"/>
  <c r="R5" i="3"/>
  <c r="I4" i="3" s="1"/>
  <c r="I4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U1" i="3"/>
  <c r="AE1" i="3" s="1"/>
  <c r="AO1" i="3" s="1"/>
  <c r="AY1" i="3" s="1"/>
  <c r="BI1" i="3" s="1"/>
  <c r="BS1" i="3" s="1"/>
  <c r="CC1" i="3" s="1"/>
  <c r="CM1" i="3" s="1"/>
  <c r="CW1" i="3" s="1"/>
  <c r="DG1" i="3" s="1"/>
  <c r="DQ1" i="3" s="1"/>
  <c r="EA1" i="3" s="1"/>
  <c r="EK1" i="3" s="1"/>
  <c r="EU1" i="3" s="1"/>
  <c r="FE1" i="3" s="1"/>
  <c r="FO1" i="3" s="1"/>
  <c r="FY1" i="3" s="1"/>
  <c r="GI1" i="3" s="1"/>
  <c r="GS1" i="3" s="1"/>
  <c r="R1" i="3"/>
  <c r="AB1" i="3" s="1"/>
  <c r="AL1" i="3" s="1"/>
  <c r="AV1" i="3" s="1"/>
  <c r="BF1" i="3" s="1"/>
  <c r="BP1" i="3" s="1"/>
  <c r="BZ1" i="3" s="1"/>
  <c r="CJ1" i="3" s="1"/>
  <c r="CT1" i="3" s="1"/>
  <c r="DD1" i="3" s="1"/>
  <c r="DN1" i="3" s="1"/>
  <c r="DX1" i="3" s="1"/>
  <c r="EH1" i="3" s="1"/>
  <c r="ER1" i="3" s="1"/>
  <c r="FB1" i="3" s="1"/>
  <c r="FL1" i="3" s="1"/>
  <c r="FV1" i="3" s="1"/>
  <c r="GF1" i="3" s="1"/>
  <c r="GP1" i="3" s="1"/>
  <c r="GZ1" i="3" s="1"/>
  <c r="M51" i="2"/>
  <c r="K51" i="2"/>
  <c r="I51" i="2"/>
  <c r="T50" i="2"/>
  <c r="S50" i="2"/>
  <c r="I50" i="2"/>
  <c r="S49" i="2"/>
  <c r="T49" i="2" s="1"/>
  <c r="I49" i="2"/>
  <c r="S48" i="2"/>
  <c r="T48" i="2" s="1"/>
  <c r="I48" i="2"/>
  <c r="T47" i="2"/>
  <c r="S47" i="2"/>
  <c r="I47" i="2"/>
  <c r="T46" i="2"/>
  <c r="S46" i="2"/>
  <c r="I46" i="2"/>
  <c r="S45" i="2"/>
  <c r="T45" i="2" s="1"/>
  <c r="I45" i="2"/>
  <c r="S44" i="2"/>
  <c r="T44" i="2" s="1"/>
  <c r="I44" i="2"/>
  <c r="T43" i="2"/>
  <c r="S43" i="2"/>
  <c r="I43" i="2"/>
  <c r="T42" i="2"/>
  <c r="S42" i="2"/>
  <c r="I42" i="2"/>
  <c r="S41" i="2"/>
  <c r="T41" i="2" s="1"/>
  <c r="I41" i="2"/>
  <c r="S40" i="2"/>
  <c r="T40" i="2" s="1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C27" i="2" s="1"/>
  <c r="AA27" i="2"/>
  <c r="S27" i="2"/>
  <c r="T27" i="2" s="1"/>
  <c r="AC26" i="2"/>
  <c r="AB26" i="2"/>
  <c r="AA26" i="2"/>
  <c r="S26" i="2"/>
  <c r="T26" i="2" s="1"/>
  <c r="AA25" i="2"/>
  <c r="T25" i="2"/>
  <c r="S25" i="2"/>
  <c r="AA24" i="2"/>
  <c r="T24" i="2"/>
  <c r="S24" i="2"/>
  <c r="AB23" i="2"/>
  <c r="AC23" i="2" s="1"/>
  <c r="AA23" i="2"/>
  <c r="S23" i="2"/>
  <c r="T23" i="2" s="1"/>
  <c r="AC22" i="2"/>
  <c r="AB22" i="2"/>
  <c r="AA22" i="2"/>
  <c r="S22" i="2"/>
  <c r="T22" i="2" s="1"/>
  <c r="AA21" i="2"/>
  <c r="T21" i="2"/>
  <c r="S21" i="2"/>
  <c r="AA20" i="2"/>
  <c r="T20" i="2"/>
  <c r="S20" i="2"/>
  <c r="AB19" i="2"/>
  <c r="AC19" i="2" s="1"/>
  <c r="AA19" i="2"/>
  <c r="S19" i="2"/>
  <c r="T19" i="2" s="1"/>
  <c r="AC18" i="2"/>
  <c r="AB18" i="2"/>
  <c r="AA18" i="2"/>
  <c r="S18" i="2"/>
  <c r="T18" i="2" s="1"/>
  <c r="AA17" i="2"/>
  <c r="T17" i="2"/>
  <c r="S17" i="2"/>
  <c r="AA16" i="2"/>
  <c r="T16" i="2"/>
  <c r="S16" i="2"/>
  <c r="AB15" i="2"/>
  <c r="AC15" i="2" s="1"/>
  <c r="AA15" i="2"/>
  <c r="S15" i="2"/>
  <c r="T15" i="2" s="1"/>
  <c r="AC14" i="2"/>
  <c r="AB14" i="2"/>
  <c r="AA14" i="2"/>
  <c r="S14" i="2"/>
  <c r="T14" i="2" s="1"/>
  <c r="AA13" i="2"/>
  <c r="T13" i="2"/>
  <c r="S13" i="2"/>
  <c r="AB12" i="2"/>
  <c r="AC12" i="2" s="1"/>
  <c r="AA12" i="2"/>
  <c r="S12" i="2"/>
  <c r="T12" i="2" s="1"/>
  <c r="AA11" i="2"/>
  <c r="S11" i="2"/>
  <c r="T11" i="2" s="1"/>
  <c r="AB10" i="2"/>
  <c r="AC10" i="2" s="1"/>
  <c r="AA10" i="2"/>
  <c r="S10" i="2"/>
  <c r="T10" i="2" s="1"/>
  <c r="AA9" i="2"/>
  <c r="S9" i="2"/>
  <c r="T9" i="2" s="1"/>
  <c r="AC8" i="2"/>
  <c r="AB8" i="2"/>
  <c r="AA8" i="2"/>
  <c r="S8" i="2"/>
  <c r="AB7" i="2"/>
  <c r="AC7" i="2" s="1"/>
  <c r="AA7" i="2"/>
  <c r="S7" i="2"/>
  <c r="S6" i="2"/>
  <c r="Q51" i="2"/>
  <c r="S4" i="2"/>
  <c r="S3" i="2"/>
  <c r="T3" i="2" s="1"/>
  <c r="X117" i="1"/>
  <c r="U117" i="1"/>
  <c r="S117" i="1"/>
  <c r="N117" i="1"/>
  <c r="P116" i="1"/>
  <c r="F116" i="1"/>
  <c r="P115" i="1"/>
  <c r="F115" i="1"/>
  <c r="P114" i="1"/>
  <c r="F114" i="1"/>
  <c r="F113" i="1"/>
  <c r="P112" i="1"/>
  <c r="L112" i="1"/>
  <c r="F112" i="1"/>
  <c r="P111" i="1"/>
  <c r="L111" i="1"/>
  <c r="F111" i="1"/>
  <c r="P110" i="1"/>
  <c r="L110" i="1"/>
  <c r="F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K113" i="1"/>
  <c r="P113" i="1" s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P67" i="1"/>
  <c r="L67" i="1"/>
  <c r="P66" i="1"/>
  <c r="L66" i="1"/>
  <c r="F66" i="1"/>
  <c r="P65" i="1"/>
  <c r="L65" i="1"/>
  <c r="F65" i="1"/>
  <c r="P64" i="1"/>
  <c r="L64" i="1"/>
  <c r="F64" i="1"/>
  <c r="P63" i="1"/>
  <c r="L63" i="1"/>
  <c r="F63" i="1"/>
  <c r="P62" i="1"/>
  <c r="L62" i="1"/>
  <c r="F62" i="1"/>
  <c r="P61" i="1"/>
  <c r="L61" i="1"/>
  <c r="F61" i="1"/>
  <c r="P60" i="1"/>
  <c r="L60" i="1"/>
  <c r="F60" i="1"/>
  <c r="P59" i="1"/>
  <c r="L59" i="1"/>
  <c r="F59" i="1"/>
  <c r="P58" i="1"/>
  <c r="L58" i="1"/>
  <c r="F58" i="1"/>
  <c r="P57" i="1"/>
  <c r="L57" i="1"/>
  <c r="F57" i="1"/>
  <c r="P56" i="1"/>
  <c r="L56" i="1"/>
  <c r="F56" i="1"/>
  <c r="P55" i="1"/>
  <c r="L55" i="1"/>
  <c r="F55" i="1"/>
  <c r="P54" i="1"/>
  <c r="L54" i="1"/>
  <c r="F54" i="1"/>
  <c r="P53" i="1"/>
  <c r="L53" i="1"/>
  <c r="F53" i="1"/>
  <c r="P52" i="1"/>
  <c r="L52" i="1"/>
  <c r="F52" i="1"/>
  <c r="P51" i="1"/>
  <c r="L51" i="1"/>
  <c r="F51" i="1"/>
  <c r="P50" i="1"/>
  <c r="L50" i="1"/>
  <c r="F50" i="1"/>
  <c r="P49" i="1"/>
  <c r="L49" i="1"/>
  <c r="F49" i="1"/>
  <c r="P48" i="1"/>
  <c r="L48" i="1"/>
  <c r="F48" i="1"/>
  <c r="P47" i="1"/>
  <c r="L47" i="1"/>
  <c r="F47" i="1"/>
  <c r="P46" i="1"/>
  <c r="L46" i="1"/>
  <c r="F46" i="1"/>
  <c r="P45" i="1"/>
  <c r="L45" i="1"/>
  <c r="F45" i="1"/>
  <c r="P44" i="1"/>
  <c r="L44" i="1"/>
  <c r="F44" i="1"/>
  <c r="P43" i="1"/>
  <c r="L43" i="1"/>
  <c r="F43" i="1"/>
  <c r="P42" i="1"/>
  <c r="L42" i="1"/>
  <c r="F42" i="1"/>
  <c r="P41" i="1"/>
  <c r="L41" i="1"/>
  <c r="F41" i="1"/>
  <c r="P40" i="1"/>
  <c r="L40" i="1"/>
  <c r="F40" i="1"/>
  <c r="P39" i="1"/>
  <c r="L39" i="1"/>
  <c r="F39" i="1"/>
  <c r="P38" i="1"/>
  <c r="L38" i="1"/>
  <c r="F38" i="1"/>
  <c r="P37" i="1"/>
  <c r="L37" i="1"/>
  <c r="F37" i="1"/>
  <c r="P36" i="1"/>
  <c r="L36" i="1"/>
  <c r="F36" i="1"/>
  <c r="P35" i="1"/>
  <c r="L35" i="1"/>
  <c r="F35" i="1"/>
  <c r="P34" i="1"/>
  <c r="L34" i="1"/>
  <c r="F34" i="1"/>
  <c r="P33" i="1"/>
  <c r="L33" i="1"/>
  <c r="F33" i="1"/>
  <c r="P32" i="1"/>
  <c r="L32" i="1"/>
  <c r="F32" i="1"/>
  <c r="P31" i="1"/>
  <c r="L31" i="1"/>
  <c r="F31" i="1"/>
  <c r="P30" i="1"/>
  <c r="L30" i="1"/>
  <c r="P29" i="1"/>
  <c r="L29" i="1"/>
  <c r="P28" i="1"/>
  <c r="L28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4" i="1"/>
  <c r="L4" i="1"/>
  <c r="G51" i="2" l="1"/>
  <c r="S51" i="2"/>
  <c r="BG30" i="3"/>
  <c r="CU31" i="3"/>
  <c r="AC30" i="3"/>
  <c r="BQ30" i="3"/>
  <c r="DE32" i="3"/>
  <c r="ES29" i="3"/>
  <c r="GG30" i="3"/>
  <c r="FW30" i="3"/>
  <c r="DB33" i="3"/>
  <c r="EP33" i="3"/>
  <c r="GD33" i="3"/>
  <c r="AM29" i="3"/>
  <c r="DO32" i="3"/>
  <c r="FC30" i="3"/>
  <c r="GQ30" i="3"/>
  <c r="P117" i="1"/>
  <c r="P120" i="1" s="1"/>
  <c r="T7" i="2"/>
  <c r="T8" i="2"/>
  <c r="H51" i="2"/>
  <c r="T4" i="2"/>
  <c r="T6" i="2"/>
  <c r="AC13" i="2"/>
  <c r="AC28" i="2"/>
  <c r="AB16" i="2"/>
  <c r="AC16" i="2" s="1"/>
  <c r="AB20" i="2"/>
  <c r="AC20" i="2" s="1"/>
  <c r="AB24" i="2"/>
  <c r="AC24" i="2" s="1"/>
  <c r="AB28" i="2"/>
  <c r="S5" i="2"/>
  <c r="T5" i="2" s="1"/>
  <c r="AB9" i="2"/>
  <c r="AC9" i="2" s="1"/>
  <c r="AB11" i="2"/>
  <c r="AC11" i="2" s="1"/>
  <c r="AB13" i="2"/>
  <c r="AB17" i="2"/>
  <c r="AC17" i="2" s="1"/>
  <c r="AB21" i="2"/>
  <c r="AC21" i="2" s="1"/>
  <c r="AB25" i="2"/>
  <c r="AC25" i="2" s="1"/>
  <c r="L80" i="1"/>
  <c r="AC29" i="2" l="1"/>
</calcChain>
</file>

<file path=xl/comments1.xml><?xml version="1.0" encoding="utf-8"?>
<comments xmlns="http://schemas.openxmlformats.org/spreadsheetml/2006/main">
  <authors>
    <author>ROUSS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<sst xmlns="http://schemas.openxmlformats.org/spreadsheetml/2006/main" count="1120" uniqueCount="245">
  <si>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</si>
  <si>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</si>
  <si>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</si>
  <si>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</si>
  <si>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</si>
  <si>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</si>
  <si>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</si>
  <si>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</si>
  <si>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</si>
  <si>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</si>
  <si>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</si>
  <si>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</si>
  <si>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</si>
  <si>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</si>
  <si>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</si>
  <si>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</si>
  <si>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</si>
  <si>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</si>
  <si>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</si>
  <si>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</si>
  <si>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</si>
  <si>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</si>
  <si>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</si>
  <si>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</si>
  <si>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</si>
  <si>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</si>
  <si>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</si>
  <si>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</si>
  <si>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</si>
  <si>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</si>
  <si>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</si>
  <si>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</si>
  <si>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</si>
  <si>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</si>
  <si>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</si>
  <si>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</si>
  <si>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</si>
  <si>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</si>
  <si>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 xml:space="preserve">TOTALES </t>
  </si>
  <si>
    <t>D</t>
  </si>
  <si>
    <t xml:space="preserve">TOTAL DE ENTRADAS DEL MES 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</si>
  <si>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</si>
  <si>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</si>
  <si>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</si>
  <si>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</si>
  <si>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</si>
  <si>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</si>
  <si>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</si>
  <si>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      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</si>
  <si>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</si>
  <si>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</si>
  <si>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</si>
  <si>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</si>
  <si>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</si>
  <si>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</si>
  <si>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</si>
  <si>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ENERO  2024</t>
  </si>
  <si>
    <t>TOTAL DE ENTRADAS   Obrador    DEL MES       ENERO 2024</t>
  </si>
  <si>
    <t>ENTRADAS DEL MES DE        E N E R O               2 0 2 4</t>
  </si>
  <si>
    <t>BAR HERCAS   (   CENTRO CARNICO  )</t>
  </si>
  <si>
    <t>MENUDO EXCEL</t>
  </si>
  <si>
    <t>FOLIO 11601</t>
  </si>
  <si>
    <t xml:space="preserve">SAM FARMS </t>
  </si>
  <si>
    <t xml:space="preserve">I B P </t>
  </si>
  <si>
    <t>PED. 108079099</t>
  </si>
  <si>
    <t>ALIMENTOS CERTIFICADOS     INNOVA</t>
  </si>
  <si>
    <t>PECHO</t>
  </si>
  <si>
    <t xml:space="preserve">DISTRIBUIDORA PEPE FILETE  </t>
  </si>
  <si>
    <t>CANALES  250</t>
  </si>
  <si>
    <t>SEABOARD FOODS</t>
  </si>
  <si>
    <t>Seaboard</t>
  </si>
  <si>
    <t>PED. 108139656</t>
  </si>
  <si>
    <t xml:space="preserve">CARNES SELECTAS EL CIEN </t>
  </si>
  <si>
    <t>PEINECILLO C/H</t>
  </si>
  <si>
    <t>HUESO PERICO</t>
  </si>
  <si>
    <t>AGROPECUARIA LA CHEMITA     250</t>
  </si>
  <si>
    <t>CANALES  200</t>
  </si>
  <si>
    <t xml:space="preserve">PORCICOLA SAN BERNARDO </t>
  </si>
  <si>
    <t>CANALES 50</t>
  </si>
  <si>
    <t>PED. 108305693</t>
  </si>
  <si>
    <t>CANALES 250</t>
  </si>
  <si>
    <t>Transferencia S</t>
  </si>
  <si>
    <t>AGROPECUARIA LA CHEMITA     248</t>
  </si>
  <si>
    <t>CANALES   200</t>
  </si>
  <si>
    <t>CANALES 48</t>
  </si>
  <si>
    <t>T-204</t>
  </si>
  <si>
    <t>Transfer S 5-Ene--24</t>
  </si>
  <si>
    <t>Transfer S 5-Ene-24</t>
  </si>
  <si>
    <t>Transfer S 11-Ene-24</t>
  </si>
  <si>
    <t>Transfer B 5-Ene-24</t>
  </si>
  <si>
    <t>Transfer B 8-Ene--24</t>
  </si>
  <si>
    <t>Transferencia S---Transferencia B</t>
  </si>
  <si>
    <t>5-Ene-,24-------9-Ene-24</t>
  </si>
  <si>
    <t>Transfer B 9-Ene-24</t>
  </si>
  <si>
    <t>Transfer b 11-Ene-24</t>
  </si>
  <si>
    <t>Transfer B 12-Ene-24</t>
  </si>
  <si>
    <t>FAV-90</t>
  </si>
  <si>
    <t>Transferencia B</t>
  </si>
  <si>
    <t>PED. 108436344</t>
  </si>
  <si>
    <t>CICSE24-02</t>
  </si>
  <si>
    <t>CICSE24-01</t>
  </si>
  <si>
    <t xml:space="preserve">ADAMS INT MORELIA </t>
  </si>
  <si>
    <t>CUERO COMBO</t>
  </si>
  <si>
    <t>PU-125034</t>
  </si>
  <si>
    <t xml:space="preserve">Transferencia B </t>
  </si>
  <si>
    <t>Transfer S 8-Ene-24</t>
  </si>
  <si>
    <t>Transfer B 28-Dic-23</t>
  </si>
  <si>
    <t>AGROPECUARIA EL TOPETE     250</t>
  </si>
  <si>
    <t>PED. 108662369</t>
  </si>
  <si>
    <t>PED. 108735871</t>
  </si>
  <si>
    <t>CICSE24-03</t>
  </si>
  <si>
    <t>MANTECA DE CERDO</t>
  </si>
  <si>
    <t>MEDIA RES</t>
  </si>
  <si>
    <t>B-79936-----A-84345</t>
  </si>
  <si>
    <t>PERICO</t>
  </si>
  <si>
    <t>PED. -108929373</t>
  </si>
  <si>
    <t>Transfer S 15-Ene-24</t>
  </si>
  <si>
    <t>Transfer S 22-Ene-24</t>
  </si>
  <si>
    <t>T-207</t>
  </si>
  <si>
    <t>24892--7887</t>
  </si>
  <si>
    <t>24892--5700</t>
  </si>
  <si>
    <t>Transfer B 22-Ene-24</t>
  </si>
  <si>
    <t>19-Ene-24----23-Ene-247</t>
  </si>
  <si>
    <t>T-206</t>
  </si>
  <si>
    <t>Transfer B 15-Ene-24</t>
  </si>
  <si>
    <t>Transfer B 19-Ene-24</t>
  </si>
  <si>
    <t>24931--7891</t>
  </si>
  <si>
    <t>ANTICIPO</t>
  </si>
  <si>
    <t>24931--5705</t>
  </si>
  <si>
    <t>Transfer S 16-Ene-24</t>
  </si>
  <si>
    <t>12361---1740</t>
  </si>
  <si>
    <t>2261502--1743--C-358</t>
  </si>
  <si>
    <t>12379--1776------CP-39</t>
  </si>
  <si>
    <t>2264391--1804</t>
  </si>
  <si>
    <t>CP-49---1832--</t>
  </si>
  <si>
    <t>2266027--1843--</t>
  </si>
  <si>
    <t>CANALES 200</t>
  </si>
  <si>
    <t>CANALES  50</t>
  </si>
  <si>
    <t>CANALES 215</t>
  </si>
  <si>
    <t>PED. 109071283</t>
  </si>
  <si>
    <t>CICSE24-04</t>
  </si>
  <si>
    <t>SALIDAS KG</t>
  </si>
  <si>
    <t>A-84585---B-80554</t>
  </si>
  <si>
    <t>Transferencia B----Transferencia S</t>
  </si>
  <si>
    <t>26-Ene-24---30-Ene-24</t>
  </si>
  <si>
    <t>Transfer B 31-Ene-24</t>
  </si>
  <si>
    <t>Transfer B 23-Ene-24</t>
  </si>
  <si>
    <t>Transfer B 25-Ene-24</t>
  </si>
  <si>
    <t>Transfer B 26-Ene-24</t>
  </si>
  <si>
    <t>Transfer B 29-Ene-24</t>
  </si>
  <si>
    <t>Rafael Zambrano Sandoval                        ( FRITURAS SAN PEDRO   )</t>
  </si>
  <si>
    <t>A-83600-----B-79476</t>
  </si>
  <si>
    <t>Transfer S 19-Ene-24</t>
  </si>
  <si>
    <t>ENTRADAS DEL MES DE        F E B R E R O               2 0 2 4</t>
  </si>
  <si>
    <t>ENTRADAS DEL MES DE    FEBRERO     2024</t>
  </si>
  <si>
    <t xml:space="preserve">DISTRIBUIDORA PEPE FILETE </t>
  </si>
  <si>
    <t>PULPA</t>
  </si>
  <si>
    <t>AGROPECUARIA LA GABY</t>
  </si>
  <si>
    <t>AGROPECUARIA TOPETE     250</t>
  </si>
  <si>
    <t>SAM FARMS</t>
  </si>
  <si>
    <t>PED. 109299650</t>
  </si>
  <si>
    <t>XXXXX</t>
  </si>
  <si>
    <t>CANALES   247</t>
  </si>
  <si>
    <t>PED. 109423239</t>
  </si>
  <si>
    <t>CICSE24-05</t>
  </si>
  <si>
    <t>A--85118---A-85241</t>
  </si>
  <si>
    <t>PEINECILLO</t>
  </si>
  <si>
    <t>CHALECO DE RES</t>
  </si>
  <si>
    <t>ESPALDILLA S/H</t>
  </si>
  <si>
    <t>PALETA  C/H</t>
  </si>
  <si>
    <t xml:space="preserve">PULPA </t>
  </si>
  <si>
    <t>AGROPECUARIA LA CHEMITA    250</t>
  </si>
  <si>
    <t xml:space="preserve">PED. </t>
  </si>
  <si>
    <t>CANALES  215</t>
  </si>
  <si>
    <t>A-85495-----A-85359</t>
  </si>
  <si>
    <t>PULPA RES</t>
  </si>
  <si>
    <t>CANALES 214</t>
  </si>
  <si>
    <t>Transfer S 29-Ene-24</t>
  </si>
  <si>
    <t>Transfer S 2-Feb-24</t>
  </si>
  <si>
    <t>T-210</t>
  </si>
  <si>
    <t>PED. 109642961</t>
  </si>
  <si>
    <t>CICSE24-06</t>
  </si>
  <si>
    <t>Transfer S 6-Feb-24</t>
  </si>
  <si>
    <t>25003--5730</t>
  </si>
  <si>
    <t>T-206--5714</t>
  </si>
  <si>
    <t>24963--T-206--13649</t>
  </si>
  <si>
    <t>Tramsferemcoa B</t>
  </si>
  <si>
    <t>2-Feb-2024---6-Feb-24-----</t>
  </si>
  <si>
    <t>Transfer B 2-Feb-24</t>
  </si>
  <si>
    <t>Transfer B 6-Feb-24</t>
  </si>
  <si>
    <t>Tramsfer B 8-Feb-24</t>
  </si>
  <si>
    <t>Transfer B 8-Feb-24</t>
  </si>
  <si>
    <t>Transfer B 12-Feb-24</t>
  </si>
  <si>
    <t>Transfer B 13-Feb-24</t>
  </si>
  <si>
    <t>X</t>
  </si>
  <si>
    <t>D-7108</t>
  </si>
  <si>
    <t>AGROPECUARIA EL TOPETE    250</t>
  </si>
  <si>
    <t>P-302</t>
  </si>
  <si>
    <t>Transfer S 8-Feb-24</t>
  </si>
  <si>
    <t>P-303</t>
  </si>
  <si>
    <t>PED. 109976095</t>
  </si>
  <si>
    <t>ALIMENTOS CERTIFICADOS PUEBLA  INNOVA</t>
  </si>
  <si>
    <t>FILETE CERDO</t>
  </si>
  <si>
    <t>CICSE24-07</t>
  </si>
  <si>
    <t>Transfer S 12-Feb-24</t>
  </si>
  <si>
    <t>T-214</t>
  </si>
  <si>
    <t>Transfer S 20-Feb-24</t>
  </si>
  <si>
    <t>T-215</t>
  </si>
  <si>
    <t xml:space="preserve">PULPA RES </t>
  </si>
  <si>
    <t>B-81383----B-81595</t>
  </si>
  <si>
    <t>Transfer B 9-Feb-24-----12-Feb-24</t>
  </si>
  <si>
    <t>Transfer B 15-Feb-24</t>
  </si>
  <si>
    <t>Transfer B 16-Feb-24</t>
  </si>
  <si>
    <t>Transfer B 19-Feb-24</t>
  </si>
  <si>
    <t>Tramsferencia B</t>
  </si>
  <si>
    <t>Transfer B 16-FEB-24----Transfer B 20-Feb-24</t>
  </si>
  <si>
    <t>45478--</t>
  </si>
  <si>
    <t>13718--25047</t>
  </si>
  <si>
    <t>9770--25047</t>
  </si>
  <si>
    <t>22-Feb-24--23-Feb-24</t>
  </si>
  <si>
    <t>CANALES  360</t>
  </si>
  <si>
    <t>AGROPECUARIA EL TOPETE    247</t>
  </si>
  <si>
    <t>CANALES 198</t>
  </si>
  <si>
    <t>25075--7925</t>
  </si>
  <si>
    <t>TRANSFERENCIA B</t>
  </si>
  <si>
    <t>D-7181</t>
  </si>
  <si>
    <t>Transfer S 22-Feb-24</t>
  </si>
  <si>
    <t>Transfer B 22-Feb-24</t>
  </si>
  <si>
    <t>Transfer B 23-Feb-24</t>
  </si>
  <si>
    <t>25151--5791</t>
  </si>
  <si>
    <t>25114--13779-----13832</t>
  </si>
  <si>
    <t>9785-----9808</t>
  </si>
  <si>
    <t>45589-----45780</t>
  </si>
  <si>
    <t>45664-----45781</t>
  </si>
  <si>
    <t>45696----45782</t>
  </si>
  <si>
    <t>SE PAGO POR NORMA LEDO  Verduras</t>
  </si>
  <si>
    <t>25151--13813----13831</t>
  </si>
  <si>
    <t>45567-----45779</t>
  </si>
  <si>
    <t>Transferencia  B</t>
  </si>
  <si>
    <t>PED. 110306192</t>
  </si>
  <si>
    <t>CICSE24-08</t>
  </si>
  <si>
    <t>CABEZA</t>
  </si>
  <si>
    <t>Transfer B 26-Feb-24</t>
  </si>
  <si>
    <t>Transfer B 27-Feb-24</t>
  </si>
  <si>
    <t>Transfer S 19-Feb-24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</si>
</sst>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  <numFmt numFmtId="168" formatCode="#,##0.000"/>
  </numFmts>
  <fonts count="10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14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6"/>
      <color rgb="FF990000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6" tint="-0.249977111117893"/>
      <name val="Calibri"/>
      <family val="1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rgb="FF990033"/>
      <name val="Calibri"/>
      <family val="1"/>
      <scheme val="minor"/>
    </font>
    <font>
      <b/>
      <i/>
      <sz val="14"/>
      <color theme="5" tint="-0.249977111117893"/>
      <name val="Calibri"/>
      <family val="1"/>
      <scheme val="minor"/>
    </font>
    <font>
      <b/>
      <sz val="10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9900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ed">
        <color auto="1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auto="1"/>
      </right>
      <top/>
      <bottom/>
      <diagonal/>
    </border>
    <border>
      <left style="thick">
        <color indexed="64"/>
      </left>
      <right style="mediumDashed">
        <color auto="1"/>
      </right>
      <top/>
      <bottom style="mediumDashed">
        <color auto="1"/>
      </bottom>
      <diagonal/>
    </border>
    <border>
      <left style="thick">
        <color indexed="64"/>
      </left>
      <right/>
      <top style="mediumDashDot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4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44" fontId="21" fillId="0" borderId="12" xfId="1" applyFont="1" applyFill="1" applyBorder="1" applyAlignment="1">
      <alignment horizontal="center" vertical="center" wrapText="1"/>
    </xf>
    <xf numFmtId="1" fontId="21" fillId="0" borderId="12" xfId="1" applyNumberFormat="1" applyFont="1" applyFill="1" applyBorder="1" applyAlignment="1">
      <alignment horizontal="center" vertical="center" wrapText="1"/>
    </xf>
    <xf numFmtId="4" fontId="8" fillId="7" borderId="13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2" fillId="0" borderId="14" xfId="0" applyNumberFormat="1" applyFont="1" applyBorder="1"/>
    <xf numFmtId="164" fontId="7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/>
    </xf>
    <xf numFmtId="44" fontId="21" fillId="0" borderId="15" xfId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 wrapText="1"/>
    </xf>
    <xf numFmtId="165" fontId="8" fillId="0" borderId="16" xfId="0" applyNumberFormat="1" applyFont="1" applyBorder="1" applyAlignment="1">
      <alignment horizontal="center" wrapText="1"/>
    </xf>
    <xf numFmtId="44" fontId="2" fillId="0" borderId="15" xfId="1" applyFont="1" applyFill="1" applyBorder="1"/>
    <xf numFmtId="164" fontId="7" fillId="0" borderId="15" xfId="0" applyNumberFormat="1" applyFont="1" applyBorder="1" applyAlignment="1">
      <alignment horizontal="center"/>
    </xf>
    <xf numFmtId="44" fontId="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165" fontId="11" fillId="0" borderId="15" xfId="0" applyNumberFormat="1" applyFont="1" applyBorder="1"/>
    <xf numFmtId="0" fontId="23" fillId="0" borderId="15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5" fillId="0" borderId="0" xfId="1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 wrapText="1"/>
    </xf>
    <xf numFmtId="166" fontId="12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7" fillId="0" borderId="15" xfId="0" applyFont="1" applyBorder="1" applyAlignment="1">
      <alignment horizontal="center"/>
    </xf>
    <xf numFmtId="44" fontId="28" fillId="0" borderId="0" xfId="1" applyFont="1" applyFill="1" applyBorder="1" applyAlignment="1">
      <alignment horizontal="center"/>
    </xf>
    <xf numFmtId="0" fontId="20" fillId="0" borderId="21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center" wrapText="1"/>
    </xf>
    <xf numFmtId="164" fontId="12" fillId="0" borderId="15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23" fillId="0" borderId="15" xfId="0" applyFont="1" applyFill="1" applyBorder="1" applyAlignment="1">
      <alignment horizontal="center" vertical="center"/>
    </xf>
    <xf numFmtId="44" fontId="21" fillId="0" borderId="19" xfId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165" fontId="8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44" fontId="30" fillId="0" borderId="15" xfId="1" applyFont="1" applyFill="1" applyBorder="1" applyAlignment="1">
      <alignment horizontal="center" vertical="center" wrapText="1"/>
    </xf>
    <xf numFmtId="44" fontId="12" fillId="0" borderId="15" xfId="1" applyFont="1" applyFill="1" applyBorder="1"/>
    <xf numFmtId="0" fontId="20" fillId="0" borderId="15" xfId="0" applyFont="1" applyFill="1" applyBorder="1" applyAlignment="1">
      <alignment vertical="center"/>
    </xf>
    <xf numFmtId="166" fontId="12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>
      <alignment wrapText="1"/>
    </xf>
    <xf numFmtId="0" fontId="20" fillId="0" borderId="15" xfId="0" applyFont="1" applyFill="1" applyBorder="1"/>
    <xf numFmtId="0" fontId="20" fillId="0" borderId="21" xfId="0" applyFont="1" applyFill="1" applyBorder="1" applyAlignment="1">
      <alignment horizontal="left" wrapText="1"/>
    </xf>
    <xf numFmtId="44" fontId="7" fillId="0" borderId="15" xfId="1" applyFont="1" applyFill="1" applyBorder="1"/>
    <xf numFmtId="0" fontId="9" fillId="0" borderId="0" xfId="0" applyFont="1" applyAlignment="1">
      <alignment horizontal="left" wrapText="1"/>
    </xf>
    <xf numFmtId="0" fontId="20" fillId="0" borderId="21" xfId="0" applyFont="1" applyBorder="1" applyAlignment="1">
      <alignment horizontal="left" wrapText="1"/>
    </xf>
    <xf numFmtId="0" fontId="26" fillId="0" borderId="15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4" fontId="8" fillId="0" borderId="15" xfId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left"/>
    </xf>
    <xf numFmtId="44" fontId="25" fillId="0" borderId="15" xfId="1" applyFont="1" applyBorder="1"/>
    <xf numFmtId="0" fontId="20" fillId="0" borderId="15" xfId="0" applyFont="1" applyBorder="1"/>
    <xf numFmtId="0" fontId="20" fillId="0" borderId="15" xfId="0" applyFont="1" applyBorder="1" applyAlignment="1">
      <alignment horizontal="left" wrapText="1"/>
    </xf>
    <xf numFmtId="44" fontId="25" fillId="0" borderId="15" xfId="1" applyFont="1" applyFill="1" applyBorder="1"/>
    <xf numFmtId="0" fontId="31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44" fontId="12" fillId="0" borderId="15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5" fillId="0" borderId="16" xfId="1" applyFont="1" applyFill="1" applyBorder="1"/>
    <xf numFmtId="44" fontId="7" fillId="0" borderId="0" xfId="1" applyFont="1"/>
    <xf numFmtId="0" fontId="20" fillId="12" borderId="18" xfId="0" applyFont="1" applyFill="1" applyBorder="1"/>
    <xf numFmtId="0" fontId="20" fillId="12" borderId="18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vertical="center" wrapText="1"/>
    </xf>
    <xf numFmtId="1" fontId="21" fillId="13" borderId="18" xfId="1" applyNumberFormat="1" applyFont="1" applyFill="1" applyBorder="1" applyAlignment="1">
      <alignment horizontal="center" vertical="center" wrapText="1"/>
    </xf>
    <xf numFmtId="166" fontId="12" fillId="12" borderId="18" xfId="0" applyNumberFormat="1" applyFont="1" applyFill="1" applyBorder="1" applyAlignment="1">
      <alignment horizontal="center" vertical="center"/>
    </xf>
    <xf numFmtId="1" fontId="12" fillId="12" borderId="18" xfId="0" applyNumberFormat="1" applyFont="1" applyFill="1" applyBorder="1" applyAlignment="1">
      <alignment horizontal="center" vertical="center" wrapText="1"/>
    </xf>
    <xf numFmtId="165" fontId="8" fillId="12" borderId="18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6" fillId="12" borderId="18" xfId="0" applyFont="1" applyFill="1" applyBorder="1" applyAlignment="1">
      <alignment horizontal="center" vertical="center"/>
    </xf>
    <xf numFmtId="44" fontId="7" fillId="12" borderId="18" xfId="1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35" fillId="0" borderId="15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vertical="center" wrapText="1"/>
    </xf>
    <xf numFmtId="165" fontId="8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vertical="center"/>
    </xf>
    <xf numFmtId="165" fontId="37" fillId="0" borderId="15" xfId="0" applyNumberFormat="1" applyFont="1" applyFill="1" applyBorder="1" applyAlignment="1">
      <alignment vertical="center"/>
    </xf>
    <xf numFmtId="4" fontId="22" fillId="0" borderId="26" xfId="0" applyNumberFormat="1" applyFont="1" applyBorder="1"/>
    <xf numFmtId="0" fontId="12" fillId="0" borderId="15" xfId="0" applyFont="1" applyFill="1" applyBorder="1" applyAlignment="1">
      <alignment vertical="center"/>
    </xf>
    <xf numFmtId="164" fontId="7" fillId="0" borderId="15" xfId="0" applyNumberFormat="1" applyFont="1" applyFill="1" applyBorder="1" applyAlignment="1">
      <alignment vertical="center" wrapText="1"/>
    </xf>
    <xf numFmtId="164" fontId="7" fillId="0" borderId="15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/>
    <xf numFmtId="0" fontId="12" fillId="0" borderId="15" xfId="0" applyFont="1" applyFill="1" applyBorder="1" applyAlignment="1">
      <alignment horizontal="center" vertical="center"/>
    </xf>
    <xf numFmtId="44" fontId="14" fillId="0" borderId="15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165" fontId="11" fillId="0" borderId="15" xfId="0" applyNumberFormat="1" applyFont="1" applyBorder="1" applyAlignment="1"/>
    <xf numFmtId="0" fontId="0" fillId="0" borderId="15" xfId="0" applyBorder="1"/>
    <xf numFmtId="0" fontId="26" fillId="0" borderId="15" xfId="0" applyFont="1" applyFill="1" applyBorder="1" applyAlignment="1">
      <alignment vertical="center"/>
    </xf>
    <xf numFmtId="4" fontId="8" fillId="7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/>
    <xf numFmtId="165" fontId="10" fillId="0" borderId="15" xfId="0" applyNumberFormat="1" applyFont="1" applyFill="1" applyBorder="1" applyAlignment="1">
      <alignment horizontal="center" wrapText="1"/>
    </xf>
    <xf numFmtId="165" fontId="8" fillId="0" borderId="15" xfId="0" applyNumberFormat="1" applyFont="1" applyFill="1" applyBorder="1" applyAlignment="1">
      <alignment horizontal="center" wrapText="1"/>
    </xf>
    <xf numFmtId="165" fontId="11" fillId="0" borderId="15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44" fontId="7" fillId="0" borderId="15" xfId="1" applyFont="1" applyFill="1" applyBorder="1" applyAlignment="1"/>
    <xf numFmtId="0" fontId="9" fillId="0" borderId="15" xfId="0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165" fontId="36" fillId="0" borderId="15" xfId="0" applyNumberFormat="1" applyFont="1" applyFill="1" applyBorder="1" applyAlignment="1">
      <alignment horizontal="center"/>
    </xf>
    <xf numFmtId="4" fontId="22" fillId="0" borderId="0" xfId="0" applyNumberFormat="1" applyFont="1" applyFill="1" applyBorder="1"/>
    <xf numFmtId="0" fontId="29" fillId="0" borderId="15" xfId="0" applyFont="1" applyFill="1" applyBorder="1" applyAlignment="1"/>
    <xf numFmtId="1" fontId="20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horizontal="center" vertical="center"/>
    </xf>
    <xf numFmtId="4" fontId="22" fillId="0" borderId="30" xfId="0" applyNumberFormat="1" applyFont="1" applyFill="1" applyBorder="1"/>
    <xf numFmtId="0" fontId="2" fillId="0" borderId="15" xfId="0" applyFont="1" applyBorder="1" applyAlignment="1">
      <alignment horizontal="center"/>
    </xf>
    <xf numFmtId="44" fontId="7" fillId="0" borderId="15" xfId="1" applyFont="1" applyBorder="1" applyAlignment="1"/>
    <xf numFmtId="166" fontId="9" fillId="0" borderId="15" xfId="0" applyNumberFormat="1" applyFont="1" applyFill="1" applyBorder="1" applyAlignment="1">
      <alignment vertical="center"/>
    </xf>
    <xf numFmtId="44" fontId="7" fillId="0" borderId="12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44" fontId="7" fillId="0" borderId="15" xfId="1" applyFont="1" applyBorder="1" applyAlignment="1">
      <alignment vertical="center"/>
    </xf>
    <xf numFmtId="165" fontId="7" fillId="0" borderId="15" xfId="0" applyNumberFormat="1" applyFont="1" applyFill="1" applyBorder="1" applyAlignment="1">
      <alignment horizontal="center"/>
    </xf>
    <xf numFmtId="44" fontId="7" fillId="0" borderId="15" xfId="1" applyFont="1" applyBorder="1"/>
    <xf numFmtId="165" fontId="37" fillId="0" borderId="15" xfId="0" applyNumberFormat="1" applyFont="1" applyFill="1" applyBorder="1" applyAlignment="1">
      <alignment horizontal="center" vertical="center"/>
    </xf>
    <xf numFmtId="166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1" fontId="29" fillId="0" borderId="15" xfId="0" applyNumberFormat="1" applyFont="1" applyFill="1" applyBorder="1" applyAlignment="1">
      <alignment horizontal="center"/>
    </xf>
    <xf numFmtId="165" fontId="38" fillId="0" borderId="15" xfId="0" applyNumberFormat="1" applyFont="1" applyFill="1" applyBorder="1" applyAlignment="1">
      <alignment vertical="center"/>
    </xf>
    <xf numFmtId="44" fontId="7" fillId="0" borderId="15" xfId="1" applyFont="1" applyFill="1" applyBorder="1" applyAlignment="1">
      <alignment vertical="center" wrapText="1"/>
    </xf>
    <xf numFmtId="165" fontId="3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wrapText="1"/>
    </xf>
    <xf numFmtId="166" fontId="2" fillId="0" borderId="15" xfId="0" applyNumberFormat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 vertical="center" wrapText="1"/>
    </xf>
    <xf numFmtId="0" fontId="12" fillId="0" borderId="15" xfId="0" applyFont="1" applyFill="1" applyBorder="1"/>
    <xf numFmtId="165" fontId="38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vertical="center" wrapText="1"/>
    </xf>
    <xf numFmtId="165" fontId="37" fillId="0" borderId="15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164" fontId="24" fillId="0" borderId="15" xfId="0" applyNumberFormat="1" applyFont="1" applyFill="1" applyBorder="1" applyAlignment="1">
      <alignment vertical="center" wrapText="1"/>
    </xf>
    <xf numFmtId="166" fontId="2" fillId="0" borderId="15" xfId="0" applyNumberFormat="1" applyFont="1" applyFill="1" applyBorder="1" applyAlignment="1">
      <alignment vertical="center"/>
    </xf>
    <xf numFmtId="1" fontId="2" fillId="0" borderId="15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/>
    </xf>
    <xf numFmtId="165" fontId="15" fillId="0" borderId="15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40" fillId="0" borderId="15" xfId="1" applyFont="1" applyFill="1" applyBorder="1" applyAlignment="1">
      <alignment vertical="center" wrapText="1"/>
    </xf>
    <xf numFmtId="44" fontId="8" fillId="0" borderId="12" xfId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165" fontId="11" fillId="0" borderId="12" xfId="0" applyNumberFormat="1" applyFont="1" applyBorder="1"/>
    <xf numFmtId="44" fontId="21" fillId="0" borderId="32" xfId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15" xfId="1" applyFont="1" applyBorder="1"/>
    <xf numFmtId="0" fontId="8" fillId="0" borderId="15" xfId="0" applyFont="1" applyBorder="1" applyAlignment="1">
      <alignment horizontal="center"/>
    </xf>
    <xf numFmtId="44" fontId="41" fillId="0" borderId="15" xfId="1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8" fillId="0" borderId="15" xfId="0" applyFont="1" applyBorder="1"/>
    <xf numFmtId="0" fontId="12" fillId="0" borderId="15" xfId="0" applyFont="1" applyBorder="1" applyAlignment="1">
      <alignment horizontal="center"/>
    </xf>
    <xf numFmtId="2" fontId="43" fillId="0" borderId="15" xfId="0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/>
    </xf>
    <xf numFmtId="0" fontId="40" fillId="0" borderId="0" xfId="0" applyFont="1"/>
    <xf numFmtId="0" fontId="12" fillId="0" borderId="33" xfId="0" applyFont="1" applyBorder="1" applyAlignment="1">
      <alignment horizontal="left"/>
    </xf>
    <xf numFmtId="0" fontId="12" fillId="0" borderId="0" xfId="0" applyFont="1" applyAlignment="1">
      <alignment horizontal="left"/>
    </xf>
    <xf numFmtId="1" fontId="21" fillId="0" borderId="0" xfId="1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" fontId="3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15" xfId="1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41" fillId="0" borderId="38" xfId="1" applyFont="1" applyBorder="1" applyAlignment="1">
      <alignment horizontal="center"/>
    </xf>
    <xf numFmtId="0" fontId="4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3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1" fillId="0" borderId="28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2" fontId="11" fillId="0" borderId="41" xfId="0" applyNumberFormat="1" applyFont="1" applyBorder="1"/>
    <xf numFmtId="4" fontId="45" fillId="8" borderId="42" xfId="0" applyNumberFormat="1" applyFont="1" applyFill="1" applyBorder="1"/>
    <xf numFmtId="2" fontId="11" fillId="0" borderId="41" xfId="0" applyNumberFormat="1" applyFont="1" applyBorder="1" applyAlignment="1">
      <alignment horizontal="center"/>
    </xf>
    <xf numFmtId="4" fontId="22" fillId="0" borderId="42" xfId="0" applyNumberFormat="1" applyFont="1" applyBorder="1"/>
    <xf numFmtId="2" fontId="23" fillId="0" borderId="0" xfId="0" applyNumberFormat="1" applyFont="1" applyAlignment="1">
      <alignment horizontal="center"/>
    </xf>
    <xf numFmtId="44" fontId="8" fillId="0" borderId="43" xfId="1" applyFont="1" applyBorder="1"/>
    <xf numFmtId="44" fontId="8" fillId="0" borderId="44" xfId="1" applyFont="1" applyBorder="1"/>
    <xf numFmtId="44" fontId="40" fillId="0" borderId="0" xfId="1" applyFont="1" applyAlignment="1">
      <alignment horizontal="center"/>
    </xf>
    <xf numFmtId="165" fontId="8" fillId="0" borderId="0" xfId="0" applyNumberFormat="1" applyFont="1"/>
    <xf numFmtId="165" fontId="8" fillId="0" borderId="45" xfId="0" applyNumberFormat="1" applyFont="1" applyBorder="1"/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2" fillId="0" borderId="0" xfId="0" applyNumberFormat="1" applyFont="1"/>
    <xf numFmtId="44" fontId="0" fillId="0" borderId="0" xfId="1" applyFont="1"/>
    <xf numFmtId="44" fontId="41" fillId="0" borderId="0" xfId="1" applyFont="1" applyAlignment="1">
      <alignment horizontal="center"/>
    </xf>
    <xf numFmtId="0" fontId="42" fillId="0" borderId="0" xfId="0" applyFont="1"/>
    <xf numFmtId="2" fontId="46" fillId="11" borderId="47" xfId="0" applyNumberFormat="1" applyFont="1" applyFill="1" applyBorder="1" applyAlignment="1">
      <alignment vertical="center"/>
    </xf>
    <xf numFmtId="2" fontId="45" fillId="11" borderId="47" xfId="0" applyNumberFormat="1" applyFont="1" applyFill="1" applyBorder="1" applyAlignment="1">
      <alignment horizontal="right" vertical="center"/>
    </xf>
    <xf numFmtId="2" fontId="46" fillId="11" borderId="47" xfId="0" applyNumberFormat="1" applyFont="1" applyFill="1" applyBorder="1" applyAlignment="1">
      <alignment horizontal="right" vertical="center"/>
    </xf>
    <xf numFmtId="4" fontId="47" fillId="11" borderId="47" xfId="0" applyNumberFormat="1" applyFont="1" applyFill="1" applyBorder="1" applyAlignment="1">
      <alignment vertical="center"/>
    </xf>
    <xf numFmtId="4" fontId="47" fillId="11" borderId="48" xfId="0" applyNumberFormat="1" applyFont="1" applyFill="1" applyBorder="1" applyAlignment="1">
      <alignment horizontal="center" vertical="center"/>
    </xf>
    <xf numFmtId="2" fontId="46" fillId="11" borderId="34" xfId="0" applyNumberFormat="1" applyFont="1" applyFill="1" applyBorder="1" applyAlignment="1">
      <alignment vertical="center"/>
    </xf>
    <xf numFmtId="2" fontId="45" fillId="11" borderId="34" xfId="0" applyNumberFormat="1" applyFont="1" applyFill="1" applyBorder="1" applyAlignment="1">
      <alignment horizontal="right" vertical="center"/>
    </xf>
    <xf numFmtId="2" fontId="46" fillId="11" borderId="34" xfId="0" applyNumberFormat="1" applyFont="1" applyFill="1" applyBorder="1" applyAlignment="1">
      <alignment horizontal="right" vertical="center"/>
    </xf>
    <xf numFmtId="4" fontId="47" fillId="11" borderId="34" xfId="0" applyNumberFormat="1" applyFont="1" applyFill="1" applyBorder="1" applyAlignment="1">
      <alignment vertical="center"/>
    </xf>
    <xf numFmtId="4" fontId="47" fillId="11" borderId="50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4" fontId="49" fillId="0" borderId="0" xfId="1" applyFont="1" applyAlignment="1">
      <alignment horizontal="left"/>
    </xf>
    <xf numFmtId="1" fontId="49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4" fontId="5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51" fillId="15" borderId="0" xfId="0" applyFont="1" applyFill="1"/>
    <xf numFmtId="0" fontId="52" fillId="15" borderId="34" xfId="0" applyFont="1" applyFill="1" applyBorder="1"/>
    <xf numFmtId="0" fontId="53" fillId="15" borderId="34" xfId="0" applyFont="1" applyFill="1" applyBorder="1" applyAlignment="1">
      <alignment horizontal="center"/>
    </xf>
    <xf numFmtId="164" fontId="53" fillId="15" borderId="0" xfId="0" applyNumberFormat="1" applyFont="1" applyFill="1"/>
    <xf numFmtId="0" fontId="53" fillId="15" borderId="0" xfId="0" applyFont="1" applyFill="1" applyAlignment="1">
      <alignment horizontal="center"/>
    </xf>
    <xf numFmtId="0" fontId="53" fillId="15" borderId="0" xfId="0" applyFont="1" applyFill="1"/>
    <xf numFmtId="0" fontId="54" fillId="15" borderId="0" xfId="0" applyFont="1" applyFill="1" applyAlignment="1">
      <alignment horizontal="center"/>
    </xf>
    <xf numFmtId="0" fontId="56" fillId="0" borderId="51" xfId="0" applyFont="1" applyBorder="1" applyAlignment="1">
      <alignment wrapText="1"/>
    </xf>
    <xf numFmtId="0" fontId="26" fillId="0" borderId="48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4" borderId="0" xfId="1" applyFont="1" applyFill="1" applyAlignment="1">
      <alignment horizontal="center" vertical="center" wrapText="1"/>
    </xf>
    <xf numFmtId="0" fontId="7" fillId="0" borderId="0" xfId="0" applyFont="1"/>
    <xf numFmtId="0" fontId="49" fillId="0" borderId="53" xfId="0" applyFont="1" applyBorder="1" applyAlignment="1">
      <alignment horizontal="center"/>
    </xf>
    <xf numFmtId="0" fontId="8" fillId="0" borderId="8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2" fillId="0" borderId="8" xfId="0" applyFont="1" applyBorder="1"/>
    <xf numFmtId="0" fontId="54" fillId="0" borderId="54" xfId="0" applyFont="1" applyBorder="1" applyAlignment="1">
      <alignment horizontal="center"/>
    </xf>
    <xf numFmtId="0" fontId="56" fillId="0" borderId="55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1" fontId="9" fillId="0" borderId="56" xfId="0" applyNumberFormat="1" applyFont="1" applyBorder="1" applyAlignment="1">
      <alignment horizontal="center"/>
    </xf>
    <xf numFmtId="0" fontId="8" fillId="0" borderId="0" xfId="0" applyFont="1"/>
    <xf numFmtId="164" fontId="57" fillId="0" borderId="0" xfId="0" applyNumberFormat="1" applyFont="1"/>
    <xf numFmtId="2" fontId="2" fillId="0" borderId="0" xfId="0" applyNumberFormat="1" applyFont="1"/>
    <xf numFmtId="1" fontId="44" fillId="0" borderId="0" xfId="0" applyNumberFormat="1" applyFont="1" applyAlignment="1">
      <alignment horizontal="center"/>
    </xf>
    <xf numFmtId="167" fontId="8" fillId="0" borderId="33" xfId="0" applyNumberFormat="1" applyFont="1" applyBorder="1"/>
    <xf numFmtId="0" fontId="59" fillId="0" borderId="0" xfId="0" applyFont="1" applyAlignment="1">
      <alignment wrapText="1"/>
    </xf>
    <xf numFmtId="167" fontId="42" fillId="0" borderId="46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167" fontId="7" fillId="0" borderId="0" xfId="0" applyNumberFormat="1" applyFont="1"/>
    <xf numFmtId="0" fontId="37" fillId="0" borderId="15" xfId="0" applyFont="1" applyBorder="1" applyAlignment="1">
      <alignment horizontal="left" wrapText="1"/>
    </xf>
    <xf numFmtId="0" fontId="37" fillId="0" borderId="15" xfId="0" applyFont="1" applyBorder="1"/>
    <xf numFmtId="167" fontId="12" fillId="0" borderId="1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/>
    <xf numFmtId="2" fontId="12" fillId="0" borderId="21" xfId="0" applyNumberFormat="1" applyFont="1" applyBorder="1"/>
    <xf numFmtId="0" fontId="37" fillId="17" borderId="15" xfId="0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wrapText="1"/>
    </xf>
    <xf numFmtId="167" fontId="7" fillId="0" borderId="1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horizontal="left" wrapText="1"/>
    </xf>
    <xf numFmtId="1" fontId="9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/>
    </xf>
    <xf numFmtId="44" fontId="2" fillId="0" borderId="15" xfId="1" applyFont="1" applyFill="1" applyBorder="1" applyAlignment="1">
      <alignment horizontal="right"/>
    </xf>
    <xf numFmtId="167" fontId="43" fillId="0" borderId="0" xfId="0" applyNumberFormat="1" applyFont="1"/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/>
    <xf numFmtId="0" fontId="12" fillId="0" borderId="15" xfId="0" applyFont="1" applyFill="1" applyBorder="1" applyAlignment="1">
      <alignment horizontal="center"/>
    </xf>
    <xf numFmtId="2" fontId="12" fillId="0" borderId="21" xfId="0" applyNumberFormat="1" applyFont="1" applyFill="1" applyBorder="1"/>
    <xf numFmtId="44" fontId="8" fillId="0" borderId="15" xfId="1" applyFont="1" applyFill="1" applyBorder="1" applyAlignment="1">
      <alignment vertical="center"/>
    </xf>
    <xf numFmtId="166" fontId="7" fillId="0" borderId="15" xfId="0" applyNumberFormat="1" applyFont="1" applyFill="1" applyBorder="1" applyAlignment="1">
      <alignment vertical="center" wrapText="1"/>
    </xf>
    <xf numFmtId="165" fontId="43" fillId="0" borderId="0" xfId="0" applyNumberFormat="1" applyFont="1" applyAlignment="1">
      <alignment horizontal="right"/>
    </xf>
    <xf numFmtId="0" fontId="39" fillId="17" borderId="15" xfId="0" applyFont="1" applyFill="1" applyBorder="1" applyAlignment="1">
      <alignment horizontal="center" vertical="center"/>
    </xf>
    <xf numFmtId="0" fontId="39" fillId="17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left" wrapText="1"/>
    </xf>
    <xf numFmtId="44" fontId="42" fillId="0" borderId="0" xfId="1" applyFont="1"/>
    <xf numFmtId="10" fontId="42" fillId="0" borderId="0" xfId="0" applyNumberFormat="1" applyFont="1"/>
    <xf numFmtId="0" fontId="37" fillId="0" borderId="15" xfId="0" applyFont="1" applyFill="1" applyBorder="1" applyAlignment="1">
      <alignment horizontal="left" wrapText="1"/>
    </xf>
    <xf numFmtId="0" fontId="37" fillId="0" borderId="15" xfId="0" applyFont="1" applyFill="1" applyBorder="1" applyAlignment="1">
      <alignment wrapText="1"/>
    </xf>
    <xf numFmtId="1" fontId="37" fillId="17" borderId="21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wrapText="1"/>
    </xf>
    <xf numFmtId="166" fontId="44" fillId="0" borderId="15" xfId="0" applyNumberFormat="1" applyFont="1" applyFill="1" applyBorder="1" applyAlignment="1">
      <alignment vertical="center" wrapText="1"/>
    </xf>
    <xf numFmtId="166" fontId="26" fillId="0" borderId="15" xfId="0" applyNumberFormat="1" applyFont="1" applyFill="1" applyBorder="1" applyAlignment="1">
      <alignment horizontal="left" wrapText="1"/>
    </xf>
    <xf numFmtId="44" fontId="12" fillId="0" borderId="15" xfId="1" applyFont="1" applyFill="1" applyBorder="1" applyAlignment="1">
      <alignment horizontal="right"/>
    </xf>
    <xf numFmtId="0" fontId="12" fillId="0" borderId="15" xfId="0" applyFont="1" applyFill="1" applyBorder="1" applyAlignment="1">
      <alignment wrapText="1"/>
    </xf>
    <xf numFmtId="1" fontId="7" fillId="17" borderId="21" xfId="0" applyNumberFormat="1" applyFont="1" applyFill="1" applyBorder="1" applyAlignment="1">
      <alignment horizontal="center"/>
    </xf>
    <xf numFmtId="167" fontId="43" fillId="0" borderId="0" xfId="0" applyNumberFormat="1" applyFont="1" applyAlignment="1">
      <alignment horizontal="right"/>
    </xf>
    <xf numFmtId="1" fontId="37" fillId="17" borderId="21" xfId="0" applyNumberFormat="1" applyFont="1" applyFill="1" applyBorder="1" applyAlignment="1">
      <alignment horizontal="center" vertical="center" wrapText="1"/>
    </xf>
    <xf numFmtId="167" fontId="8" fillId="0" borderId="15" xfId="0" applyNumberFormat="1" applyFont="1" applyFill="1" applyBorder="1"/>
    <xf numFmtId="44" fontId="8" fillId="0" borderId="15" xfId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 vertical="center" wrapText="1"/>
    </xf>
    <xf numFmtId="166" fontId="26" fillId="0" borderId="15" xfId="0" applyNumberFormat="1" applyFont="1" applyFill="1" applyBorder="1" applyAlignment="1">
      <alignment wrapText="1"/>
    </xf>
    <xf numFmtId="0" fontId="62" fillId="0" borderId="21" xfId="0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 vertical="center"/>
    </xf>
    <xf numFmtId="165" fontId="61" fillId="0" borderId="0" xfId="0" applyNumberFormat="1" applyFont="1" applyAlignment="1">
      <alignment horizontal="right"/>
    </xf>
    <xf numFmtId="0" fontId="65" fillId="0" borderId="21" xfId="0" applyFont="1" applyFill="1" applyBorder="1" applyAlignment="1">
      <alignment horizontal="center" vertical="center"/>
    </xf>
    <xf numFmtId="0" fontId="66" fillId="0" borderId="0" xfId="0" applyFont="1" applyAlignment="1">
      <alignment horizontal="left"/>
    </xf>
    <xf numFmtId="0" fontId="7" fillId="0" borderId="15" xfId="0" applyFont="1" applyFill="1" applyBorder="1" applyAlignment="1">
      <alignment horizontal="left"/>
    </xf>
    <xf numFmtId="0" fontId="8" fillId="0" borderId="15" xfId="0" applyFont="1" applyFill="1" applyBorder="1"/>
    <xf numFmtId="167" fontId="61" fillId="0" borderId="1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/>
    <xf numFmtId="2" fontId="2" fillId="0" borderId="21" xfId="0" applyNumberFormat="1" applyFont="1" applyFill="1" applyBorder="1"/>
    <xf numFmtId="0" fontId="37" fillId="0" borderId="21" xfId="0" applyFont="1" applyFill="1" applyBorder="1" applyAlignment="1">
      <alignment horizontal="center"/>
    </xf>
    <xf numFmtId="0" fontId="7" fillId="0" borderId="15" xfId="0" applyFont="1" applyFill="1" applyBorder="1"/>
    <xf numFmtId="0" fontId="18" fillId="0" borderId="2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wrapText="1"/>
    </xf>
    <xf numFmtId="0" fontId="8" fillId="0" borderId="15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center" vertical="center"/>
    </xf>
    <xf numFmtId="0" fontId="18" fillId="0" borderId="15" xfId="0" applyFont="1" applyFill="1" applyBorder="1"/>
    <xf numFmtId="0" fontId="18" fillId="0" borderId="21" xfId="0" applyFont="1" applyFill="1" applyBorder="1" applyAlignment="1">
      <alignment horizontal="center"/>
    </xf>
    <xf numFmtId="166" fontId="26" fillId="0" borderId="15" xfId="0" applyNumberFormat="1" applyFont="1" applyFill="1" applyBorder="1" applyAlignment="1">
      <alignment horizontal="center" wrapText="1"/>
    </xf>
    <xf numFmtId="44" fontId="8" fillId="0" borderId="15" xfId="1" applyFont="1" applyFill="1" applyBorder="1" applyAlignment="1">
      <alignment horizontal="center" wrapText="1"/>
    </xf>
    <xf numFmtId="4" fontId="61" fillId="0" borderId="15" xfId="0" applyNumberFormat="1" applyFont="1" applyFill="1" applyBorder="1" applyAlignment="1">
      <alignment horizontal="center"/>
    </xf>
    <xf numFmtId="0" fontId="67" fillId="0" borderId="15" xfId="0" applyFont="1" applyFill="1" applyBorder="1" applyAlignment="1">
      <alignment vertical="center" wrapText="1"/>
    </xf>
    <xf numFmtId="1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44" fontId="7" fillId="0" borderId="15" xfId="1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left"/>
    </xf>
    <xf numFmtId="1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/>
    </xf>
    <xf numFmtId="0" fontId="22" fillId="0" borderId="15" xfId="0" applyFont="1" applyFill="1" applyBorder="1"/>
    <xf numFmtId="166" fontId="44" fillId="0" borderId="15" xfId="0" applyNumberFormat="1" applyFont="1" applyFill="1" applyBorder="1" applyAlignment="1">
      <alignment wrapText="1"/>
    </xf>
    <xf numFmtId="0" fontId="18" fillId="0" borderId="21" xfId="0" applyFont="1" applyFill="1" applyBorder="1" applyAlignment="1">
      <alignment vertical="center" wrapText="1"/>
    </xf>
    <xf numFmtId="166" fontId="59" fillId="0" borderId="15" xfId="0" applyNumberFormat="1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4" fontId="61" fillId="0" borderId="15" xfId="0" applyNumberFormat="1" applyFont="1" applyBorder="1" applyAlignment="1">
      <alignment horizontal="center"/>
    </xf>
    <xf numFmtId="164" fontId="12" fillId="0" borderId="15" xfId="0" applyNumberFormat="1" applyFont="1" applyBorder="1"/>
    <xf numFmtId="1" fontId="12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2" fontId="2" fillId="0" borderId="21" xfId="0" applyNumberFormat="1" applyFont="1" applyBorder="1"/>
    <xf numFmtId="0" fontId="18" fillId="0" borderId="21" xfId="0" applyFont="1" applyFill="1" applyBorder="1"/>
    <xf numFmtId="167" fontId="7" fillId="0" borderId="15" xfId="0" applyNumberFormat="1" applyFont="1" applyFill="1" applyBorder="1"/>
    <xf numFmtId="0" fontId="8" fillId="0" borderId="0" xfId="0" applyFont="1" applyAlignment="1">
      <alignment horizontal="left"/>
    </xf>
    <xf numFmtId="4" fontId="61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44" fillId="0" borderId="15" xfId="0" applyFont="1" applyFill="1" applyBorder="1" applyAlignment="1">
      <alignment horizontal="center"/>
    </xf>
    <xf numFmtId="0" fontId="68" fillId="0" borderId="0" xfId="0" applyFont="1" applyFill="1" applyAlignment="1">
      <alignment vertical="center"/>
    </xf>
    <xf numFmtId="1" fontId="9" fillId="0" borderId="15" xfId="0" applyNumberFormat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166" fontId="59" fillId="0" borderId="39" xfId="0" applyNumberFormat="1" applyFont="1" applyBorder="1" applyAlignment="1">
      <alignment wrapText="1"/>
    </xf>
    <xf numFmtId="167" fontId="8" fillId="0" borderId="0" xfId="0" applyNumberFormat="1" applyFont="1"/>
    <xf numFmtId="166" fontId="26" fillId="0" borderId="61" xfId="0" applyNumberFormat="1" applyFont="1" applyBorder="1" applyAlignment="1">
      <alignment wrapText="1"/>
    </xf>
    <xf numFmtId="44" fontId="23" fillId="0" borderId="0" xfId="1" applyFont="1" applyFill="1"/>
    <xf numFmtId="44" fontId="69" fillId="0" borderId="0" xfId="1" applyFont="1"/>
    <xf numFmtId="0" fontId="2" fillId="0" borderId="0" xfId="0" applyFont="1"/>
    <xf numFmtId="44" fontId="2" fillId="0" borderId="0" xfId="1" applyFont="1"/>
    <xf numFmtId="4" fontId="2" fillId="0" borderId="0" xfId="0" applyNumberFormat="1" applyFont="1" applyAlignment="1">
      <alignment horizontal="center"/>
    </xf>
    <xf numFmtId="44" fontId="23" fillId="0" borderId="0" xfId="1" applyFont="1"/>
    <xf numFmtId="0" fontId="8" fillId="0" borderId="0" xfId="0" applyFont="1" applyAlignment="1">
      <alignment horizontal="right"/>
    </xf>
    <xf numFmtId="164" fontId="70" fillId="0" borderId="0" xfId="0" applyNumberFormat="1" applyFont="1"/>
    <xf numFmtId="0" fontId="54" fillId="0" borderId="0" xfId="0" applyFont="1" applyAlignment="1">
      <alignment horizontal="center"/>
    </xf>
    <xf numFmtId="167" fontId="42" fillId="0" borderId="33" xfId="0" applyNumberFormat="1" applyFont="1" applyBorder="1"/>
    <xf numFmtId="0" fontId="56" fillId="0" borderId="39" xfId="0" applyFont="1" applyBorder="1" applyAlignment="1">
      <alignment wrapText="1"/>
    </xf>
    <xf numFmtId="0" fontId="26" fillId="0" borderId="61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2" fontId="2" fillId="0" borderId="7" xfId="0" applyNumberFormat="1" applyFont="1" applyBorder="1"/>
    <xf numFmtId="0" fontId="54" fillId="0" borderId="7" xfId="0" applyFont="1" applyBorder="1" applyAlignment="1">
      <alignment horizontal="center"/>
    </xf>
    <xf numFmtId="167" fontId="8" fillId="0" borderId="62" xfId="0" applyNumberFormat="1" applyFont="1" applyBorder="1"/>
    <xf numFmtId="0" fontId="56" fillId="0" borderId="63" xfId="0" applyFont="1" applyBorder="1" applyAlignment="1">
      <alignment wrapText="1"/>
    </xf>
    <xf numFmtId="0" fontId="26" fillId="0" borderId="64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53" xfId="1" applyFont="1" applyBorder="1"/>
    <xf numFmtId="167" fontId="7" fillId="0" borderId="64" xfId="0" applyNumberFormat="1" applyFont="1" applyBorder="1"/>
    <xf numFmtId="0" fontId="5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3" fillId="0" borderId="0" xfId="0" applyFont="1"/>
    <xf numFmtId="0" fontId="52" fillId="0" borderId="34" xfId="0" applyFont="1" applyBorder="1"/>
    <xf numFmtId="166" fontId="52" fillId="0" borderId="0" xfId="0" applyNumberFormat="1" applyFont="1"/>
    <xf numFmtId="2" fontId="52" fillId="0" borderId="0" xfId="0" applyNumberFormat="1" applyFont="1"/>
    <xf numFmtId="0" fontId="52" fillId="0" borderId="0" xfId="0" applyFont="1"/>
    <xf numFmtId="0" fontId="75" fillId="2" borderId="0" xfId="0" applyFont="1" applyFill="1" applyAlignment="1">
      <alignment horizontal="center"/>
    </xf>
    <xf numFmtId="44" fontId="75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53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166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0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167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2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167" fontId="40" fillId="0" borderId="0" xfId="0" applyNumberFormat="1" applyFont="1" applyFill="1" applyAlignment="1">
      <alignment horizont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76" fillId="0" borderId="0" xfId="0" applyNumberFormat="1" applyFont="1" applyFill="1"/>
    <xf numFmtId="0" fontId="3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7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1" xfId="0" applyFont="1" applyFill="1" applyBorder="1" applyAlignment="1">
      <alignment vertical="center" wrapText="1"/>
    </xf>
    <xf numFmtId="166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/>
    </xf>
    <xf numFmtId="0" fontId="8" fillId="0" borderId="4" xfId="0" applyFont="1" applyFill="1" applyBorder="1"/>
    <xf numFmtId="0" fontId="63" fillId="0" borderId="0" xfId="0" applyFont="1" applyFill="1" applyAlignment="1">
      <alignment horizontal="center"/>
    </xf>
    <xf numFmtId="0" fontId="78" fillId="0" borderId="4" xfId="0" applyFont="1" applyFill="1" applyBorder="1" applyAlignment="1">
      <alignment horizontal="center"/>
    </xf>
    <xf numFmtId="0" fontId="79" fillId="0" borderId="0" xfId="0" applyFont="1" applyFill="1" applyAlignment="1">
      <alignment horizontal="center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wrapText="1"/>
    </xf>
    <xf numFmtId="0" fontId="25" fillId="0" borderId="4" xfId="0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8" fillId="0" borderId="29" xfId="0" applyFont="1" applyFill="1" applyBorder="1"/>
    <xf numFmtId="0" fontId="8" fillId="0" borderId="66" xfId="0" applyFont="1" applyBorder="1"/>
    <xf numFmtId="0" fontId="8" fillId="16" borderId="67" xfId="0" applyFont="1" applyFill="1" applyBorder="1" applyAlignment="1">
      <alignment horizontal="center"/>
    </xf>
    <xf numFmtId="16" fontId="40" fillId="0" borderId="68" xfId="0" applyNumberFormat="1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4" xfId="0" applyFont="1" applyBorder="1"/>
    <xf numFmtId="44" fontId="8" fillId="0" borderId="0" xfId="1" applyFont="1" applyBorder="1"/>
    <xf numFmtId="0" fontId="8" fillId="0" borderId="33" xfId="0" applyFont="1" applyBorder="1"/>
    <xf numFmtId="0" fontId="80" fillId="0" borderId="0" xfId="0" applyFont="1" applyAlignment="1">
      <alignment horizontal="center"/>
    </xf>
    <xf numFmtId="2" fontId="8" fillId="0" borderId="39" xfId="0" applyNumberFormat="1" applyFont="1" applyBorder="1" applyAlignment="1">
      <alignment horizontal="right"/>
    </xf>
    <xf numFmtId="15" fontId="81" fillId="0" borderId="0" xfId="0" applyNumberFormat="1" applyFont="1"/>
    <xf numFmtId="2" fontId="81" fillId="0" borderId="39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167" fontId="81" fillId="0" borderId="0" xfId="0" applyNumberFormat="1" applyFont="1"/>
    <xf numFmtId="44" fontId="81" fillId="0" borderId="0" xfId="1" applyFont="1"/>
    <xf numFmtId="0" fontId="81" fillId="0" borderId="33" xfId="0" applyFont="1" applyBorder="1" applyAlignment="1">
      <alignment horizontal="right"/>
    </xf>
    <xf numFmtId="2" fontId="8" fillId="0" borderId="39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2" fontId="8" fillId="0" borderId="69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33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82" fillId="0" borderId="0" xfId="0" applyNumberFormat="1" applyFont="1"/>
    <xf numFmtId="16" fontId="82" fillId="0" borderId="0" xfId="0" applyNumberFormat="1" applyFont="1" applyAlignment="1">
      <alignment horizontal="right"/>
    </xf>
    <xf numFmtId="167" fontId="82" fillId="0" borderId="0" xfId="0" applyNumberFormat="1" applyFont="1"/>
    <xf numFmtId="0" fontId="82" fillId="0" borderId="0" xfId="0" applyFont="1" applyAlignment="1">
      <alignment horizontal="right"/>
    </xf>
    <xf numFmtId="44" fontId="82" fillId="0" borderId="0" xfId="1" applyFont="1"/>
    <xf numFmtId="0" fontId="8" fillId="0" borderId="33" xfId="0" applyFont="1" applyBorder="1" applyAlignment="1">
      <alignment horizontal="center"/>
    </xf>
    <xf numFmtId="0" fontId="8" fillId="0" borderId="33" xfId="0" applyFont="1" applyBorder="1" applyAlignment="1">
      <alignment horizontal="left"/>
    </xf>
    <xf numFmtId="15" fontId="8" fillId="0" borderId="33" xfId="0" applyNumberFormat="1" applyFont="1" applyBorder="1"/>
    <xf numFmtId="0" fontId="8" fillId="0" borderId="61" xfId="0" applyFont="1" applyFill="1" applyBorder="1" applyAlignment="1">
      <alignment horizontal="right"/>
    </xf>
    <xf numFmtId="0" fontId="8" fillId="0" borderId="61" xfId="0" applyFont="1" applyBorder="1" applyAlignment="1">
      <alignment horizontal="right"/>
    </xf>
    <xf numFmtId="0" fontId="8" fillId="0" borderId="33" xfId="0" applyFont="1" applyBorder="1" applyAlignment="1">
      <alignment horizontal="right"/>
    </xf>
    <xf numFmtId="0" fontId="83" fillId="0" borderId="33" xfId="0" applyFont="1" applyBorder="1" applyAlignment="1">
      <alignment horizontal="right"/>
    </xf>
    <xf numFmtId="0" fontId="84" fillId="0" borderId="0" xfId="0" applyFont="1" applyAlignment="1">
      <alignment horizontal="center"/>
    </xf>
    <xf numFmtId="2" fontId="8" fillId="0" borderId="48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44" fontId="81" fillId="0" borderId="0" xfId="1" applyFont="1" applyFill="1"/>
    <xf numFmtId="2" fontId="8" fillId="0" borderId="35" xfId="0" applyNumberFormat="1" applyFont="1" applyBorder="1" applyAlignment="1">
      <alignment horizontal="right"/>
    </xf>
    <xf numFmtId="2" fontId="8" fillId="0" borderId="61" xfId="0" applyNumberFormat="1" applyFont="1" applyBorder="1" applyAlignment="1">
      <alignment horizontal="right"/>
    </xf>
    <xf numFmtId="2" fontId="8" fillId="0" borderId="39" xfId="0" applyNumberFormat="1" applyFont="1" applyBorder="1"/>
    <xf numFmtId="0" fontId="25" fillId="0" borderId="0" xfId="0" applyFont="1" applyAlignment="1">
      <alignment horizontal="left"/>
    </xf>
    <xf numFmtId="0" fontId="8" fillId="0" borderId="33" xfId="0" applyFont="1" applyFill="1" applyBorder="1"/>
    <xf numFmtId="0" fontId="85" fillId="0" borderId="33" xfId="0" applyFont="1" applyBorder="1" applyAlignment="1">
      <alignment horizontal="right"/>
    </xf>
    <xf numFmtId="0" fontId="8" fillId="0" borderId="33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35" xfId="0" applyNumberFormat="1" applyFont="1" applyBorder="1" applyAlignment="1">
      <alignment horizontal="right"/>
    </xf>
    <xf numFmtId="0" fontId="25" fillId="0" borderId="33" xfId="0" applyFont="1" applyBorder="1" applyAlignment="1">
      <alignment horizontal="center"/>
    </xf>
    <xf numFmtId="16" fontId="8" fillId="0" borderId="0" xfId="0" applyNumberFormat="1" applyFont="1"/>
    <xf numFmtId="0" fontId="8" fillId="0" borderId="66" xfId="0" applyFont="1" applyBorder="1" applyAlignment="1">
      <alignment horizontal="center"/>
    </xf>
    <xf numFmtId="0" fontId="80" fillId="0" borderId="34" xfId="0" applyFont="1" applyBorder="1" applyAlignment="1">
      <alignment horizontal="center"/>
    </xf>
    <xf numFmtId="4" fontId="8" fillId="0" borderId="54" xfId="0" applyNumberFormat="1" applyFont="1" applyBorder="1" applyAlignment="1">
      <alignment horizontal="right"/>
    </xf>
    <xf numFmtId="16" fontId="8" fillId="0" borderId="66" xfId="0" applyNumberFormat="1" applyFont="1" applyBorder="1"/>
    <xf numFmtId="0" fontId="8" fillId="0" borderId="34" xfId="0" applyFont="1" applyBorder="1" applyAlignment="1">
      <alignment horizontal="right"/>
    </xf>
    <xf numFmtId="167" fontId="8" fillId="0" borderId="34" xfId="0" applyNumberFormat="1" applyFont="1" applyBorder="1"/>
    <xf numFmtId="4" fontId="8" fillId="0" borderId="71" xfId="0" applyNumberFormat="1" applyFont="1" applyBorder="1" applyAlignment="1">
      <alignment horizontal="right"/>
    </xf>
    <xf numFmtId="16" fontId="8" fillId="0" borderId="34" xfId="0" applyNumberFormat="1" applyFont="1" applyBorder="1"/>
    <xf numFmtId="4" fontId="8" fillId="0" borderId="34" xfId="0" applyNumberFormat="1" applyFont="1" applyBorder="1" applyAlignment="1">
      <alignment horizontal="right"/>
    </xf>
    <xf numFmtId="16" fontId="82" fillId="0" borderId="66" xfId="0" applyNumberFormat="1" applyFont="1" applyBorder="1"/>
    <xf numFmtId="4" fontId="82" fillId="0" borderId="34" xfId="0" applyNumberFormat="1" applyFont="1" applyBorder="1" applyAlignment="1">
      <alignment horizontal="right"/>
    </xf>
    <xf numFmtId="0" fontId="82" fillId="0" borderId="34" xfId="0" applyFont="1" applyBorder="1" applyAlignment="1">
      <alignment horizontal="right"/>
    </xf>
    <xf numFmtId="15" fontId="8" fillId="0" borderId="34" xfId="0" applyNumberFormat="1" applyFont="1" applyBorder="1"/>
    <xf numFmtId="44" fontId="8" fillId="0" borderId="34" xfId="1" applyFont="1" applyBorder="1"/>
    <xf numFmtId="2" fontId="8" fillId="0" borderId="34" xfId="0" applyNumberFormat="1" applyFont="1" applyBorder="1"/>
    <xf numFmtId="0" fontId="8" fillId="0" borderId="50" xfId="0" applyFont="1" applyBorder="1" applyAlignment="1">
      <alignment horizontal="right"/>
    </xf>
    <xf numFmtId="0" fontId="8" fillId="0" borderId="7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" fontId="8" fillId="0" borderId="50" xfId="0" applyNumberFormat="1" applyFont="1" applyBorder="1" applyAlignment="1">
      <alignment horizontal="right"/>
    </xf>
    <xf numFmtId="4" fontId="8" fillId="0" borderId="34" xfId="0" applyNumberFormat="1" applyFont="1" applyBorder="1"/>
    <xf numFmtId="0" fontId="8" fillId="0" borderId="29" xfId="0" applyFont="1" applyBorder="1" applyAlignment="1">
      <alignment horizontal="center"/>
    </xf>
    <xf numFmtId="0" fontId="80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82" fillId="0" borderId="4" xfId="0" applyNumberFormat="1" applyFont="1" applyBorder="1"/>
    <xf numFmtId="2" fontId="82" fillId="0" borderId="59" xfId="0" applyNumberFormat="1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167" fontId="82" fillId="0" borderId="4" xfId="0" applyNumberFormat="1" applyFont="1" applyBorder="1"/>
    <xf numFmtId="44" fontId="82" fillId="0" borderId="0" xfId="1" applyFont="1" applyBorder="1"/>
    <xf numFmtId="0" fontId="8" fillId="0" borderId="9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2" fontId="8" fillId="0" borderId="10" xfId="0" applyNumberFormat="1" applyFont="1" applyBorder="1"/>
    <xf numFmtId="2" fontId="8" fillId="4" borderId="10" xfId="0" applyNumberFormat="1" applyFont="1" applyFill="1" applyBorder="1"/>
    <xf numFmtId="0" fontId="8" fillId="0" borderId="59" xfId="0" applyFont="1" applyBorder="1" applyAlignment="1">
      <alignment horizontal="center"/>
    </xf>
    <xf numFmtId="167" fontId="59" fillId="0" borderId="0" xfId="0" applyNumberFormat="1" applyFont="1"/>
    <xf numFmtId="167" fontId="44" fillId="0" borderId="0" xfId="0" applyNumberFormat="1" applyFont="1"/>
    <xf numFmtId="0" fontId="8" fillId="14" borderId="0" xfId="0" applyFont="1" applyFill="1"/>
    <xf numFmtId="166" fontId="8" fillId="14" borderId="0" xfId="0" applyNumberFormat="1" applyFont="1" applyFill="1"/>
    <xf numFmtId="2" fontId="8" fillId="14" borderId="0" xfId="0" applyNumberFormat="1" applyFont="1" applyFill="1"/>
    <xf numFmtId="0" fontId="8" fillId="14" borderId="0" xfId="0" applyFont="1" applyFill="1" applyAlignment="1">
      <alignment horizontal="center"/>
    </xf>
    <xf numFmtId="167" fontId="44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right"/>
    </xf>
    <xf numFmtId="4" fontId="22" fillId="14" borderId="0" xfId="0" applyNumberFormat="1" applyFont="1" applyFill="1"/>
    <xf numFmtId="0" fontId="44" fillId="14" borderId="0" xfId="0" applyFont="1" applyFill="1"/>
    <xf numFmtId="0" fontId="20" fillId="0" borderId="12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/>
    </xf>
    <xf numFmtId="0" fontId="19" fillId="0" borderId="15" xfId="0" applyFont="1" applyFill="1" applyBorder="1" applyAlignment="1"/>
    <xf numFmtId="0" fontId="2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44" fontId="12" fillId="0" borderId="12" xfId="1" applyFont="1" applyFill="1" applyBorder="1"/>
    <xf numFmtId="164" fontId="1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24" fillId="0" borderId="15" xfId="1" applyFont="1" applyFill="1" applyBorder="1" applyAlignment="1">
      <alignment horizontal="center"/>
    </xf>
    <xf numFmtId="44" fontId="25" fillId="0" borderId="15" xfId="1" applyFont="1" applyFill="1" applyBorder="1" applyAlignment="1">
      <alignment horizontal="center"/>
    </xf>
    <xf numFmtId="44" fontId="28" fillId="0" borderId="15" xfId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164" fontId="12" fillId="0" borderId="15" xfId="0" applyNumberFormat="1" applyFont="1" applyFill="1" applyBorder="1" applyAlignment="1">
      <alignment vertical="center" wrapText="1"/>
    </xf>
    <xf numFmtId="164" fontId="12" fillId="0" borderId="15" xfId="0" applyNumberFormat="1" applyFont="1" applyFill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44" fontId="34" fillId="0" borderId="15" xfId="1" applyFont="1" applyFill="1" applyBorder="1"/>
    <xf numFmtId="164" fontId="32" fillId="0" borderId="15" xfId="0" applyNumberFormat="1" applyFont="1" applyBorder="1" applyAlignment="1">
      <alignment horizontal="center"/>
    </xf>
    <xf numFmtId="164" fontId="7" fillId="12" borderId="15" xfId="0" applyNumberFormat="1" applyFont="1" applyFill="1" applyBorder="1" applyAlignment="1">
      <alignment horizontal="center" vertical="center"/>
    </xf>
    <xf numFmtId="44" fontId="8" fillId="12" borderId="15" xfId="1" applyFont="1" applyFill="1" applyBorder="1"/>
    <xf numFmtId="164" fontId="7" fillId="12" borderId="15" xfId="0" applyNumberFormat="1" applyFont="1" applyFill="1" applyBorder="1" applyAlignment="1">
      <alignment horizontal="center"/>
    </xf>
    <xf numFmtId="44" fontId="7" fillId="12" borderId="15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/>
    <xf numFmtId="164" fontId="7" fillId="0" borderId="12" xfId="0" applyNumberFormat="1" applyFont="1" applyFill="1" applyBorder="1" applyAlignment="1">
      <alignment horizontal="center" vertical="center"/>
    </xf>
    <xf numFmtId="44" fontId="7" fillId="0" borderId="12" xfId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 wrapText="1"/>
    </xf>
    <xf numFmtId="44" fontId="18" fillId="0" borderId="12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/>
    </xf>
    <xf numFmtId="165" fontId="11" fillId="0" borderId="12" xfId="0" applyNumberFormat="1" applyFont="1" applyFill="1" applyBorder="1"/>
    <xf numFmtId="0" fontId="2" fillId="0" borderId="12" xfId="0" applyFont="1" applyFill="1" applyBorder="1" applyAlignment="1">
      <alignment horizontal="center" vertical="center" wrapText="1"/>
    </xf>
    <xf numFmtId="44" fontId="7" fillId="0" borderId="12" xfId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wrapText="1"/>
    </xf>
    <xf numFmtId="44" fontId="13" fillId="0" borderId="74" xfId="1" applyFont="1" applyBorder="1" applyAlignment="1">
      <alignment horizontal="center" wrapText="1"/>
    </xf>
    <xf numFmtId="1" fontId="14" fillId="0" borderId="74" xfId="1" applyNumberFormat="1" applyFont="1" applyBorder="1" applyAlignment="1">
      <alignment horizontal="center" wrapText="1"/>
    </xf>
    <xf numFmtId="166" fontId="12" fillId="0" borderId="74" xfId="0" applyNumberFormat="1" applyFont="1" applyBorder="1" applyAlignment="1">
      <alignment horizontal="center"/>
    </xf>
    <xf numFmtId="2" fontId="8" fillId="7" borderId="76" xfId="0" applyNumberFormat="1" applyFont="1" applyFill="1" applyBorder="1" applyAlignment="1">
      <alignment horizontal="center"/>
    </xf>
    <xf numFmtId="165" fontId="8" fillId="0" borderId="74" xfId="0" applyNumberFormat="1" applyFont="1" applyBorder="1" applyAlignment="1">
      <alignment horizontal="center"/>
    </xf>
    <xf numFmtId="165" fontId="15" fillId="8" borderId="77" xfId="0" applyNumberFormat="1" applyFont="1" applyFill="1" applyBorder="1" applyAlignment="1">
      <alignment wrapText="1"/>
    </xf>
    <xf numFmtId="165" fontId="8" fillId="8" borderId="77" xfId="0" applyNumberFormat="1" applyFont="1" applyFill="1" applyBorder="1" applyAlignment="1">
      <alignment wrapText="1"/>
    </xf>
    <xf numFmtId="0" fontId="12" fillId="0" borderId="74" xfId="0" applyFont="1" applyBorder="1" applyAlignment="1">
      <alignment horizontal="center" vertical="center"/>
    </xf>
    <xf numFmtId="44" fontId="7" fillId="9" borderId="7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wrapText="1"/>
    </xf>
    <xf numFmtId="44" fontId="18" fillId="11" borderId="78" xfId="1" applyFont="1" applyFill="1" applyBorder="1" applyAlignment="1">
      <alignment horizontal="center" vertical="center" wrapText="1"/>
    </xf>
    <xf numFmtId="44" fontId="8" fillId="11" borderId="79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/>
    <xf numFmtId="0" fontId="2" fillId="0" borderId="80" xfId="0" applyFont="1" applyBorder="1" applyAlignment="1">
      <alignment horizontal="center" vertical="center" wrapText="1"/>
    </xf>
    <xf numFmtId="44" fontId="7" fillId="0" borderId="81" xfId="1" applyFont="1" applyFill="1" applyBorder="1" applyAlignment="1">
      <alignment horizontal="center" vertical="center"/>
    </xf>
    <xf numFmtId="0" fontId="86" fillId="0" borderId="74" xfId="0" applyFont="1" applyBorder="1" applyAlignment="1">
      <alignment horizontal="center" wrapText="1"/>
    </xf>
    <xf numFmtId="0" fontId="87" fillId="0" borderId="31" xfId="0" applyFont="1" applyFill="1" applyBorder="1" applyAlignment="1">
      <alignment horizontal="center" vertical="center" wrapText="1"/>
    </xf>
    <xf numFmtId="0" fontId="88" fillId="0" borderId="22" xfId="0" applyFont="1" applyFill="1" applyBorder="1" applyAlignment="1">
      <alignment horizontal="center" vertical="center" wrapText="1"/>
    </xf>
    <xf numFmtId="0" fontId="87" fillId="0" borderId="23" xfId="0" applyFont="1" applyFill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87" fillId="0" borderId="15" xfId="0" applyFont="1" applyBorder="1" applyAlignment="1">
      <alignment horizontal="center" vertical="center" wrapText="1"/>
    </xf>
    <xf numFmtId="0" fontId="87" fillId="12" borderId="18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/>
    </xf>
    <xf numFmtId="0" fontId="88" fillId="0" borderId="15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/>
    </xf>
    <xf numFmtId="0" fontId="88" fillId="0" borderId="15" xfId="0" applyFont="1" applyFill="1" applyBorder="1" applyAlignment="1">
      <alignment horizontal="center" wrapText="1"/>
    </xf>
    <xf numFmtId="0" fontId="89" fillId="0" borderId="15" xfId="0" applyFont="1" applyFill="1" applyBorder="1" applyAlignment="1">
      <alignment horizontal="center" vertical="center" wrapText="1"/>
    </xf>
    <xf numFmtId="0" fontId="86" fillId="0" borderId="15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 wrapText="1"/>
    </xf>
    <xf numFmtId="4" fontId="8" fillId="7" borderId="13" xfId="0" applyNumberFormat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166" fontId="19" fillId="0" borderId="12" xfId="0" applyNumberFormat="1" applyFont="1" applyFill="1" applyBorder="1" applyAlignment="1"/>
    <xf numFmtId="166" fontId="19" fillId="0" borderId="15" xfId="0" applyNumberFormat="1" applyFont="1" applyFill="1" applyBorder="1" applyAlignment="1">
      <alignment horizontal="center"/>
    </xf>
    <xf numFmtId="166" fontId="19" fillId="0" borderId="15" xfId="0" applyNumberFormat="1" applyFont="1" applyFill="1" applyBorder="1" applyAlignment="1"/>
    <xf numFmtId="166" fontId="35" fillId="0" borderId="15" xfId="0" applyNumberFormat="1" applyFont="1" applyFill="1" applyBorder="1" applyAlignment="1">
      <alignment vertical="center"/>
    </xf>
    <xf numFmtId="0" fontId="86" fillId="0" borderId="12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/>
    </xf>
    <xf numFmtId="0" fontId="89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vertical="center"/>
    </xf>
    <xf numFmtId="4" fontId="12" fillId="0" borderId="74" xfId="0" applyNumberFormat="1" applyFont="1" applyBorder="1" applyAlignment="1">
      <alignment horizontal="center"/>
    </xf>
    <xf numFmtId="4" fontId="19" fillId="0" borderId="12" xfId="0" applyNumberFormat="1" applyFont="1" applyFill="1" applyBorder="1" applyAlignment="1"/>
    <xf numFmtId="4" fontId="19" fillId="0" borderId="15" xfId="0" applyNumberFormat="1" applyFont="1" applyFill="1" applyBorder="1" applyAlignment="1">
      <alignment horizontal="center"/>
    </xf>
    <xf numFmtId="4" fontId="19" fillId="0" borderId="15" xfId="0" applyNumberFormat="1" applyFont="1" applyFill="1" applyBorder="1" applyAlignment="1"/>
    <xf numFmtId="4" fontId="2" fillId="0" borderId="13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12" borderId="25" xfId="0" applyNumberFormat="1" applyFont="1" applyFill="1" applyBorder="1" applyAlignment="1">
      <alignment horizontal="right" wrapText="1"/>
    </xf>
    <xf numFmtId="4" fontId="35" fillId="0" borderId="15" xfId="0" applyNumberFormat="1" applyFont="1" applyFill="1" applyBorder="1" applyAlignment="1">
      <alignment vertical="center"/>
    </xf>
    <xf numFmtId="4" fontId="29" fillId="0" borderId="15" xfId="0" applyNumberFormat="1" applyFont="1" applyFill="1" applyBorder="1" applyAlignment="1"/>
    <xf numFmtId="4" fontId="2" fillId="0" borderId="15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8" fillId="0" borderId="75" xfId="0" applyNumberFormat="1" applyFont="1" applyBorder="1" applyAlignment="1">
      <alignment horizontal="right"/>
    </xf>
    <xf numFmtId="4" fontId="2" fillId="0" borderId="12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/>
    <xf numFmtId="4" fontId="37" fillId="0" borderId="36" xfId="0" applyNumberFormat="1" applyFont="1" applyBorder="1" applyAlignment="1">
      <alignment horizontal="right" vertical="center"/>
    </xf>
    <xf numFmtId="4" fontId="37" fillId="0" borderId="37" xfId="0" applyNumberFormat="1" applyFont="1" applyBorder="1" applyAlignment="1">
      <alignment horizontal="right" vertical="center"/>
    </xf>
    <xf numFmtId="4" fontId="11" fillId="0" borderId="40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46" fillId="11" borderId="46" xfId="0" applyNumberFormat="1" applyFont="1" applyFill="1" applyBorder="1" applyAlignment="1">
      <alignment horizontal="right" vertical="center"/>
    </xf>
    <xf numFmtId="4" fontId="46" fillId="11" borderId="49" xfId="0" applyNumberFormat="1" applyFont="1" applyFill="1" applyBorder="1" applyAlignment="1">
      <alignment horizontal="right" vertical="center"/>
    </xf>
    <xf numFmtId="0" fontId="37" fillId="18" borderId="0" xfId="0" applyFont="1" applyFill="1" applyAlignment="1">
      <alignment horizontal="center"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/>
    </xf>
    <xf numFmtId="0" fontId="35" fillId="0" borderId="27" xfId="0" applyFont="1" applyFill="1" applyBorder="1" applyAlignment="1">
      <alignment vertical="center"/>
    </xf>
    <xf numFmtId="0" fontId="89" fillId="0" borderId="18" xfId="0" applyFont="1" applyFill="1" applyBorder="1" applyAlignment="1">
      <alignment horizontal="center" vertical="center"/>
    </xf>
    <xf numFmtId="0" fontId="89" fillId="0" borderId="12" xfId="0" applyFont="1" applyFill="1" applyBorder="1" applyAlignment="1">
      <alignment horizontal="center" vertical="center"/>
    </xf>
    <xf numFmtId="4" fontId="35" fillId="0" borderId="21" xfId="0" applyNumberFormat="1" applyFont="1" applyFill="1" applyBorder="1" applyAlignment="1">
      <alignment vertical="center"/>
    </xf>
    <xf numFmtId="166" fontId="35" fillId="0" borderId="18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/>
    </xf>
    <xf numFmtId="0" fontId="9" fillId="0" borderId="12" xfId="0" applyFont="1" applyFill="1" applyBorder="1" applyAlignment="1"/>
    <xf numFmtId="0" fontId="9" fillId="0" borderId="15" xfId="0" applyFont="1" applyFill="1" applyBorder="1" applyAlignment="1">
      <alignment horizontal="left"/>
    </xf>
    <xf numFmtId="0" fontId="9" fillId="0" borderId="15" xfId="0" applyFont="1" applyFill="1" applyBorder="1" applyAlignment="1"/>
    <xf numFmtId="0" fontId="20" fillId="0" borderId="15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26" fillId="0" borderId="0" xfId="0" applyFont="1"/>
    <xf numFmtId="0" fontId="61" fillId="0" borderId="0" xfId="0" applyFont="1"/>
    <xf numFmtId="0" fontId="0" fillId="0" borderId="0" xfId="0" applyFont="1"/>
    <xf numFmtId="0" fontId="91" fillId="14" borderId="74" xfId="0" applyFont="1" applyFill="1" applyBorder="1" applyAlignment="1">
      <alignment horizontal="center"/>
    </xf>
    <xf numFmtId="0" fontId="37" fillId="8" borderId="0" xfId="0" applyFont="1" applyFill="1" applyAlignment="1">
      <alignment horizontal="center"/>
    </xf>
    <xf numFmtId="0" fontId="9" fillId="0" borderId="21" xfId="0" applyFont="1" applyFill="1" applyBorder="1" applyAlignment="1"/>
    <xf numFmtId="0" fontId="19" fillId="0" borderId="17" xfId="0" applyFont="1" applyFill="1" applyBorder="1" applyAlignment="1"/>
    <xf numFmtId="0" fontId="86" fillId="0" borderId="18" xfId="0" applyFont="1" applyFill="1" applyBorder="1" applyAlignment="1">
      <alignment horizontal="center"/>
    </xf>
    <xf numFmtId="0" fontId="9" fillId="0" borderId="14" xfId="0" applyFont="1" applyFill="1" applyBorder="1" applyAlignment="1"/>
    <xf numFmtId="0" fontId="19" fillId="0" borderId="13" xfId="0" applyFont="1" applyFill="1" applyBorder="1" applyAlignment="1"/>
    <xf numFmtId="0" fontId="86" fillId="0" borderId="16" xfId="0" applyFont="1" applyFill="1" applyBorder="1" applyAlignment="1">
      <alignment horizontal="center"/>
    </xf>
    <xf numFmtId="0" fontId="86" fillId="0" borderId="12" xfId="0" applyFont="1" applyFill="1" applyBorder="1" applyAlignment="1">
      <alignment horizontal="center" wrapText="1"/>
    </xf>
    <xf numFmtId="166" fontId="19" fillId="0" borderId="12" xfId="0" applyNumberFormat="1" applyFont="1" applyFill="1" applyBorder="1" applyAlignment="1">
      <alignment horizontal="center"/>
    </xf>
    <xf numFmtId="4" fontId="19" fillId="0" borderId="14" xfId="0" applyNumberFormat="1" applyFont="1" applyFill="1" applyBorder="1" applyAlignment="1"/>
    <xf numFmtId="166" fontId="19" fillId="0" borderId="16" xfId="0" applyNumberFormat="1" applyFont="1" applyFill="1" applyBorder="1" applyAlignment="1"/>
    <xf numFmtId="0" fontId="39" fillId="17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1" fontId="58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1" fontId="92" fillId="0" borderId="74" xfId="0" applyNumberFormat="1" applyFont="1" applyBorder="1" applyAlignment="1">
      <alignment horizontal="center" vertical="center" wrapText="1"/>
    </xf>
    <xf numFmtId="0" fontId="37" fillId="18" borderId="0" xfId="0" applyFont="1" applyFill="1" applyAlignment="1">
      <alignment horizontal="center"/>
    </xf>
    <xf numFmtId="0" fontId="12" fillId="0" borderId="10" xfId="0" applyFont="1" applyBorder="1" applyAlignment="1">
      <alignment horizontal="left" wrapText="1"/>
    </xf>
    <xf numFmtId="0" fontId="24" fillId="0" borderId="59" xfId="0" applyFont="1" applyBorder="1" applyAlignment="1">
      <alignment horizontal="center" wrapText="1"/>
    </xf>
    <xf numFmtId="0" fontId="12" fillId="0" borderId="60" xfId="0" applyFont="1" applyBorder="1" applyAlignment="1">
      <alignment horizontal="left" wrapText="1"/>
    </xf>
    <xf numFmtId="165" fontId="12" fillId="0" borderId="15" xfId="0" applyNumberFormat="1" applyFont="1" applyFill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1" fontId="12" fillId="0" borderId="15" xfId="0" applyNumberFormat="1" applyFont="1" applyBorder="1" applyAlignment="1">
      <alignment vertical="center" wrapText="1"/>
    </xf>
    <xf numFmtId="0" fontId="24" fillId="0" borderId="35" xfId="0" applyFont="1" applyBorder="1" applyAlignment="1">
      <alignment horizontal="left" wrapText="1"/>
    </xf>
    <xf numFmtId="0" fontId="93" fillId="0" borderId="0" xfId="0" applyFont="1" applyAlignment="1">
      <alignment horizontal="left" wrapText="1"/>
    </xf>
    <xf numFmtId="0" fontId="93" fillId="0" borderId="35" xfId="0" applyFont="1" applyBorder="1" applyAlignment="1">
      <alignment horizontal="left" wrapText="1"/>
    </xf>
    <xf numFmtId="0" fontId="12" fillId="0" borderId="35" xfId="0" applyFont="1" applyBorder="1" applyAlignment="1">
      <alignment horizontal="left" wrapText="1"/>
    </xf>
    <xf numFmtId="0" fontId="12" fillId="0" borderId="65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95" fillId="0" borderId="15" xfId="0" applyFont="1" applyFill="1" applyBorder="1" applyAlignment="1">
      <alignment horizontal="left" wrapText="1"/>
    </xf>
    <xf numFmtId="44" fontId="95" fillId="0" borderId="15" xfId="1" applyFont="1" applyFill="1" applyBorder="1" applyAlignment="1">
      <alignment horizontal="right"/>
    </xf>
    <xf numFmtId="0" fontId="7" fillId="8" borderId="0" xfId="0" applyFont="1" applyFill="1" applyAlignment="1">
      <alignment horizontal="center"/>
    </xf>
    <xf numFmtId="0" fontId="96" fillId="0" borderId="0" xfId="0" applyFont="1" applyAlignment="1">
      <alignment horizontal="center"/>
    </xf>
    <xf numFmtId="0" fontId="8" fillId="18" borderId="0" xfId="0" applyFont="1" applyFill="1" applyAlignment="1">
      <alignment horizontal="center"/>
    </xf>
    <xf numFmtId="4" fontId="35" fillId="0" borderId="17" xfId="0" applyNumberFormat="1" applyFont="1" applyFill="1" applyBorder="1" applyAlignment="1">
      <alignment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vertical="center" wrapText="1"/>
    </xf>
    <xf numFmtId="164" fontId="7" fillId="0" borderId="12" xfId="0" applyNumberFormat="1" applyFont="1" applyFill="1" applyBorder="1" applyAlignment="1">
      <alignment vertical="center" wrapText="1"/>
    </xf>
    <xf numFmtId="2" fontId="7" fillId="4" borderId="0" xfId="0" applyNumberFormat="1" applyFont="1" applyFill="1"/>
    <xf numFmtId="164" fontId="7" fillId="0" borderId="21" xfId="0" applyNumberFormat="1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44" fontId="7" fillId="0" borderId="18" xfId="1" applyFont="1" applyFill="1" applyBorder="1" applyAlignment="1">
      <alignment vertical="center"/>
    </xf>
    <xf numFmtId="44" fontId="7" fillId="0" borderId="12" xfId="1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4" fontId="8" fillId="0" borderId="17" xfId="1" applyFont="1" applyFill="1" applyBorder="1" applyAlignment="1">
      <alignment horizontal="center" vertical="center" wrapText="1"/>
    </xf>
    <xf numFmtId="44" fontId="2" fillId="0" borderId="18" xfId="1" applyFont="1" applyFill="1" applyBorder="1"/>
    <xf numFmtId="164" fontId="7" fillId="0" borderId="18" xfId="0" applyNumberFormat="1" applyFont="1" applyBorder="1" applyAlignment="1">
      <alignment horizontal="center"/>
    </xf>
    <xf numFmtId="44" fontId="2" fillId="0" borderId="12" xfId="1" applyFont="1" applyFill="1" applyBorder="1"/>
    <xf numFmtId="164" fontId="7" fillId="0" borderId="12" xfId="0" applyNumberFormat="1" applyFont="1" applyBorder="1" applyAlignment="1">
      <alignment horizontal="center"/>
    </xf>
    <xf numFmtId="0" fontId="94" fillId="0" borderId="3" xfId="0" applyFont="1" applyBorder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44" fontId="7" fillId="4" borderId="0" xfId="1" applyFont="1" applyFill="1"/>
    <xf numFmtId="0" fontId="65" fillId="0" borderId="0" xfId="0" applyFont="1" applyFill="1" applyAlignment="1">
      <alignment horizontal="center" vertical="center" wrapText="1"/>
    </xf>
    <xf numFmtId="0" fontId="8" fillId="0" borderId="78" xfId="0" applyFont="1" applyBorder="1"/>
    <xf numFmtId="168" fontId="53" fillId="15" borderId="0" xfId="0" applyNumberFormat="1" applyFont="1" applyFill="1"/>
    <xf numFmtId="168" fontId="2" fillId="0" borderId="8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right"/>
    </xf>
    <xf numFmtId="168" fontId="12" fillId="0" borderId="15" xfId="0" applyNumberFormat="1" applyFont="1" applyBorder="1" applyAlignment="1">
      <alignment horizontal="right"/>
    </xf>
    <xf numFmtId="168" fontId="12" fillId="0" borderId="15" xfId="0" applyNumberFormat="1" applyFont="1" applyFill="1" applyBorder="1" applyAlignment="1">
      <alignment horizontal="right"/>
    </xf>
    <xf numFmtId="168" fontId="2" fillId="0" borderId="15" xfId="0" applyNumberFormat="1" applyFont="1" applyFill="1" applyBorder="1" applyAlignment="1">
      <alignment horizontal="right"/>
    </xf>
    <xf numFmtId="168" fontId="71" fillId="0" borderId="53" xfId="0" applyNumberFormat="1" applyFont="1" applyBorder="1" applyAlignment="1">
      <alignment horizontal="right"/>
    </xf>
    <xf numFmtId="168" fontId="2" fillId="0" borderId="0" xfId="0" applyNumberFormat="1" applyFont="1"/>
    <xf numFmtId="168" fontId="26" fillId="0" borderId="8" xfId="0" applyNumberFormat="1" applyFont="1" applyBorder="1" applyAlignment="1">
      <alignment horizontal="center"/>
    </xf>
    <xf numFmtId="168" fontId="58" fillId="0" borderId="0" xfId="0" applyNumberFormat="1" applyFont="1"/>
    <xf numFmtId="168" fontId="60" fillId="0" borderId="15" xfId="0" applyNumberFormat="1" applyFont="1" applyBorder="1"/>
    <xf numFmtId="168" fontId="60" fillId="0" borderId="15" xfId="0" applyNumberFormat="1" applyFont="1" applyFill="1" applyBorder="1"/>
    <xf numFmtId="168" fontId="58" fillId="0" borderId="15" xfId="0" applyNumberFormat="1" applyFont="1" applyFill="1" applyBorder="1"/>
    <xf numFmtId="168" fontId="72" fillId="0" borderId="7" xfId="0" applyNumberFormat="1" applyFont="1" applyBorder="1"/>
    <xf numFmtId="0" fontId="63" fillId="0" borderId="0" xfId="0" applyFont="1" applyFill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35" fillId="2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horizontal="center" wrapText="1"/>
    </xf>
    <xf numFmtId="44" fontId="18" fillId="0" borderId="15" xfId="1" applyFont="1" applyFill="1" applyBorder="1" applyAlignment="1">
      <alignment horizontal="center" vertical="center" wrapText="1"/>
    </xf>
    <xf numFmtId="164" fontId="7" fillId="0" borderId="15" xfId="0" applyNumberFormat="1" applyFont="1" applyBorder="1" applyAlignment="1">
      <alignment vertical="center"/>
    </xf>
    <xf numFmtId="0" fontId="35" fillId="0" borderId="15" xfId="0" applyFont="1" applyFill="1" applyBorder="1" applyAlignment="1">
      <alignment horizontal="center" vertical="center" wrapText="1"/>
    </xf>
    <xf numFmtId="165" fontId="36" fillId="0" borderId="15" xfId="0" applyNumberFormat="1" applyFont="1" applyFill="1" applyBorder="1" applyAlignment="1">
      <alignment vertical="center" wrapText="1"/>
    </xf>
    <xf numFmtId="0" fontId="40" fillId="0" borderId="15" xfId="0" applyFont="1" applyFill="1" applyBorder="1" applyAlignment="1">
      <alignment horizontal="left" wrapText="1"/>
    </xf>
    <xf numFmtId="1" fontId="37" fillId="0" borderId="15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center" wrapText="1"/>
    </xf>
    <xf numFmtId="44" fontId="7" fillId="0" borderId="15" xfId="1" applyFont="1" applyFill="1" applyBorder="1" applyAlignment="1">
      <alignment horizontal="right"/>
    </xf>
    <xf numFmtId="0" fontId="7" fillId="0" borderId="15" xfId="0" applyFont="1" applyFill="1" applyBorder="1" applyAlignment="1">
      <alignment wrapText="1"/>
    </xf>
    <xf numFmtId="1" fontId="37" fillId="0" borderId="15" xfId="0" applyNumberFormat="1" applyFont="1" applyFill="1" applyBorder="1" applyAlignment="1">
      <alignment horizontal="center" vertical="center" wrapText="1"/>
    </xf>
    <xf numFmtId="166" fontId="40" fillId="0" borderId="15" xfId="0" applyNumberFormat="1" applyFont="1" applyFill="1" applyBorder="1" applyAlignment="1">
      <alignment horizontal="left" wrapText="1"/>
    </xf>
    <xf numFmtId="0" fontId="39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/>
    </xf>
    <xf numFmtId="2" fontId="8" fillId="0" borderId="0" xfId="0" applyNumberFormat="1" applyFont="1" applyFill="1"/>
    <xf numFmtId="0" fontId="9" fillId="0" borderId="17" xfId="0" applyFont="1" applyFill="1" applyBorder="1" applyAlignment="1"/>
    <xf numFmtId="4" fontId="9" fillId="0" borderId="15" xfId="0" applyNumberFormat="1" applyFont="1" applyFill="1" applyBorder="1" applyAlignment="1"/>
    <xf numFmtId="0" fontId="84" fillId="0" borderId="34" xfId="0" applyFont="1" applyBorder="1" applyAlignment="1">
      <alignment horizontal="center"/>
    </xf>
    <xf numFmtId="165" fontId="36" fillId="14" borderId="15" xfId="0" applyNumberFormat="1" applyFont="1" applyFill="1" applyBorder="1" applyAlignment="1">
      <alignment vertical="center"/>
    </xf>
    <xf numFmtId="165" fontId="37" fillId="14" borderId="15" xfId="0" applyNumberFormat="1" applyFont="1" applyFill="1" applyBorder="1" applyAlignment="1">
      <alignment horizontal="center" vertical="center"/>
    </xf>
    <xf numFmtId="164" fontId="12" fillId="0" borderId="74" xfId="0" applyNumberFormat="1" applyFont="1" applyBorder="1" applyAlignment="1">
      <alignment horizontal="center"/>
    </xf>
    <xf numFmtId="164" fontId="9" fillId="0" borderId="15" xfId="0" applyNumberFormat="1" applyFont="1" applyFill="1" applyBorder="1" applyAlignment="1"/>
    <xf numFmtId="164" fontId="19" fillId="0" borderId="15" xfId="0" applyNumberFormat="1" applyFont="1" applyFill="1" applyBorder="1" applyAlignment="1"/>
    <xf numFmtId="164" fontId="12" fillId="0" borderId="12" xfId="0" applyNumberFormat="1" applyFont="1" applyFill="1" applyBorder="1" applyAlignment="1">
      <alignment horizontal="center" vertical="center"/>
    </xf>
    <xf numFmtId="164" fontId="12" fillId="0" borderId="15" xfId="0" applyNumberFormat="1" applyFont="1" applyFill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/>
    </xf>
    <xf numFmtId="164" fontId="12" fillId="12" borderId="18" xfId="0" applyNumberFormat="1" applyFont="1" applyFill="1" applyBorder="1" applyAlignment="1">
      <alignment horizontal="center" vertical="center"/>
    </xf>
    <xf numFmtId="164" fontId="35" fillId="0" borderId="15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 wrapText="1"/>
    </xf>
    <xf numFmtId="164" fontId="2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9" fillId="0" borderId="12" xfId="0" applyNumberFormat="1" applyFont="1" applyFill="1" applyBorder="1" applyAlignment="1"/>
    <xf numFmtId="164" fontId="9" fillId="0" borderId="12" xfId="0" applyNumberFormat="1" applyFont="1" applyFill="1" applyBorder="1" applyAlignment="1"/>
    <xf numFmtId="0" fontId="97" fillId="2" borderId="0" xfId="0" applyFont="1" applyFill="1"/>
    <xf numFmtId="4" fontId="98" fillId="0" borderId="14" xfId="0" applyNumberFormat="1" applyFont="1" applyBorder="1"/>
    <xf numFmtId="4" fontId="98" fillId="0" borderId="26" xfId="0" applyNumberFormat="1" applyFont="1" applyBorder="1"/>
    <xf numFmtId="4" fontId="98" fillId="14" borderId="26" xfId="0" applyNumberFormat="1" applyFont="1" applyFill="1" applyBorder="1" applyAlignment="1">
      <alignment horizontal="right" vertical="center"/>
    </xf>
    <xf numFmtId="4" fontId="98" fillId="0" borderId="26" xfId="0" applyNumberFormat="1" applyFont="1" applyFill="1" applyBorder="1"/>
    <xf numFmtId="4" fontId="98" fillId="0" borderId="0" xfId="0" applyNumberFormat="1" applyFont="1" applyFill="1" applyBorder="1"/>
    <xf numFmtId="4" fontId="98" fillId="0" borderId="30" xfId="0" applyNumberFormat="1" applyFont="1" applyFill="1" applyBorder="1"/>
    <xf numFmtId="4" fontId="98" fillId="0" borderId="42" xfId="0" applyNumberFormat="1" applyFont="1" applyBorder="1"/>
    <xf numFmtId="4" fontId="98" fillId="0" borderId="0" xfId="0" applyNumberFormat="1" applyFont="1"/>
    <xf numFmtId="4" fontId="98" fillId="11" borderId="47" xfId="0" applyNumberFormat="1" applyFont="1" applyFill="1" applyBorder="1" applyAlignment="1">
      <alignment vertical="center"/>
    </xf>
    <xf numFmtId="4" fontId="98" fillId="11" borderId="34" xfId="0" applyNumberFormat="1" applyFont="1" applyFill="1" applyBorder="1" applyAlignment="1">
      <alignment vertical="center"/>
    </xf>
    <xf numFmtId="0" fontId="97" fillId="0" borderId="0" xfId="0" applyFont="1"/>
    <xf numFmtId="0" fontId="35" fillId="0" borderId="74" xfId="0" applyFont="1" applyBorder="1" applyAlignment="1">
      <alignment horizontal="center" vertical="center"/>
    </xf>
    <xf numFmtId="0" fontId="99" fillId="0" borderId="0" xfId="0" applyFont="1" applyAlignment="1">
      <alignment horizontal="center"/>
    </xf>
    <xf numFmtId="0" fontId="100" fillId="0" borderId="12" xfId="0" applyFont="1" applyFill="1" applyBorder="1" applyAlignment="1">
      <alignment horizontal="center"/>
    </xf>
    <xf numFmtId="0" fontId="100" fillId="0" borderId="15" xfId="0" applyFont="1" applyFill="1" applyBorder="1" applyAlignment="1">
      <alignment horizontal="center"/>
    </xf>
    <xf numFmtId="0" fontId="35" fillId="0" borderId="18" xfId="0" applyFont="1" applyFill="1" applyBorder="1" applyAlignment="1">
      <alignment vertical="center"/>
    </xf>
    <xf numFmtId="164" fontId="35" fillId="0" borderId="18" xfId="0" applyNumberFormat="1" applyFont="1" applyFill="1" applyBorder="1" applyAlignment="1">
      <alignment vertical="center"/>
    </xf>
    <xf numFmtId="164" fontId="35" fillId="0" borderId="12" xfId="0" applyNumberFormat="1" applyFont="1" applyFill="1" applyBorder="1" applyAlignment="1">
      <alignment vertical="center"/>
    </xf>
    <xf numFmtId="0" fontId="35" fillId="14" borderId="18" xfId="0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vertical="center" wrapText="1"/>
    </xf>
    <xf numFmtId="4" fontId="98" fillId="0" borderId="26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4" fontId="7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44" fontId="7" fillId="0" borderId="0" xfId="1" applyFont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16" borderId="67" xfId="0" applyFont="1" applyFill="1" applyBorder="1" applyAlignment="1">
      <alignment horizontal="center" vertical="center"/>
    </xf>
    <xf numFmtId="16" fontId="40" fillId="0" borderId="68" xfId="0" applyNumberFormat="1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4" fontId="22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8" fillId="0" borderId="0" xfId="1" applyFont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35" fillId="0" borderId="21" xfId="0" applyFont="1" applyFill="1" applyBorder="1" applyAlignment="1">
      <alignment vertical="center"/>
    </xf>
    <xf numFmtId="0" fontId="89" fillId="0" borderId="16" xfId="0" applyFont="1" applyFill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vertical="center"/>
    </xf>
    <xf numFmtId="2" fontId="7" fillId="0" borderId="39" xfId="0" applyNumberFormat="1" applyFont="1" applyBorder="1" applyAlignment="1">
      <alignment horizontal="right"/>
    </xf>
    <xf numFmtId="2" fontId="7" fillId="0" borderId="0" xfId="0" applyNumberFormat="1" applyFont="1" applyAlignment="1">
      <alignment horizontal="right"/>
    </xf>
    <xf numFmtId="4" fontId="7" fillId="0" borderId="34" xfId="0" applyNumberFormat="1" applyFont="1" applyBorder="1" applyAlignment="1">
      <alignment horizontal="right"/>
    </xf>
    <xf numFmtId="44" fontId="101" fillId="0" borderId="15" xfId="1" applyFont="1" applyFill="1" applyBorder="1" applyAlignment="1">
      <alignment horizontal="right"/>
    </xf>
    <xf numFmtId="0" fontId="101" fillId="0" borderId="15" xfId="0" applyFont="1" applyFill="1" applyBorder="1" applyAlignment="1">
      <alignment horizontal="left" wrapText="1"/>
    </xf>
    <xf numFmtId="0" fontId="91" fillId="0" borderId="55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44" fontId="25" fillId="14" borderId="0" xfId="1" applyFont="1" applyFill="1" applyAlignment="1">
      <alignment horizontal="center" vertical="center" wrapText="1"/>
    </xf>
    <xf numFmtId="44" fontId="25" fillId="14" borderId="57" xfId="1" applyFont="1" applyFill="1" applyBorder="1" applyAlignment="1">
      <alignment horizontal="center"/>
    </xf>
    <xf numFmtId="0" fontId="8" fillId="0" borderId="15" xfId="0" applyFont="1" applyFill="1" applyBorder="1" applyAlignment="1">
      <alignment horizontal="left" wrapText="1"/>
    </xf>
    <xf numFmtId="0" fontId="7" fillId="18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right"/>
    </xf>
    <xf numFmtId="4" fontId="8" fillId="0" borderId="34" xfId="0" applyNumberFormat="1" applyFont="1" applyFill="1" applyBorder="1" applyAlignment="1">
      <alignment horizontal="right"/>
    </xf>
    <xf numFmtId="15" fontId="8" fillId="0" borderId="34" xfId="0" applyNumberFormat="1" applyFont="1" applyFill="1" applyBorder="1"/>
    <xf numFmtId="0" fontId="8" fillId="0" borderId="34" xfId="0" applyFont="1" applyFill="1" applyBorder="1" applyAlignment="1">
      <alignment horizontal="right"/>
    </xf>
    <xf numFmtId="167" fontId="8" fillId="0" borderId="34" xfId="0" applyNumberFormat="1" applyFont="1" applyFill="1" applyBorder="1"/>
    <xf numFmtId="0" fontId="63" fillId="21" borderId="0" xfId="0" applyFont="1" applyFill="1" applyAlignment="1">
      <alignment horizontal="center" wrapText="1"/>
    </xf>
    <xf numFmtId="0" fontId="19" fillId="14" borderId="15" xfId="0" applyFont="1" applyFill="1" applyBorder="1" applyAlignment="1">
      <alignment horizontal="center" vertical="center"/>
    </xf>
    <xf numFmtId="0" fontId="103" fillId="14" borderId="15" xfId="0" applyFont="1" applyFill="1" applyBorder="1" applyAlignment="1">
      <alignment horizontal="center" vertical="center"/>
    </xf>
    <xf numFmtId="164" fontId="24" fillId="14" borderId="15" xfId="0" applyNumberFormat="1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03" fillId="14" borderId="15" xfId="0" applyFont="1" applyFill="1" applyBorder="1" applyAlignment="1">
      <alignment horizontal="center" vertical="center" wrapText="1"/>
    </xf>
    <xf numFmtId="164" fontId="24" fillId="14" borderId="21" xfId="0" applyNumberFormat="1" applyFont="1" applyFill="1" applyBorder="1" applyAlignment="1">
      <alignment horizontal="center" vertical="center" wrapText="1"/>
    </xf>
    <xf numFmtId="44" fontId="6" fillId="2" borderId="0" xfId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44" fontId="12" fillId="0" borderId="12" xfId="1" applyFont="1" applyBorder="1" applyAlignment="1">
      <alignment horizontal="center" vertical="center"/>
    </xf>
    <xf numFmtId="44" fontId="26" fillId="0" borderId="15" xfId="1" applyFont="1" applyBorder="1" applyAlignment="1">
      <alignment horizontal="center" vertical="center"/>
    </xf>
    <xf numFmtId="44" fontId="33" fillId="0" borderId="15" xfId="1" applyFont="1" applyBorder="1" applyAlignment="1">
      <alignment horizontal="center" vertical="center"/>
    </xf>
    <xf numFmtId="44" fontId="26" fillId="12" borderId="18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/>
    </xf>
    <xf numFmtId="44" fontId="26" fillId="0" borderId="15" xfId="1" applyFont="1" applyFill="1" applyBorder="1" applyAlignment="1">
      <alignment vertical="center"/>
    </xf>
    <xf numFmtId="44" fontId="24" fillId="0" borderId="15" xfId="1" applyFont="1" applyFill="1" applyBorder="1" applyAlignment="1">
      <alignment vertical="center" wrapText="1"/>
    </xf>
    <xf numFmtId="44" fontId="12" fillId="0" borderId="15" xfId="1" applyFont="1" applyFill="1" applyBorder="1" applyAlignment="1">
      <alignment horizontal="center" vertical="center"/>
    </xf>
    <xf numFmtId="44" fontId="43" fillId="0" borderId="15" xfId="1" applyFont="1" applyBorder="1" applyAlignment="1">
      <alignment horizontal="center"/>
    </xf>
    <xf numFmtId="44" fontId="4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23" fillId="0" borderId="0" xfId="1" applyFont="1" applyAlignment="1">
      <alignment horizontal="center"/>
    </xf>
    <xf numFmtId="44" fontId="47" fillId="11" borderId="48" xfId="1" applyFont="1" applyFill="1" applyBorder="1" applyAlignment="1">
      <alignment horizontal="center" vertical="center"/>
    </xf>
    <xf numFmtId="44" fontId="47" fillId="11" borderId="50" xfId="1" applyFont="1" applyFill="1" applyBorder="1" applyAlignment="1">
      <alignment horizontal="center" vertical="center"/>
    </xf>
    <xf numFmtId="44" fontId="48" fillId="14" borderId="56" xfId="1" applyFont="1" applyFill="1" applyBorder="1" applyAlignment="1">
      <alignment horizontal="center"/>
    </xf>
    <xf numFmtId="44" fontId="25" fillId="20" borderId="15" xfId="1" applyFont="1" applyFill="1" applyBorder="1" applyAlignment="1">
      <alignment horizontal="right"/>
    </xf>
    <xf numFmtId="16" fontId="11" fillId="0" borderId="12" xfId="0" applyNumberFormat="1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 wrapText="1"/>
    </xf>
    <xf numFmtId="44" fontId="24" fillId="0" borderId="12" xfId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44" fontId="24" fillId="0" borderId="15" xfId="1" applyFont="1" applyFill="1" applyBorder="1" applyAlignment="1">
      <alignment horizontal="center" vertical="center"/>
    </xf>
    <xf numFmtId="1" fontId="39" fillId="0" borderId="15" xfId="0" applyNumberFormat="1" applyFont="1" applyFill="1" applyBorder="1" applyAlignment="1">
      <alignment horizontal="center" vertical="center" wrapText="1"/>
    </xf>
    <xf numFmtId="165" fontId="11" fillId="0" borderId="21" xfId="0" applyNumberFormat="1" applyFont="1" applyBorder="1" applyAlignment="1"/>
    <xf numFmtId="165" fontId="11" fillId="0" borderId="21" xfId="0" applyNumberFormat="1" applyFont="1" applyFill="1" applyBorder="1" applyAlignment="1"/>
    <xf numFmtId="0" fontId="2" fillId="0" borderId="18" xfId="0" applyFont="1" applyBorder="1" applyAlignment="1">
      <alignment horizontal="center"/>
    </xf>
    <xf numFmtId="0" fontId="9" fillId="0" borderId="12" xfId="0" applyFont="1" applyBorder="1" applyAlignment="1">
      <alignment vertical="center"/>
    </xf>
    <xf numFmtId="0" fontId="0" fillId="0" borderId="17" xfId="0" applyBorder="1"/>
    <xf numFmtId="0" fontId="0" fillId="0" borderId="17" xfId="0" applyFill="1" applyBorder="1"/>
    <xf numFmtId="44" fontId="7" fillId="0" borderId="18" xfId="1" applyFont="1" applyBorder="1" applyAlignment="1"/>
    <xf numFmtId="44" fontId="12" fillId="0" borderId="12" xfId="1" applyFont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2" fillId="0" borderId="12" xfId="0" applyFont="1" applyBorder="1" applyAlignment="1">
      <alignment horizontal="center"/>
    </xf>
    <xf numFmtId="0" fontId="12" fillId="0" borderId="78" xfId="0" applyFont="1" applyBorder="1" applyAlignment="1">
      <alignment horizontal="center" vertical="center"/>
    </xf>
    <xf numFmtId="44" fontId="7" fillId="0" borderId="12" xfId="1" applyFont="1" applyBorder="1" applyAlignment="1"/>
    <xf numFmtId="44" fontId="7" fillId="0" borderId="78" xfId="1" applyFont="1" applyBorder="1" applyAlignment="1">
      <alignment vertical="center"/>
    </xf>
    <xf numFmtId="44" fontId="12" fillId="0" borderId="18" xfId="1" applyFont="1" applyFill="1" applyBorder="1" applyAlignment="1">
      <alignment vertical="center" wrapText="1"/>
    </xf>
    <xf numFmtId="164" fontId="12" fillId="0" borderId="21" xfId="0" applyNumberFormat="1" applyFont="1" applyFill="1" applyBorder="1" applyAlignment="1">
      <alignment horizontal="center"/>
    </xf>
    <xf numFmtId="44" fontId="8" fillId="0" borderId="12" xfId="1" applyFont="1" applyFill="1" applyBorder="1" applyAlignment="1">
      <alignment vertical="center" wrapText="1"/>
    </xf>
    <xf numFmtId="44" fontId="7" fillId="0" borderId="12" xfId="1" applyFont="1" applyFill="1" applyBorder="1" applyAlignment="1">
      <alignment vertical="center" wrapText="1"/>
    </xf>
    <xf numFmtId="4" fontId="98" fillId="0" borderId="14" xfId="0" applyNumberFormat="1" applyFont="1" applyFill="1" applyBorder="1"/>
    <xf numFmtId="0" fontId="9" fillId="0" borderId="12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wrapText="1"/>
    </xf>
    <xf numFmtId="0" fontId="20" fillId="0" borderId="15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0" fontId="100" fillId="0" borderId="18" xfId="0" applyFont="1" applyFill="1" applyBorder="1" applyAlignment="1">
      <alignment horizontal="center"/>
    </xf>
    <xf numFmtId="0" fontId="63" fillId="3" borderId="0" xfId="0" applyFont="1" applyFill="1" applyAlignment="1">
      <alignment horizontal="center"/>
    </xf>
    <xf numFmtId="0" fontId="35" fillId="0" borderId="12" xfId="0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vertical="center"/>
    </xf>
    <xf numFmtId="44" fontId="2" fillId="0" borderId="17" xfId="1" applyFont="1" applyFill="1" applyBorder="1"/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Border="1" applyAlignment="1"/>
    <xf numFmtId="165" fontId="11" fillId="0" borderId="12" xfId="0" applyNumberFormat="1" applyFont="1" applyFill="1" applyBorder="1" applyAlignment="1"/>
    <xf numFmtId="44" fontId="25" fillId="4" borderId="15" xfId="1" applyFont="1" applyFill="1" applyBorder="1" applyAlignment="1">
      <alignment horizontal="right"/>
    </xf>
    <xf numFmtId="165" fontId="11" fillId="4" borderId="15" xfId="0" applyNumberFormat="1" applyFont="1" applyFill="1" applyBorder="1"/>
    <xf numFmtId="165" fontId="11" fillId="4" borderId="21" xfId="0" applyNumberFormat="1" applyFont="1" applyFill="1" applyBorder="1" applyAlignment="1"/>
    <xf numFmtId="0" fontId="35" fillId="0" borderId="12" xfId="0" applyFont="1" applyFill="1" applyBorder="1" applyAlignment="1">
      <alignment horizontal="center" vertical="center"/>
    </xf>
    <xf numFmtId="44" fontId="9" fillId="0" borderId="15" xfId="1" applyFont="1" applyBorder="1" applyAlignment="1">
      <alignment horizontal="center" vertical="center"/>
    </xf>
    <xf numFmtId="44" fontId="9" fillId="0" borderId="15" xfId="1" applyFont="1" applyBorder="1" applyAlignment="1">
      <alignment horizontal="center" vertical="center" wrapText="1"/>
    </xf>
    <xf numFmtId="44" fontId="106" fillId="0" borderId="15" xfId="1" applyFont="1" applyBorder="1" applyAlignment="1">
      <alignment horizontal="center" vertical="center"/>
    </xf>
    <xf numFmtId="44" fontId="20" fillId="0" borderId="15" xfId="1" applyFont="1" applyBorder="1" applyAlignment="1">
      <alignment horizontal="center" vertical="center"/>
    </xf>
    <xf numFmtId="44" fontId="20" fillId="0" borderId="15" xfId="1" applyFont="1" applyFill="1" applyBorder="1" applyAlignment="1">
      <alignment horizontal="center" vertical="center" wrapText="1"/>
    </xf>
    <xf numFmtId="44" fontId="20" fillId="0" borderId="15" xfId="1" applyFont="1" applyFill="1" applyBorder="1" applyAlignment="1">
      <alignment horizontal="center" vertical="center"/>
    </xf>
    <xf numFmtId="44" fontId="20" fillId="0" borderId="15" xfId="1" applyFont="1" applyFill="1" applyBorder="1" applyAlignment="1">
      <alignment vertical="center"/>
    </xf>
    <xf numFmtId="44" fontId="29" fillId="0" borderId="15" xfId="1" applyFont="1" applyFill="1" applyBorder="1" applyAlignment="1">
      <alignment horizontal="center" vertical="center"/>
    </xf>
    <xf numFmtId="44" fontId="29" fillId="0" borderId="15" xfId="1" applyFont="1" applyBorder="1" applyAlignment="1">
      <alignment horizontal="center" vertical="center"/>
    </xf>
    <xf numFmtId="44" fontId="20" fillId="0" borderId="12" xfId="1" applyFont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wrapText="1"/>
    </xf>
    <xf numFmtId="165" fontId="8" fillId="0" borderId="15" xfId="0" applyNumberFormat="1" applyFont="1" applyBorder="1" applyAlignment="1">
      <alignment horizontal="center" wrapText="1"/>
    </xf>
    <xf numFmtId="165" fontId="25" fillId="0" borderId="15" xfId="0" applyNumberFormat="1" applyFont="1" applyFill="1" applyBorder="1" applyAlignment="1">
      <alignment horizontal="center" wrapText="1"/>
    </xf>
    <xf numFmtId="0" fontId="9" fillId="0" borderId="2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4" fontId="12" fillId="0" borderId="18" xfId="1" applyFont="1" applyBorder="1" applyAlignment="1">
      <alignment horizontal="center" vertical="center"/>
    </xf>
    <xf numFmtId="44" fontId="12" fillId="0" borderId="16" xfId="1" applyFont="1" applyBorder="1" applyAlignment="1">
      <alignment horizontal="center" vertical="center"/>
    </xf>
    <xf numFmtId="44" fontId="12" fillId="0" borderId="12" xfId="1" applyFont="1" applyBorder="1" applyAlignment="1">
      <alignment horizontal="center" vertical="center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center" wrapText="1"/>
    </xf>
    <xf numFmtId="165" fontId="25" fillId="0" borderId="20" xfId="0" applyNumberFormat="1" applyFont="1" applyFill="1" applyBorder="1" applyAlignment="1">
      <alignment horizontal="center" wrapText="1"/>
    </xf>
    <xf numFmtId="164" fontId="7" fillId="0" borderId="93" xfId="0" applyNumberFormat="1" applyFont="1" applyBorder="1" applyAlignment="1">
      <alignment horizontal="center" vertical="center"/>
    </xf>
    <xf numFmtId="164" fontId="7" fillId="0" borderId="95" xfId="0" applyNumberFormat="1" applyFont="1" applyBorder="1" applyAlignment="1">
      <alignment horizontal="center" vertical="center"/>
    </xf>
    <xf numFmtId="0" fontId="11" fillId="14" borderId="92" xfId="0" applyFont="1" applyFill="1" applyBorder="1" applyAlignment="1">
      <alignment horizontal="center" vertical="center"/>
    </xf>
    <xf numFmtId="0" fontId="11" fillId="14" borderId="118" xfId="0" applyFont="1" applyFill="1" applyBorder="1" applyAlignment="1">
      <alignment horizontal="center" vertical="center"/>
    </xf>
    <xf numFmtId="0" fontId="11" fillId="14" borderId="94" xfId="0" applyFont="1" applyFill="1" applyBorder="1" applyAlignment="1">
      <alignment horizontal="center" vertical="center"/>
    </xf>
    <xf numFmtId="165" fontId="11" fillId="4" borderId="93" xfId="0" applyNumberFormat="1" applyFont="1" applyFill="1" applyBorder="1" applyAlignment="1">
      <alignment horizontal="center" vertical="center"/>
    </xf>
    <xf numFmtId="165" fontId="11" fillId="4" borderId="117" xfId="0" applyNumberFormat="1" applyFont="1" applyFill="1" applyBorder="1" applyAlignment="1">
      <alignment horizontal="center" vertical="center"/>
    </xf>
    <xf numFmtId="165" fontId="11" fillId="4" borderId="95" xfId="0" applyNumberFormat="1" applyFont="1" applyFill="1" applyBorder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0" fontId="86" fillId="0" borderId="11" xfId="0" applyFont="1" applyFill="1" applyBorder="1" applyAlignment="1">
      <alignment horizontal="center" vertical="center"/>
    </xf>
    <xf numFmtId="0" fontId="86" fillId="0" borderId="82" xfId="0" applyFont="1" applyFill="1" applyBorder="1" applyAlignment="1">
      <alignment horizontal="center" vertical="center"/>
    </xf>
    <xf numFmtId="166" fontId="19" fillId="0" borderId="11" xfId="0" applyNumberFormat="1" applyFont="1" applyFill="1" applyBorder="1" applyAlignment="1">
      <alignment horizontal="center" vertical="center"/>
    </xf>
    <xf numFmtId="166" fontId="19" fillId="0" borderId="82" xfId="0" applyNumberFormat="1" applyFont="1" applyFill="1" applyBorder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82" xfId="0" applyFont="1" applyFill="1" applyBorder="1" applyAlignment="1">
      <alignment horizontal="center" vertical="center"/>
    </xf>
    <xf numFmtId="166" fontId="35" fillId="0" borderId="11" xfId="0" applyNumberFormat="1" applyFont="1" applyFill="1" applyBorder="1" applyAlignment="1">
      <alignment horizontal="center" vertical="center"/>
    </xf>
    <xf numFmtId="166" fontId="35" fillId="0" borderId="82" xfId="0" applyNumberFormat="1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center" vertical="center" wrapText="1"/>
    </xf>
    <xf numFmtId="0" fontId="35" fillId="0" borderId="8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164" fontId="12" fillId="0" borderId="86" xfId="0" applyNumberFormat="1" applyFont="1" applyFill="1" applyBorder="1" applyAlignment="1">
      <alignment horizontal="center" vertical="center" wrapText="1"/>
    </xf>
    <xf numFmtId="164" fontId="12" fillId="0" borderId="87" xfId="0" applyNumberFormat="1" applyFont="1" applyFill="1" applyBorder="1" applyAlignment="1">
      <alignment horizontal="center" vertical="center" wrapText="1"/>
    </xf>
    <xf numFmtId="164" fontId="12" fillId="0" borderId="88" xfId="0" applyNumberFormat="1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 vertical="center"/>
    </xf>
    <xf numFmtId="0" fontId="89" fillId="0" borderId="3" xfId="0" applyFont="1" applyFill="1" applyBorder="1" applyAlignment="1">
      <alignment horizontal="center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5" fillId="0" borderId="83" xfId="0" applyFont="1" applyFill="1" applyBorder="1" applyAlignment="1">
      <alignment horizontal="center" vertical="center" wrapText="1"/>
    </xf>
    <xf numFmtId="0" fontId="35" fillId="0" borderId="84" xfId="0" applyFont="1" applyFill="1" applyBorder="1" applyAlignment="1">
      <alignment horizontal="center" vertical="center" wrapText="1"/>
    </xf>
    <xf numFmtId="0" fontId="35" fillId="0" borderId="8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/>
    </xf>
    <xf numFmtId="0" fontId="86" fillId="0" borderId="18" xfId="0" applyFont="1" applyFill="1" applyBorder="1" applyAlignment="1">
      <alignment horizontal="center" vertical="center"/>
    </xf>
    <xf numFmtId="0" fontId="86" fillId="0" borderId="12" xfId="0" applyFont="1" applyFill="1" applyBorder="1" applyAlignment="1">
      <alignment horizontal="center" vertical="center"/>
    </xf>
    <xf numFmtId="44" fontId="7" fillId="0" borderId="89" xfId="1" applyFont="1" applyFill="1" applyBorder="1" applyAlignment="1">
      <alignment horizontal="center" vertical="center"/>
    </xf>
    <xf numFmtId="44" fontId="7" fillId="0" borderId="90" xfId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44" fontId="7" fillId="0" borderId="120" xfId="1" applyFont="1" applyFill="1" applyBorder="1" applyAlignment="1">
      <alignment horizontal="center" vertical="center"/>
    </xf>
    <xf numFmtId="44" fontId="7" fillId="0" borderId="121" xfId="1" applyFont="1" applyFill="1" applyBorder="1" applyAlignment="1">
      <alignment horizontal="center" vertical="center"/>
    </xf>
    <xf numFmtId="44" fontId="7" fillId="0" borderId="122" xfId="1" applyFont="1" applyFill="1" applyBorder="1" applyAlignment="1">
      <alignment horizontal="center" vertical="center"/>
    </xf>
    <xf numFmtId="165" fontId="36" fillId="14" borderId="18" xfId="0" applyNumberFormat="1" applyFont="1" applyFill="1" applyBorder="1" applyAlignment="1">
      <alignment horizontal="center" vertical="center" wrapText="1"/>
    </xf>
    <xf numFmtId="165" fontId="36" fillId="14" borderId="16" xfId="0" applyNumberFormat="1" applyFont="1" applyFill="1" applyBorder="1" applyAlignment="1">
      <alignment horizontal="center" vertical="center" wrapText="1"/>
    </xf>
    <xf numFmtId="165" fontId="36" fillId="14" borderId="12" xfId="0" applyNumberFormat="1" applyFont="1" applyFill="1" applyBorder="1" applyAlignment="1">
      <alignment horizontal="center" vertical="center" wrapText="1"/>
    </xf>
    <xf numFmtId="44" fontId="2" fillId="0" borderId="92" xfId="1" applyFont="1" applyFill="1" applyBorder="1" applyAlignment="1">
      <alignment horizontal="center" vertical="center"/>
    </xf>
    <xf numFmtId="44" fontId="2" fillId="0" borderId="94" xfId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0" fontId="55" fillId="0" borderId="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44" fontId="2" fillId="0" borderId="52" xfId="1" applyFont="1" applyBorder="1" applyAlignment="1">
      <alignment horizontal="center" vertical="center" wrapText="1"/>
    </xf>
    <xf numFmtId="44" fontId="2" fillId="0" borderId="58" xfId="1" applyFont="1" applyBorder="1" applyAlignment="1">
      <alignment horizontal="center" vertical="center" wrapText="1"/>
    </xf>
    <xf numFmtId="0" fontId="39" fillId="14" borderId="0" xfId="0" applyFont="1" applyFill="1" applyAlignment="1">
      <alignment horizontal="center"/>
    </xf>
    <xf numFmtId="0" fontId="74" fillId="14" borderId="0" xfId="0" applyFont="1" applyFill="1" applyAlignment="1">
      <alignment horizontal="center"/>
    </xf>
    <xf numFmtId="164" fontId="35" fillId="0" borderId="11" xfId="0" applyNumberFormat="1" applyFont="1" applyFill="1" applyBorder="1" applyAlignment="1">
      <alignment horizontal="center" vertical="center"/>
    </xf>
    <xf numFmtId="164" fontId="35" fillId="0" borderId="3" xfId="0" applyNumberFormat="1" applyFont="1" applyFill="1" applyBorder="1" applyAlignment="1">
      <alignment horizontal="center" vertical="center"/>
    </xf>
    <xf numFmtId="164" fontId="35" fillId="0" borderId="82" xfId="0" applyNumberFormat="1" applyFont="1" applyFill="1" applyBorder="1" applyAlignment="1">
      <alignment horizontal="center" vertical="center"/>
    </xf>
    <xf numFmtId="0" fontId="35" fillId="0" borderId="96" xfId="0" applyFont="1" applyFill="1" applyBorder="1" applyAlignment="1">
      <alignment horizontal="center" vertical="center" wrapText="1"/>
    </xf>
    <xf numFmtId="0" fontId="35" fillId="0" borderId="97" xfId="0" applyFont="1" applyFill="1" applyBorder="1" applyAlignment="1">
      <alignment horizontal="center" vertical="center" wrapText="1"/>
    </xf>
    <xf numFmtId="0" fontId="35" fillId="0" borderId="98" xfId="0" applyFont="1" applyFill="1" applyBorder="1" applyAlignment="1">
      <alignment horizontal="center" vertical="center" wrapText="1"/>
    </xf>
    <xf numFmtId="0" fontId="35" fillId="0" borderId="99" xfId="0" applyFont="1" applyFill="1" applyBorder="1" applyAlignment="1">
      <alignment horizontal="center" vertical="center" wrapText="1"/>
    </xf>
    <xf numFmtId="0" fontId="89" fillId="19" borderId="100" xfId="0" applyFont="1" applyFill="1" applyBorder="1" applyAlignment="1">
      <alignment horizontal="center" vertical="center"/>
    </xf>
    <xf numFmtId="0" fontId="89" fillId="19" borderId="101" xfId="0" applyFont="1" applyFill="1" applyBorder="1" applyAlignment="1">
      <alignment horizontal="center" vertical="center"/>
    </xf>
    <xf numFmtId="164" fontId="35" fillId="0" borderId="104" xfId="0" applyNumberFormat="1" applyFont="1" applyFill="1" applyBorder="1" applyAlignment="1">
      <alignment horizontal="center" vertical="center"/>
    </xf>
    <xf numFmtId="164" fontId="35" fillId="0" borderId="105" xfId="0" applyNumberFormat="1" applyFont="1" applyFill="1" applyBorder="1" applyAlignment="1">
      <alignment horizontal="center" vertical="center"/>
    </xf>
    <xf numFmtId="0" fontId="35" fillId="0" borderId="102" xfId="0" applyFont="1" applyFill="1" applyBorder="1" applyAlignment="1">
      <alignment horizontal="center" vertical="center" wrapText="1"/>
    </xf>
    <xf numFmtId="0" fontId="35" fillId="0" borderId="103" xfId="0" applyFont="1" applyFill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44" fontId="9" fillId="14" borderId="106" xfId="1" applyFont="1" applyFill="1" applyBorder="1" applyAlignment="1">
      <alignment horizontal="center" vertical="center" wrapText="1"/>
    </xf>
    <xf numFmtId="44" fontId="9" fillId="14" borderId="107" xfId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2" xfId="0" applyFont="1" applyFill="1" applyBorder="1" applyAlignment="1">
      <alignment horizontal="center" vertical="center"/>
    </xf>
    <xf numFmtId="44" fontId="7" fillId="0" borderId="11" xfId="1" applyFont="1" applyFill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/>
    </xf>
    <xf numFmtId="44" fontId="7" fillId="0" borderId="82" xfId="1" applyFont="1" applyFill="1" applyBorder="1" applyAlignment="1">
      <alignment horizontal="center" vertical="center"/>
    </xf>
    <xf numFmtId="44" fontId="12" fillId="0" borderId="11" xfId="1" applyFont="1" applyFill="1" applyBorder="1" applyAlignment="1">
      <alignment horizontal="center" vertical="center" wrapText="1"/>
    </xf>
    <xf numFmtId="44" fontId="12" fillId="0" borderId="82" xfId="1" applyFont="1" applyFill="1" applyBorder="1" applyAlignment="1">
      <alignment horizontal="center" vertical="center" wrapText="1"/>
    </xf>
    <xf numFmtId="0" fontId="100" fillId="0" borderId="11" xfId="0" applyFont="1" applyFill="1" applyBorder="1" applyAlignment="1">
      <alignment horizontal="center" vertical="center"/>
    </xf>
    <xf numFmtId="0" fontId="100" fillId="0" borderId="82" xfId="0" applyFont="1" applyFill="1" applyBorder="1" applyAlignment="1">
      <alignment horizontal="center" vertical="center"/>
    </xf>
    <xf numFmtId="165" fontId="25" fillId="14" borderId="15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44" fontId="9" fillId="0" borderId="18" xfId="1" applyFont="1" applyFill="1" applyBorder="1" applyAlignment="1">
      <alignment horizontal="center" vertical="center"/>
    </xf>
    <xf numFmtId="44" fontId="9" fillId="0" borderId="12" xfId="1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7" fillId="0" borderId="16" xfId="0" applyNumberFormat="1" applyFont="1" applyFill="1" applyBorder="1" applyAlignment="1">
      <alignment horizontal="center" vertical="center" wrapText="1"/>
    </xf>
    <xf numFmtId="0" fontId="35" fillId="0" borderId="114" xfId="0" applyFont="1" applyFill="1" applyBorder="1" applyAlignment="1">
      <alignment horizontal="center" vertical="center"/>
    </xf>
    <xf numFmtId="0" fontId="35" fillId="0" borderId="84" xfId="0" applyFont="1" applyFill="1" applyBorder="1" applyAlignment="1">
      <alignment horizontal="center" vertical="center"/>
    </xf>
    <xf numFmtId="0" fontId="35" fillId="0" borderId="85" xfId="0" applyFont="1" applyFill="1" applyBorder="1" applyAlignment="1">
      <alignment horizontal="center" vertical="center"/>
    </xf>
    <xf numFmtId="44" fontId="2" fillId="0" borderId="115" xfId="1" applyFont="1" applyFill="1" applyBorder="1" applyAlignment="1">
      <alignment horizontal="center" vertical="center"/>
    </xf>
    <xf numFmtId="44" fontId="2" fillId="0" borderId="117" xfId="1" applyFont="1" applyFill="1" applyBorder="1" applyAlignment="1">
      <alignment horizontal="center" vertical="center"/>
    </xf>
    <xf numFmtId="44" fontId="2" fillId="0" borderId="105" xfId="1" applyFont="1" applyFill="1" applyBorder="1" applyAlignment="1">
      <alignment horizontal="center" vertical="center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8" xfId="0" applyNumberFormat="1" applyFont="1" applyFill="1" applyBorder="1" applyAlignment="1">
      <alignment horizontal="center" vertical="center" wrapText="1"/>
    </xf>
    <xf numFmtId="164" fontId="7" fillId="0" borderId="119" xfId="0" applyNumberFormat="1" applyFont="1" applyFill="1" applyBorder="1" applyAlignment="1">
      <alignment horizontal="center" vertical="center" wrapText="1"/>
    </xf>
    <xf numFmtId="44" fontId="7" fillId="0" borderId="111" xfId="1" applyFont="1" applyFill="1" applyBorder="1" applyAlignment="1">
      <alignment horizontal="center" vertical="center" wrapText="1"/>
    </xf>
    <xf numFmtId="44" fontId="7" fillId="0" borderId="113" xfId="1" applyFont="1" applyFill="1" applyBorder="1" applyAlignment="1">
      <alignment horizontal="center" vertical="center" wrapText="1"/>
    </xf>
    <xf numFmtId="0" fontId="35" fillId="0" borderId="108" xfId="0" applyFont="1" applyFill="1" applyBorder="1" applyAlignment="1">
      <alignment horizontal="center" vertical="center"/>
    </xf>
    <xf numFmtId="0" fontId="35" fillId="0" borderId="109" xfId="0" applyFont="1" applyFill="1" applyBorder="1" applyAlignment="1">
      <alignment horizontal="center" vertical="center"/>
    </xf>
    <xf numFmtId="0" fontId="89" fillId="0" borderId="108" xfId="0" applyFont="1" applyFill="1" applyBorder="1" applyAlignment="1">
      <alignment horizontal="center" vertical="center"/>
    </xf>
    <xf numFmtId="0" fontId="89" fillId="0" borderId="109" xfId="0" applyFont="1" applyFill="1" applyBorder="1" applyAlignment="1">
      <alignment horizontal="center" vertical="center"/>
    </xf>
    <xf numFmtId="164" fontId="35" fillId="0" borderId="108" xfId="0" applyNumberFormat="1" applyFont="1" applyFill="1" applyBorder="1" applyAlignment="1">
      <alignment horizontal="center" vertical="center"/>
    </xf>
    <xf numFmtId="164" fontId="35" fillId="0" borderId="109" xfId="0" applyNumberFormat="1" applyFont="1" applyFill="1" applyBorder="1" applyAlignment="1">
      <alignment horizontal="center" vertical="center"/>
    </xf>
    <xf numFmtId="0" fontId="35" fillId="0" borderId="93" xfId="0" applyFont="1" applyFill="1" applyBorder="1" applyAlignment="1">
      <alignment horizontal="center" vertical="center" wrapText="1"/>
    </xf>
    <xf numFmtId="0" fontId="35" fillId="0" borderId="95" xfId="0" applyFont="1" applyFill="1" applyBorder="1" applyAlignment="1">
      <alignment horizontal="center" vertical="center" wrapText="1"/>
    </xf>
    <xf numFmtId="44" fontId="9" fillId="14" borderId="18" xfId="1" applyFont="1" applyFill="1" applyBorder="1" applyAlignment="1">
      <alignment horizontal="center" vertical="center"/>
    </xf>
    <xf numFmtId="44" fontId="9" fillId="14" borderId="16" xfId="1" applyFont="1" applyFill="1" applyBorder="1" applyAlignment="1">
      <alignment horizontal="center" vertical="center"/>
    </xf>
    <xf numFmtId="0" fontId="35" fillId="0" borderId="123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89" fillId="0" borderId="123" xfId="0" applyFont="1" applyFill="1" applyBorder="1" applyAlignment="1">
      <alignment horizontal="center" vertical="center"/>
    </xf>
    <xf numFmtId="0" fontId="89" fillId="0" borderId="28" xfId="0" applyFont="1" applyFill="1" applyBorder="1" applyAlignment="1">
      <alignment horizontal="center" vertical="center"/>
    </xf>
    <xf numFmtId="164" fontId="35" fillId="0" borderId="123" xfId="0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0" fontId="35" fillId="0" borderId="104" xfId="0" applyFont="1" applyFill="1" applyBorder="1" applyAlignment="1">
      <alignment horizontal="center" vertical="center"/>
    </xf>
    <xf numFmtId="0" fontId="35" fillId="0" borderId="95" xfId="0" applyFont="1" applyFill="1" applyBorder="1" applyAlignment="1">
      <alignment horizontal="center" vertical="center"/>
    </xf>
    <xf numFmtId="44" fontId="8" fillId="0" borderId="110" xfId="1" applyFont="1" applyFill="1" applyBorder="1" applyAlignment="1">
      <alignment horizontal="center" vertical="center" wrapText="1"/>
    </xf>
    <xf numFmtId="44" fontId="8" fillId="0" borderId="112" xfId="1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2" fillId="0" borderId="9" xfId="0" applyFont="1" applyBorder="1" applyAlignment="1">
      <alignment horizontal="center" vertical="center" wrapText="1"/>
    </xf>
    <xf numFmtId="0" fontId="102" fillId="0" borderId="29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44" fontId="35" fillId="0" borderId="52" xfId="1" applyFont="1" applyBorder="1" applyAlignment="1">
      <alignment horizontal="center" vertical="center" wrapText="1"/>
    </xf>
    <xf numFmtId="44" fontId="35" fillId="0" borderId="58" xfId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ECFF"/>
      <color rgb="FF990033"/>
      <color rgb="FFCC99FF"/>
      <color rgb="FFCC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70</xdr:row>
      <xdr:rowOff>28575</xdr:rowOff>
    </xdr:from>
    <xdr:to>
      <xdr:col>3</xdr:col>
      <xdr:colOff>838200</xdr:colOff>
      <xdr:row>71</xdr:row>
      <xdr:rowOff>342900</xdr:rowOff>
    </xdr:to>
    <xdr:cxnSp macro="">
      <xdr:nvCxnSpPr>
        <xdr:cNvPr id="3" name="Conector recto 2"/>
        <xdr:cNvCxnSpPr/>
      </xdr:nvCxnSpPr>
      <xdr:spPr>
        <a:xfrm flipV="1">
          <a:off x="5876925" y="24965025"/>
          <a:ext cx="676275" cy="723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952500</xdr:colOff>
      <xdr:row>10</xdr:row>
      <xdr:rowOff>361950</xdr:rowOff>
    </xdr:from>
    <xdr:to>
      <xdr:col>9</xdr:col>
      <xdr:colOff>857250</xdr:colOff>
      <xdr:row>10</xdr:row>
      <xdr:rowOff>381000</xdr:rowOff>
    </xdr:to>
    <xdr:cxnSp macro="">
      <xdr:nvCxnSpPr>
        <xdr:cNvPr id="4" name="Conector recto 3"/>
        <xdr:cNvCxnSpPr/>
      </xdr:nvCxnSpPr>
      <xdr:spPr>
        <a:xfrm flipV="1">
          <a:off x="9553575" y="4800600"/>
          <a:ext cx="8953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11</xdr:row>
      <xdr:rowOff>95250</xdr:rowOff>
    </xdr:from>
    <xdr:to>
      <xdr:col>9</xdr:col>
      <xdr:colOff>781050</xdr:colOff>
      <xdr:row>11</xdr:row>
      <xdr:rowOff>152400</xdr:rowOff>
    </xdr:to>
    <xdr:cxnSp macro="">
      <xdr:nvCxnSpPr>
        <xdr:cNvPr id="6" name="Conector recto 5"/>
        <xdr:cNvCxnSpPr/>
      </xdr:nvCxnSpPr>
      <xdr:spPr>
        <a:xfrm flipV="1">
          <a:off x="9639300" y="5248275"/>
          <a:ext cx="733425" cy="571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9</xdr:row>
      <xdr:rowOff>57150</xdr:rowOff>
    </xdr:from>
    <xdr:to>
      <xdr:col>9</xdr:col>
      <xdr:colOff>771525</xdr:colOff>
      <xdr:row>9</xdr:row>
      <xdr:rowOff>76200</xdr:rowOff>
    </xdr:to>
    <xdr:cxnSp macro="">
      <xdr:nvCxnSpPr>
        <xdr:cNvPr id="8" name="Conector recto 7"/>
        <xdr:cNvCxnSpPr/>
      </xdr:nvCxnSpPr>
      <xdr:spPr>
        <a:xfrm flipV="1">
          <a:off x="9620250" y="4038600"/>
          <a:ext cx="7429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12</xdr:row>
      <xdr:rowOff>9525</xdr:rowOff>
    </xdr:from>
    <xdr:to>
      <xdr:col>9</xdr:col>
      <xdr:colOff>771525</xdr:colOff>
      <xdr:row>12</xdr:row>
      <xdr:rowOff>123825</xdr:rowOff>
    </xdr:to>
    <xdr:cxnSp macro="">
      <xdr:nvCxnSpPr>
        <xdr:cNvPr id="10" name="Conector recto 9"/>
        <xdr:cNvCxnSpPr/>
      </xdr:nvCxnSpPr>
      <xdr:spPr>
        <a:xfrm flipV="1">
          <a:off x="9677400" y="5629275"/>
          <a:ext cx="685800" cy="114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13</xdr:row>
      <xdr:rowOff>47625</xdr:rowOff>
    </xdr:from>
    <xdr:to>
      <xdr:col>9</xdr:col>
      <xdr:colOff>742950</xdr:colOff>
      <xdr:row>13</xdr:row>
      <xdr:rowOff>180975</xdr:rowOff>
    </xdr:to>
    <xdr:cxnSp macro="">
      <xdr:nvCxnSpPr>
        <xdr:cNvPr id="12" name="Conector recto 11"/>
        <xdr:cNvCxnSpPr/>
      </xdr:nvCxnSpPr>
      <xdr:spPr>
        <a:xfrm flipV="1">
          <a:off x="9601200" y="6105525"/>
          <a:ext cx="733425" cy="1333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14</xdr:row>
      <xdr:rowOff>238125</xdr:rowOff>
    </xdr:from>
    <xdr:to>
      <xdr:col>9</xdr:col>
      <xdr:colOff>838200</xdr:colOff>
      <xdr:row>14</xdr:row>
      <xdr:rowOff>323850</xdr:rowOff>
    </xdr:to>
    <xdr:cxnSp macro="">
      <xdr:nvCxnSpPr>
        <xdr:cNvPr id="14" name="Conector recto 13"/>
        <xdr:cNvCxnSpPr/>
      </xdr:nvCxnSpPr>
      <xdr:spPr>
        <a:xfrm flipV="1">
          <a:off x="9658350" y="6800850"/>
          <a:ext cx="771525" cy="85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8</xdr:row>
      <xdr:rowOff>28575</xdr:rowOff>
    </xdr:from>
    <xdr:to>
      <xdr:col>9</xdr:col>
      <xdr:colOff>723900</xdr:colOff>
      <xdr:row>8</xdr:row>
      <xdr:rowOff>209550</xdr:rowOff>
    </xdr:to>
    <xdr:cxnSp macro="">
      <xdr:nvCxnSpPr>
        <xdr:cNvPr id="16" name="Conector recto 15"/>
        <xdr:cNvCxnSpPr/>
      </xdr:nvCxnSpPr>
      <xdr:spPr>
        <a:xfrm flipV="1">
          <a:off x="9629775" y="3590925"/>
          <a:ext cx="685800" cy="1809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 refreshError="1">
        <row r="3">
          <cell r="D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A146"/>
  <sheetViews>
    <sheetView topLeftCell="P1" workbookViewId="0">
      <pane ySplit="3" topLeftCell="A109" activePane="bottomLeft" state="frozen"/>
      <selection activeCell="B1" sqref="B1"/>
      <selection pane="bottomLeft" activeCell="W70" sqref="W70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205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bestFit="1" customWidth="1"/>
    <col min="17" max="17" width="17.85546875" style="99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009" t="s">
        <v>58</v>
      </c>
      <c r="C1" s="1009"/>
      <c r="D1" s="1009"/>
      <c r="E1" s="1009"/>
      <c r="F1" s="1009"/>
      <c r="G1" s="1009"/>
      <c r="H1" s="1009"/>
      <c r="I1" s="1009"/>
      <c r="J1" s="1009"/>
      <c r="K1" s="1009"/>
      <c r="L1" s="1009"/>
      <c r="M1" s="1"/>
      <c r="N1" s="2"/>
      <c r="O1" s="1"/>
      <c r="P1" s="1"/>
      <c r="Q1" s="3"/>
      <c r="U1" s="1010" t="s">
        <v>0</v>
      </c>
      <c r="V1" s="1010"/>
      <c r="W1" s="7" t="s">
        <v>1</v>
      </c>
      <c r="X1" s="8" t="s">
        <v>2</v>
      </c>
      <c r="Y1" s="983" t="s">
        <v>3</v>
      </c>
      <c r="Z1" s="984"/>
    </row>
    <row r="2" spans="1:26" ht="24" thickBot="1" x14ac:dyDescent="0.4">
      <c r="B2" s="1009"/>
      <c r="C2" s="1009"/>
      <c r="D2" s="1009"/>
      <c r="E2" s="1009"/>
      <c r="F2" s="1009"/>
      <c r="G2" s="1009"/>
      <c r="H2" s="1009"/>
      <c r="I2" s="1009"/>
      <c r="J2" s="1009"/>
      <c r="K2" s="1009"/>
      <c r="L2" s="1009"/>
      <c r="M2" s="9"/>
      <c r="N2" s="10"/>
      <c r="O2" s="9"/>
      <c r="P2" s="11"/>
      <c r="Q2" s="12"/>
      <c r="S2" s="13"/>
      <c r="T2" s="14"/>
      <c r="U2" s="1011"/>
      <c r="V2" s="1011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608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613" t="s">
        <v>16</v>
      </c>
      <c r="Q3" s="985" t="s">
        <v>17</v>
      </c>
      <c r="R3" s="986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21" x14ac:dyDescent="0.35">
      <c r="B4" s="691"/>
      <c r="C4" s="691"/>
      <c r="D4" s="649"/>
      <c r="E4" s="596"/>
      <c r="F4" s="596"/>
      <c r="G4" s="652"/>
      <c r="H4" s="655"/>
      <c r="I4" s="645"/>
      <c r="J4" s="717"/>
      <c r="K4" s="655"/>
      <c r="L4" s="21">
        <f>K4-H4</f>
        <v>0</v>
      </c>
      <c r="M4" s="22"/>
      <c r="N4" s="23"/>
      <c r="O4" s="24" t="s">
        <v>22</v>
      </c>
      <c r="P4" s="25">
        <f>M4*K4</f>
        <v>0</v>
      </c>
      <c r="Q4" s="194"/>
      <c r="R4" s="597"/>
      <c r="S4" s="598"/>
      <c r="T4" s="599"/>
      <c r="U4" s="600"/>
      <c r="V4" s="184"/>
      <c r="W4" s="601"/>
      <c r="X4" s="602"/>
      <c r="Y4" s="603"/>
      <c r="Z4" s="604"/>
    </row>
    <row r="5" spans="1:26" ht="21.75" thickBot="1" x14ac:dyDescent="0.4">
      <c r="B5" s="691" t="s">
        <v>67</v>
      </c>
      <c r="C5" s="691" t="s">
        <v>80</v>
      </c>
      <c r="D5" s="706">
        <v>11596</v>
      </c>
      <c r="E5" s="596"/>
      <c r="F5" s="596"/>
      <c r="G5" s="652"/>
      <c r="H5" s="655">
        <v>22610</v>
      </c>
      <c r="I5" s="710">
        <v>45294</v>
      </c>
      <c r="J5" s="717">
        <v>45044</v>
      </c>
      <c r="K5" s="655">
        <v>22610</v>
      </c>
      <c r="L5" s="21">
        <f t="shared" ref="L5:L10" si="0">K5-H5</f>
        <v>0</v>
      </c>
      <c r="M5" s="22">
        <v>48</v>
      </c>
      <c r="N5" s="23"/>
      <c r="O5" s="24"/>
      <c r="P5" s="25">
        <f t="shared" ref="P5:P9" si="1">M5*K5</f>
        <v>1085280</v>
      </c>
      <c r="Q5" s="194" t="s">
        <v>81</v>
      </c>
      <c r="R5" s="597">
        <v>45308</v>
      </c>
      <c r="S5" s="598"/>
      <c r="T5" s="599"/>
      <c r="U5" s="600"/>
      <c r="V5" s="184"/>
      <c r="W5" s="601"/>
      <c r="X5" s="602"/>
      <c r="Y5" s="603"/>
      <c r="Z5" s="604"/>
    </row>
    <row r="6" spans="1:26" ht="37.5" x14ac:dyDescent="0.35">
      <c r="B6" s="691" t="s">
        <v>82</v>
      </c>
      <c r="C6" s="704" t="s">
        <v>83</v>
      </c>
      <c r="D6" s="999">
        <v>11599</v>
      </c>
      <c r="E6" s="705"/>
      <c r="F6" s="596"/>
      <c r="G6" s="652"/>
      <c r="H6" s="709">
        <v>20945</v>
      </c>
      <c r="I6" s="1001">
        <v>45296</v>
      </c>
      <c r="J6" s="747" t="s">
        <v>119</v>
      </c>
      <c r="K6" s="655">
        <v>20945</v>
      </c>
      <c r="L6" s="21">
        <f t="shared" si="0"/>
        <v>0</v>
      </c>
      <c r="M6" s="22">
        <v>34.5</v>
      </c>
      <c r="N6" s="23"/>
      <c r="O6" s="24"/>
      <c r="P6" s="25">
        <f t="shared" si="1"/>
        <v>722602.5</v>
      </c>
      <c r="Q6" s="194" t="s">
        <v>97</v>
      </c>
      <c r="R6" s="597">
        <v>45310</v>
      </c>
      <c r="S6" s="598">
        <v>31617.5</v>
      </c>
      <c r="T6" s="599">
        <v>45296</v>
      </c>
      <c r="U6" s="600">
        <v>30240</v>
      </c>
      <c r="V6" s="184" t="s">
        <v>85</v>
      </c>
      <c r="W6" s="923"/>
      <c r="X6" s="602"/>
      <c r="Y6" s="924" t="s">
        <v>197</v>
      </c>
      <c r="Z6" s="925">
        <v>4176</v>
      </c>
    </row>
    <row r="7" spans="1:26" ht="38.25" thickBot="1" x14ac:dyDescent="0.4">
      <c r="B7" s="691" t="s">
        <v>77</v>
      </c>
      <c r="C7" s="704" t="s">
        <v>84</v>
      </c>
      <c r="D7" s="1000"/>
      <c r="E7" s="705"/>
      <c r="F7" s="596"/>
      <c r="G7" s="652"/>
      <c r="H7" s="709">
        <v>0</v>
      </c>
      <c r="I7" s="1002"/>
      <c r="J7" s="747" t="s">
        <v>120</v>
      </c>
      <c r="K7" s="655">
        <v>4920</v>
      </c>
      <c r="L7" s="21">
        <f t="shared" si="0"/>
        <v>4920</v>
      </c>
      <c r="M7" s="22">
        <v>34.5</v>
      </c>
      <c r="N7" s="23"/>
      <c r="O7" s="24"/>
      <c r="P7" s="25">
        <f t="shared" si="1"/>
        <v>169740</v>
      </c>
      <c r="Q7" s="194" t="s">
        <v>97</v>
      </c>
      <c r="R7" s="597">
        <v>45310</v>
      </c>
      <c r="S7" s="598">
        <v>0</v>
      </c>
      <c r="T7" s="599">
        <v>45296</v>
      </c>
      <c r="U7" s="600">
        <v>0</v>
      </c>
      <c r="V7" s="184" t="s">
        <v>85</v>
      </c>
      <c r="W7" s="923"/>
      <c r="X7" s="602"/>
      <c r="Y7" s="924" t="s">
        <v>197</v>
      </c>
      <c r="Z7" s="925">
        <v>0</v>
      </c>
    </row>
    <row r="8" spans="1:26" s="642" customFormat="1" ht="36" customHeight="1" x14ac:dyDescent="0.35">
      <c r="B8" s="692" t="s">
        <v>67</v>
      </c>
      <c r="C8" s="692" t="s">
        <v>68</v>
      </c>
      <c r="D8" s="707">
        <v>11604</v>
      </c>
      <c r="E8" s="637"/>
      <c r="F8" s="637"/>
      <c r="G8" s="637"/>
      <c r="H8" s="656">
        <v>22250</v>
      </c>
      <c r="I8" s="708">
        <v>45299</v>
      </c>
      <c r="J8" s="712">
        <v>45104</v>
      </c>
      <c r="K8" s="656">
        <v>22250</v>
      </c>
      <c r="L8" s="21">
        <f t="shared" si="0"/>
        <v>0</v>
      </c>
      <c r="M8" s="35">
        <v>48</v>
      </c>
      <c r="N8" s="36"/>
      <c r="O8" s="37"/>
      <c r="P8" s="25">
        <f t="shared" si="1"/>
        <v>1068000</v>
      </c>
      <c r="Q8" s="30" t="s">
        <v>97</v>
      </c>
      <c r="R8" s="26">
        <v>45313</v>
      </c>
      <c r="S8" s="640"/>
      <c r="T8" s="39"/>
      <c r="U8" s="27"/>
      <c r="V8" s="40"/>
      <c r="W8" s="41"/>
      <c r="X8" s="641"/>
      <c r="Y8" s="43"/>
      <c r="Z8" s="583"/>
    </row>
    <row r="9" spans="1:26" ht="33" customHeight="1" thickBot="1" x14ac:dyDescent="0.4">
      <c r="B9" s="693" t="s">
        <v>67</v>
      </c>
      <c r="C9" s="693" t="s">
        <v>68</v>
      </c>
      <c r="D9" s="703">
        <v>11609</v>
      </c>
      <c r="E9" s="577"/>
      <c r="F9" s="577"/>
      <c r="G9" s="637"/>
      <c r="H9" s="657">
        <v>22620</v>
      </c>
      <c r="I9" s="647">
        <v>45301</v>
      </c>
      <c r="J9" s="712">
        <v>45170</v>
      </c>
      <c r="K9" s="657">
        <v>22620</v>
      </c>
      <c r="L9" s="21">
        <f t="shared" si="0"/>
        <v>0</v>
      </c>
      <c r="M9" s="35">
        <v>47</v>
      </c>
      <c r="N9" s="44"/>
      <c r="O9" s="45"/>
      <c r="P9" s="25">
        <f t="shared" si="1"/>
        <v>1063140</v>
      </c>
      <c r="Q9" s="30" t="s">
        <v>81</v>
      </c>
      <c r="R9" s="26">
        <v>45316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5">
      <c r="B10" s="693" t="s">
        <v>75</v>
      </c>
      <c r="C10" s="701" t="s">
        <v>76</v>
      </c>
      <c r="D10" s="999">
        <v>11612</v>
      </c>
      <c r="E10" s="702"/>
      <c r="F10" s="577"/>
      <c r="G10" s="637"/>
      <c r="H10" s="657">
        <v>22720</v>
      </c>
      <c r="I10" s="647">
        <v>45303</v>
      </c>
      <c r="J10" s="748" t="s">
        <v>126</v>
      </c>
      <c r="K10" s="657">
        <v>23570</v>
      </c>
      <c r="L10" s="21">
        <f t="shared" si="0"/>
        <v>850</v>
      </c>
      <c r="M10" s="35">
        <v>33.75</v>
      </c>
      <c r="N10" s="44"/>
      <c r="O10" s="45"/>
      <c r="P10" s="25">
        <f t="shared" ref="P10:P75" si="2">M10*K10</f>
        <v>795487.5</v>
      </c>
      <c r="Q10" s="50" t="s">
        <v>81</v>
      </c>
      <c r="R10" s="51">
        <v>45317</v>
      </c>
      <c r="S10" s="38">
        <v>31867.5</v>
      </c>
      <c r="T10" s="39">
        <v>45306</v>
      </c>
      <c r="U10" s="27"/>
      <c r="V10" s="40"/>
      <c r="W10" s="41"/>
      <c r="X10" s="42"/>
      <c r="Y10" s="52" t="s">
        <v>197</v>
      </c>
      <c r="Z10" s="584">
        <v>4176</v>
      </c>
    </row>
    <row r="11" spans="1:26" ht="38.25" thickBot="1" x14ac:dyDescent="0.4">
      <c r="B11" s="693" t="s">
        <v>77</v>
      </c>
      <c r="C11" s="701" t="s">
        <v>78</v>
      </c>
      <c r="D11" s="1000"/>
      <c r="E11" s="702"/>
      <c r="F11" s="577"/>
      <c r="G11" s="637"/>
      <c r="H11" s="657">
        <v>0</v>
      </c>
      <c r="I11" s="647">
        <v>45303</v>
      </c>
      <c r="J11" s="748" t="s">
        <v>128</v>
      </c>
      <c r="K11" s="657">
        <v>5615</v>
      </c>
      <c r="L11" s="21">
        <f>K11-H11</f>
        <v>5615</v>
      </c>
      <c r="M11" s="35">
        <v>33.75</v>
      </c>
      <c r="N11" s="53"/>
      <c r="O11" s="54"/>
      <c r="P11" s="25">
        <f>M11*K11</f>
        <v>189506.25</v>
      </c>
      <c r="Q11" s="30" t="s">
        <v>97</v>
      </c>
      <c r="R11" s="51">
        <v>45317</v>
      </c>
      <c r="S11" s="38">
        <v>0</v>
      </c>
      <c r="T11" s="39">
        <v>45306</v>
      </c>
      <c r="U11" s="27"/>
      <c r="V11" s="40"/>
      <c r="W11" s="41"/>
      <c r="X11" s="42"/>
      <c r="Y11" s="43" t="s">
        <v>197</v>
      </c>
      <c r="Z11" s="583">
        <v>0</v>
      </c>
    </row>
    <row r="12" spans="1:26" ht="36.75" customHeight="1" x14ac:dyDescent="0.35">
      <c r="A12" t="s">
        <v>22</v>
      </c>
      <c r="B12" s="693" t="s">
        <v>67</v>
      </c>
      <c r="C12" s="693" t="s">
        <v>80</v>
      </c>
      <c r="D12" s="649">
        <v>11615</v>
      </c>
      <c r="E12" s="577"/>
      <c r="F12" s="577"/>
      <c r="G12" s="637"/>
      <c r="H12" s="657">
        <v>23710</v>
      </c>
      <c r="I12" s="647">
        <v>45306</v>
      </c>
      <c r="J12" s="712">
        <v>45197</v>
      </c>
      <c r="K12" s="657">
        <v>23710</v>
      </c>
      <c r="L12" s="21">
        <f>K12-H12</f>
        <v>0</v>
      </c>
      <c r="M12" s="35">
        <v>46</v>
      </c>
      <c r="N12" s="44"/>
      <c r="O12" s="45"/>
      <c r="P12" s="25">
        <f>M12*K12</f>
        <v>1090660</v>
      </c>
      <c r="Q12" s="50" t="s">
        <v>97</v>
      </c>
      <c r="R12" s="51">
        <v>45321</v>
      </c>
      <c r="S12" s="38"/>
      <c r="T12" s="39"/>
      <c r="U12" s="27"/>
      <c r="V12" s="40"/>
      <c r="W12" s="41"/>
      <c r="X12" s="42"/>
      <c r="Y12" s="52"/>
      <c r="Z12" s="584"/>
    </row>
    <row r="13" spans="1:26" ht="34.5" customHeight="1" thickBot="1" x14ac:dyDescent="0.4">
      <c r="B13" s="693" t="s">
        <v>67</v>
      </c>
      <c r="C13" s="693" t="s">
        <v>80</v>
      </c>
      <c r="D13" s="703">
        <v>11623</v>
      </c>
      <c r="E13" s="577"/>
      <c r="F13" s="577"/>
      <c r="G13" s="637"/>
      <c r="H13" s="657">
        <v>23370</v>
      </c>
      <c r="I13" s="647">
        <v>45308</v>
      </c>
      <c r="J13" s="712">
        <v>45215</v>
      </c>
      <c r="K13" s="657">
        <v>23370</v>
      </c>
      <c r="L13" s="21">
        <f>K13-H13</f>
        <v>0</v>
      </c>
      <c r="M13" s="35">
        <v>46</v>
      </c>
      <c r="N13" s="53"/>
      <c r="O13" s="54"/>
      <c r="P13" s="25">
        <f>M13*K13</f>
        <v>1075020</v>
      </c>
      <c r="Q13" s="30" t="s">
        <v>81</v>
      </c>
      <c r="R13" s="51">
        <v>45322</v>
      </c>
      <c r="S13" s="750"/>
      <c r="T13" s="751"/>
      <c r="U13" s="27"/>
      <c r="V13" s="40"/>
      <c r="W13" s="41"/>
      <c r="X13" s="42"/>
      <c r="Y13" s="43"/>
      <c r="Z13" s="583"/>
    </row>
    <row r="14" spans="1:26" ht="39.75" customHeight="1" thickTop="1" x14ac:dyDescent="0.35">
      <c r="B14" s="693" t="s">
        <v>107</v>
      </c>
      <c r="C14" s="701" t="s">
        <v>76</v>
      </c>
      <c r="D14" s="999">
        <v>11624</v>
      </c>
      <c r="E14" s="702"/>
      <c r="F14" s="577"/>
      <c r="G14" s="637"/>
      <c r="H14" s="657">
        <v>21790</v>
      </c>
      <c r="I14" s="647">
        <v>45310</v>
      </c>
      <c r="J14" s="902" t="s">
        <v>185</v>
      </c>
      <c r="K14" s="657">
        <v>22545</v>
      </c>
      <c r="L14" s="21">
        <f t="shared" ref="L14:L76" si="3">K14-H14</f>
        <v>755</v>
      </c>
      <c r="M14" s="35">
        <v>33</v>
      </c>
      <c r="N14" s="53"/>
      <c r="O14" s="54"/>
      <c r="P14" s="25">
        <f t="shared" si="2"/>
        <v>743985</v>
      </c>
      <c r="Q14" s="903" t="s">
        <v>186</v>
      </c>
      <c r="R14" s="904">
        <v>45324</v>
      </c>
      <c r="S14" s="1037">
        <v>31400</v>
      </c>
      <c r="T14" s="989">
        <v>45310</v>
      </c>
      <c r="U14" s="749">
        <v>30240</v>
      </c>
      <c r="V14" s="40" t="s">
        <v>123</v>
      </c>
      <c r="W14" s="41"/>
      <c r="X14" s="42"/>
      <c r="Y14" s="52" t="s">
        <v>197</v>
      </c>
      <c r="Z14" s="583">
        <v>4176</v>
      </c>
    </row>
    <row r="15" spans="1:26" ht="31.5" customHeight="1" thickBot="1" x14ac:dyDescent="0.4">
      <c r="B15" s="693" t="s">
        <v>77</v>
      </c>
      <c r="C15" s="701" t="s">
        <v>78</v>
      </c>
      <c r="D15" s="1000"/>
      <c r="E15" s="702"/>
      <c r="F15" s="577"/>
      <c r="G15" s="637"/>
      <c r="H15" s="657">
        <v>0</v>
      </c>
      <c r="I15" s="647">
        <v>45310</v>
      </c>
      <c r="J15" s="748" t="s">
        <v>184</v>
      </c>
      <c r="K15" s="657">
        <v>5390</v>
      </c>
      <c r="L15" s="21">
        <f t="shared" si="3"/>
        <v>5390</v>
      </c>
      <c r="M15" s="35">
        <v>33</v>
      </c>
      <c r="N15" s="53"/>
      <c r="O15" s="54"/>
      <c r="P15" s="25">
        <f t="shared" si="2"/>
        <v>177870</v>
      </c>
      <c r="Q15" s="903" t="s">
        <v>97</v>
      </c>
      <c r="R15" s="904">
        <v>45324</v>
      </c>
      <c r="S15" s="1038"/>
      <c r="T15" s="990"/>
      <c r="U15" s="749">
        <v>0</v>
      </c>
      <c r="V15" s="40" t="s">
        <v>123</v>
      </c>
      <c r="W15" s="41"/>
      <c r="X15" s="42"/>
      <c r="Y15" s="52" t="s">
        <v>197</v>
      </c>
      <c r="Z15" s="584">
        <v>0</v>
      </c>
    </row>
    <row r="16" spans="1:26" ht="30.75" customHeight="1" x14ac:dyDescent="0.3">
      <c r="B16" s="693" t="s">
        <v>67</v>
      </c>
      <c r="C16" s="693" t="s">
        <v>80</v>
      </c>
      <c r="D16" s="649">
        <v>11627</v>
      </c>
      <c r="E16" s="577"/>
      <c r="F16" s="577"/>
      <c r="G16" s="637"/>
      <c r="H16" s="657">
        <v>22550</v>
      </c>
      <c r="I16" s="647">
        <v>45313</v>
      </c>
      <c r="J16" s="897">
        <v>45287</v>
      </c>
      <c r="K16" s="657">
        <v>22550</v>
      </c>
      <c r="L16" s="21">
        <f t="shared" si="3"/>
        <v>0</v>
      </c>
      <c r="M16" s="35">
        <v>45</v>
      </c>
      <c r="N16" s="987"/>
      <c r="O16" s="988"/>
      <c r="P16" s="25">
        <f t="shared" si="2"/>
        <v>1014750</v>
      </c>
      <c r="Q16" s="898" t="s">
        <v>81</v>
      </c>
      <c r="R16" s="899">
        <v>45329</v>
      </c>
      <c r="S16" s="752"/>
      <c r="T16" s="753"/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67</v>
      </c>
      <c r="C17" s="693" t="s">
        <v>80</v>
      </c>
      <c r="D17" s="650">
        <v>11629</v>
      </c>
      <c r="E17" s="577"/>
      <c r="F17" s="577"/>
      <c r="G17" s="637"/>
      <c r="H17" s="657">
        <v>22410</v>
      </c>
      <c r="I17" s="647">
        <v>45316</v>
      </c>
      <c r="J17" s="897">
        <v>45310</v>
      </c>
      <c r="K17" s="657">
        <v>22410</v>
      </c>
      <c r="L17" s="21">
        <f t="shared" si="3"/>
        <v>0</v>
      </c>
      <c r="M17" s="35">
        <v>45</v>
      </c>
      <c r="N17" s="58"/>
      <c r="O17" s="58"/>
      <c r="P17" s="25">
        <f t="shared" si="2"/>
        <v>1008450</v>
      </c>
      <c r="Q17" s="898" t="s">
        <v>97</v>
      </c>
      <c r="R17" s="899">
        <v>45331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5">
      <c r="B18" s="693" t="s">
        <v>107</v>
      </c>
      <c r="C18" s="693" t="s">
        <v>136</v>
      </c>
      <c r="D18" s="1026">
        <v>11632</v>
      </c>
      <c r="E18" s="577"/>
      <c r="F18" s="577"/>
      <c r="G18" s="637"/>
      <c r="H18" s="657">
        <v>22030</v>
      </c>
      <c r="I18" s="647">
        <v>45317</v>
      </c>
      <c r="J18" s="897">
        <v>13675</v>
      </c>
      <c r="K18" s="657">
        <v>23355</v>
      </c>
      <c r="L18" s="21">
        <f t="shared" si="3"/>
        <v>1325</v>
      </c>
      <c r="M18" s="35">
        <v>32</v>
      </c>
      <c r="N18" s="53"/>
      <c r="O18" s="54"/>
      <c r="P18" s="25">
        <f t="shared" si="2"/>
        <v>747360</v>
      </c>
      <c r="Q18" s="898" t="s">
        <v>81</v>
      </c>
      <c r="R18" s="899">
        <v>45334</v>
      </c>
      <c r="S18" s="38">
        <v>32203.5</v>
      </c>
      <c r="T18" s="59">
        <v>45320</v>
      </c>
      <c r="U18" s="27"/>
      <c r="V18" s="40"/>
      <c r="W18" s="41" t="s">
        <v>225</v>
      </c>
      <c r="X18" s="961">
        <v>4640</v>
      </c>
      <c r="Y18" s="52" t="s">
        <v>197</v>
      </c>
      <c r="Z18" s="584">
        <v>4176</v>
      </c>
    </row>
    <row r="19" spans="2:26" ht="42.75" customHeight="1" x14ac:dyDescent="0.3">
      <c r="B19" s="693" t="s">
        <v>77</v>
      </c>
      <c r="C19" s="693" t="s">
        <v>137</v>
      </c>
      <c r="D19" s="1027"/>
      <c r="E19" s="577"/>
      <c r="F19" s="577"/>
      <c r="G19" s="637"/>
      <c r="H19" s="657">
        <v>0</v>
      </c>
      <c r="I19" s="647">
        <v>45317</v>
      </c>
      <c r="J19" s="901" t="s">
        <v>183</v>
      </c>
      <c r="K19" s="657">
        <v>4985</v>
      </c>
      <c r="L19" s="21">
        <f t="shared" si="3"/>
        <v>4985</v>
      </c>
      <c r="M19" s="35">
        <v>32</v>
      </c>
      <c r="N19" s="58"/>
      <c r="O19" s="58"/>
      <c r="P19" s="25">
        <f t="shared" si="2"/>
        <v>159520</v>
      </c>
      <c r="Q19" s="898" t="s">
        <v>81</v>
      </c>
      <c r="R19" s="899">
        <v>45331</v>
      </c>
      <c r="S19" s="38">
        <v>0</v>
      </c>
      <c r="T19" s="39">
        <v>45320</v>
      </c>
      <c r="U19" s="27"/>
      <c r="V19" s="40"/>
      <c r="W19" s="41" t="s">
        <v>225</v>
      </c>
      <c r="X19" s="961">
        <v>0</v>
      </c>
      <c r="Y19" s="52" t="s">
        <v>197</v>
      </c>
      <c r="Z19" s="584">
        <v>0</v>
      </c>
    </row>
    <row r="20" spans="2:26" ht="27.75" customHeight="1" x14ac:dyDescent="0.35">
      <c r="B20" s="693" t="s">
        <v>67</v>
      </c>
      <c r="C20" s="693" t="s">
        <v>138</v>
      </c>
      <c r="D20" s="650">
        <v>11637</v>
      </c>
      <c r="E20" s="577"/>
      <c r="F20" s="577"/>
      <c r="G20" s="637"/>
      <c r="H20" s="657">
        <v>19090</v>
      </c>
      <c r="I20" s="647">
        <v>45320</v>
      </c>
      <c r="J20" s="897">
        <v>45384</v>
      </c>
      <c r="K20" s="657">
        <v>19090</v>
      </c>
      <c r="L20" s="21">
        <f t="shared" si="3"/>
        <v>0</v>
      </c>
      <c r="M20" s="35">
        <v>41.5</v>
      </c>
      <c r="N20" s="60"/>
      <c r="O20" s="61"/>
      <c r="P20" s="25">
        <f t="shared" si="2"/>
        <v>792235</v>
      </c>
      <c r="Q20" s="900" t="s">
        <v>81</v>
      </c>
      <c r="R20" s="899">
        <v>45336</v>
      </c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 t="s">
        <v>67</v>
      </c>
      <c r="C21" s="693" t="s">
        <v>138</v>
      </c>
      <c r="D21" s="650">
        <v>11639</v>
      </c>
      <c r="E21" s="577"/>
      <c r="F21" s="577"/>
      <c r="G21" s="637"/>
      <c r="H21" s="657">
        <v>20390</v>
      </c>
      <c r="I21" s="647">
        <v>45322</v>
      </c>
      <c r="J21" s="897">
        <v>45401</v>
      </c>
      <c r="K21" s="657">
        <v>20390</v>
      </c>
      <c r="L21" s="21">
        <f t="shared" si="3"/>
        <v>0</v>
      </c>
      <c r="M21" s="35">
        <v>41.5</v>
      </c>
      <c r="N21" s="60"/>
      <c r="O21" s="61"/>
      <c r="P21" s="25">
        <f t="shared" si="2"/>
        <v>846185</v>
      </c>
      <c r="Q21" s="900" t="s">
        <v>214</v>
      </c>
      <c r="R21" s="899">
        <v>45342</v>
      </c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50"/>
      <c r="E22" s="577"/>
      <c r="F22" s="577"/>
      <c r="G22" s="637"/>
      <c r="H22" s="657"/>
      <c r="I22" s="647"/>
      <c r="J22" s="712"/>
      <c r="K22" s="657"/>
      <c r="L22" s="21">
        <f t="shared" si="3"/>
        <v>0</v>
      </c>
      <c r="M22" s="35"/>
      <c r="N22" s="60"/>
      <c r="O22" s="61"/>
      <c r="P22" s="25">
        <f t="shared" si="2"/>
        <v>0</v>
      </c>
      <c r="Q22" s="50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647"/>
      <c r="J23" s="712"/>
      <c r="K23" s="657"/>
      <c r="L23" s="21">
        <f t="shared" si="3"/>
        <v>0</v>
      </c>
      <c r="M23" s="35"/>
      <c r="N23" s="60"/>
      <c r="O23" s="61"/>
      <c r="P23" s="25">
        <f t="shared" si="2"/>
        <v>0</v>
      </c>
      <c r="Q23" s="50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647"/>
      <c r="J24" s="712"/>
      <c r="K24" s="657"/>
      <c r="L24" s="21">
        <f t="shared" si="3"/>
        <v>0</v>
      </c>
      <c r="M24" s="35"/>
      <c r="N24" s="60"/>
      <c r="O24" s="61"/>
      <c r="P24" s="25">
        <f t="shared" si="2"/>
        <v>0</v>
      </c>
      <c r="Q24" s="586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647"/>
      <c r="J25" s="712"/>
      <c r="K25" s="657"/>
      <c r="L25" s="21">
        <f t="shared" si="3"/>
        <v>0</v>
      </c>
      <c r="M25" s="35"/>
      <c r="N25" s="60"/>
      <c r="O25" s="61"/>
      <c r="P25" s="25">
        <f t="shared" si="2"/>
        <v>0</v>
      </c>
      <c r="Q25" s="586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647"/>
      <c r="J26" s="712"/>
      <c r="K26" s="657"/>
      <c r="L26" s="21">
        <f t="shared" si="3"/>
        <v>0</v>
      </c>
      <c r="M26" s="35"/>
      <c r="N26" s="60"/>
      <c r="O26" s="61"/>
      <c r="P26" s="25">
        <f t="shared" si="2"/>
        <v>0</v>
      </c>
      <c r="Q26" s="50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647"/>
      <c r="J27" s="712"/>
      <c r="K27" s="657"/>
      <c r="L27" s="21">
        <f t="shared" si="3"/>
        <v>0</v>
      </c>
      <c r="M27" s="35"/>
      <c r="N27" s="60"/>
      <c r="O27" s="61"/>
      <c r="P27" s="25" t="s">
        <v>22</v>
      </c>
      <c r="Q27" s="62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647"/>
      <c r="J28" s="712"/>
      <c r="K28" s="657"/>
      <c r="L28" s="21">
        <f t="shared" si="3"/>
        <v>0</v>
      </c>
      <c r="M28" s="35"/>
      <c r="N28" s="60"/>
      <c r="O28" s="61"/>
      <c r="P28" s="25">
        <f t="shared" si="2"/>
        <v>0</v>
      </c>
      <c r="Q28" s="50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647"/>
      <c r="J29" s="712"/>
      <c r="K29" s="657"/>
      <c r="L29" s="21">
        <f t="shared" si="3"/>
        <v>0</v>
      </c>
      <c r="M29" s="35"/>
      <c r="N29" s="60"/>
      <c r="O29" s="61"/>
      <c r="P29" s="25">
        <f t="shared" si="2"/>
        <v>0</v>
      </c>
      <c r="Q29" s="67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647"/>
      <c r="J30" s="712"/>
      <c r="K30" s="657"/>
      <c r="L30" s="21">
        <f t="shared" si="3"/>
        <v>0</v>
      </c>
      <c r="M30" s="70"/>
      <c r="N30" s="60"/>
      <c r="O30" s="61"/>
      <c r="P30" s="25">
        <f t="shared" si="2"/>
        <v>0</v>
      </c>
      <c r="Q30" s="71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4">E31*H31</f>
        <v>0</v>
      </c>
      <c r="G31" s="20"/>
      <c r="H31" s="658"/>
      <c r="I31" s="64"/>
      <c r="J31" s="65"/>
      <c r="K31" s="667"/>
      <c r="L31" s="21">
        <f t="shared" si="3"/>
        <v>0</v>
      </c>
      <c r="M31" s="70"/>
      <c r="N31" s="60"/>
      <c r="O31" s="61"/>
      <c r="P31" s="25">
        <f t="shared" si="2"/>
        <v>0</v>
      </c>
      <c r="Q31" s="67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4"/>
        <v>0</v>
      </c>
      <c r="G32" s="33"/>
      <c r="H32" s="659"/>
      <c r="I32" s="48"/>
      <c r="J32" s="49"/>
      <c r="K32" s="668"/>
      <c r="L32" s="21">
        <f t="shared" si="3"/>
        <v>0</v>
      </c>
      <c r="M32" s="70"/>
      <c r="N32" s="60"/>
      <c r="O32" s="61"/>
      <c r="P32" s="25">
        <f t="shared" si="2"/>
        <v>0</v>
      </c>
      <c r="Q32" s="578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4"/>
        <v>0</v>
      </c>
      <c r="G33" s="33"/>
      <c r="H33" s="660"/>
      <c r="I33" s="75"/>
      <c r="J33" s="76"/>
      <c r="K33" s="664"/>
      <c r="L33" s="21">
        <f t="shared" si="3"/>
        <v>0</v>
      </c>
      <c r="M33" s="70"/>
      <c r="N33" s="60"/>
      <c r="O33" s="61"/>
      <c r="P33" s="25">
        <f t="shared" si="2"/>
        <v>0</v>
      </c>
      <c r="Q33" s="77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4"/>
        <v>0</v>
      </c>
      <c r="G34" s="33"/>
      <c r="H34" s="660"/>
      <c r="I34" s="75"/>
      <c r="J34" s="76"/>
      <c r="K34" s="664"/>
      <c r="L34" s="21">
        <f t="shared" si="3"/>
        <v>0</v>
      </c>
      <c r="M34" s="70"/>
      <c r="N34" s="60"/>
      <c r="O34" s="61"/>
      <c r="P34" s="25">
        <f t="shared" si="2"/>
        <v>0</v>
      </c>
      <c r="Q34" s="77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4"/>
        <v>0</v>
      </c>
      <c r="G35" s="33"/>
      <c r="H35" s="660"/>
      <c r="I35" s="75"/>
      <c r="J35" s="76"/>
      <c r="K35" s="664"/>
      <c r="L35" s="21">
        <f t="shared" si="3"/>
        <v>0</v>
      </c>
      <c r="M35" s="70"/>
      <c r="N35" s="60"/>
      <c r="O35" s="61"/>
      <c r="P35" s="25">
        <f t="shared" si="2"/>
        <v>0</v>
      </c>
      <c r="Q35" s="77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4"/>
        <v>0</v>
      </c>
      <c r="G36" s="33"/>
      <c r="H36" s="660"/>
      <c r="I36" s="75"/>
      <c r="J36" s="76"/>
      <c r="K36" s="664"/>
      <c r="L36" s="21">
        <f t="shared" si="3"/>
        <v>0</v>
      </c>
      <c r="M36" s="70"/>
      <c r="N36" s="60"/>
      <c r="O36" s="61"/>
      <c r="P36" s="25">
        <f t="shared" si="2"/>
        <v>0</v>
      </c>
      <c r="Q36" s="77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4"/>
        <v>0</v>
      </c>
      <c r="G37" s="33"/>
      <c r="H37" s="660"/>
      <c r="I37" s="75"/>
      <c r="J37" s="76"/>
      <c r="K37" s="664"/>
      <c r="L37" s="21">
        <f t="shared" si="3"/>
        <v>0</v>
      </c>
      <c r="M37" s="70"/>
      <c r="N37" s="60"/>
      <c r="O37" s="61"/>
      <c r="P37" s="25">
        <f t="shared" si="2"/>
        <v>0</v>
      </c>
      <c r="Q37" s="67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4"/>
        <v>0</v>
      </c>
      <c r="G38" s="33"/>
      <c r="H38" s="660"/>
      <c r="I38" s="75"/>
      <c r="J38" s="76"/>
      <c r="K38" s="664"/>
      <c r="L38" s="21">
        <f t="shared" si="3"/>
        <v>0</v>
      </c>
      <c r="M38" s="70"/>
      <c r="N38" s="60"/>
      <c r="O38" s="61"/>
      <c r="P38" s="25">
        <f t="shared" si="2"/>
        <v>0</v>
      </c>
      <c r="Q38" s="77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4"/>
        <v>0</v>
      </c>
      <c r="G39" s="33"/>
      <c r="H39" s="660"/>
      <c r="I39" s="75"/>
      <c r="J39" s="76"/>
      <c r="K39" s="664"/>
      <c r="L39" s="21">
        <f t="shared" si="3"/>
        <v>0</v>
      </c>
      <c r="M39" s="70"/>
      <c r="N39" s="60"/>
      <c r="O39" s="61"/>
      <c r="P39" s="25">
        <f t="shared" si="2"/>
        <v>0</v>
      </c>
      <c r="Q39" s="77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4"/>
        <v>0</v>
      </c>
      <c r="G40" s="33"/>
      <c r="H40" s="660"/>
      <c r="I40" s="75"/>
      <c r="J40" s="76"/>
      <c r="K40" s="664"/>
      <c r="L40" s="21">
        <f t="shared" si="3"/>
        <v>0</v>
      </c>
      <c r="M40" s="70"/>
      <c r="N40" s="60"/>
      <c r="O40" s="61"/>
      <c r="P40" s="25">
        <f t="shared" si="2"/>
        <v>0</v>
      </c>
      <c r="Q40" s="77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4"/>
        <v>0</v>
      </c>
      <c r="G41" s="33"/>
      <c r="H41" s="660"/>
      <c r="I41" s="75"/>
      <c r="J41" s="76"/>
      <c r="K41" s="664"/>
      <c r="L41" s="21">
        <f t="shared" si="3"/>
        <v>0</v>
      </c>
      <c r="M41" s="70"/>
      <c r="N41" s="60"/>
      <c r="O41" s="61"/>
      <c r="P41" s="25">
        <f t="shared" si="2"/>
        <v>0</v>
      </c>
      <c r="Q41" s="77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4"/>
        <v>0</v>
      </c>
      <c r="G42" s="33"/>
      <c r="H42" s="660"/>
      <c r="I42" s="75"/>
      <c r="J42" s="76"/>
      <c r="K42" s="664"/>
      <c r="L42" s="21">
        <f t="shared" si="3"/>
        <v>0</v>
      </c>
      <c r="M42" s="70"/>
      <c r="N42" s="60"/>
      <c r="O42" s="61"/>
      <c r="P42" s="25">
        <f t="shared" si="2"/>
        <v>0</v>
      </c>
      <c r="Q42" s="77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4"/>
        <v>0</v>
      </c>
      <c r="G43" s="33"/>
      <c r="H43" s="660"/>
      <c r="I43" s="75"/>
      <c r="J43" s="76"/>
      <c r="K43" s="664"/>
      <c r="L43" s="21">
        <f t="shared" si="3"/>
        <v>0</v>
      </c>
      <c r="M43" s="70"/>
      <c r="N43" s="60"/>
      <c r="O43" s="61"/>
      <c r="P43" s="25">
        <f t="shared" si="2"/>
        <v>0</v>
      </c>
      <c r="Q43" s="84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4"/>
        <v>0</v>
      </c>
      <c r="G44" s="33"/>
      <c r="H44" s="660"/>
      <c r="I44" s="75"/>
      <c r="J44" s="76"/>
      <c r="K44" s="664"/>
      <c r="L44" s="21">
        <f t="shared" si="3"/>
        <v>0</v>
      </c>
      <c r="M44" s="70"/>
      <c r="N44" s="60"/>
      <c r="O44" s="61"/>
      <c r="P44" s="25">
        <f t="shared" si="2"/>
        <v>0</v>
      </c>
      <c r="Q44" s="77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4"/>
        <v>0</v>
      </c>
      <c r="G45" s="33"/>
      <c r="H45" s="660"/>
      <c r="I45" s="75"/>
      <c r="J45" s="76"/>
      <c r="K45" s="664"/>
      <c r="L45" s="21">
        <f t="shared" si="3"/>
        <v>0</v>
      </c>
      <c r="M45" s="70"/>
      <c r="N45" s="60"/>
      <c r="O45" s="61"/>
      <c r="P45" s="25">
        <f t="shared" si="2"/>
        <v>0</v>
      </c>
      <c r="Q45" s="77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4"/>
        <v>0</v>
      </c>
      <c r="G46" s="33"/>
      <c r="H46" s="660"/>
      <c r="I46" s="75"/>
      <c r="J46" s="76"/>
      <c r="K46" s="664"/>
      <c r="L46" s="21">
        <f t="shared" si="3"/>
        <v>0</v>
      </c>
      <c r="M46" s="70"/>
      <c r="N46" s="60"/>
      <c r="O46" s="61"/>
      <c r="P46" s="25">
        <f t="shared" si="2"/>
        <v>0</v>
      </c>
      <c r="Q46" s="77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4"/>
        <v>0</v>
      </c>
      <c r="G47" s="33"/>
      <c r="H47" s="660"/>
      <c r="I47" s="75"/>
      <c r="J47" s="76"/>
      <c r="K47" s="664"/>
      <c r="L47" s="21">
        <f t="shared" si="3"/>
        <v>0</v>
      </c>
      <c r="M47" s="70"/>
      <c r="N47" s="60"/>
      <c r="O47" s="61"/>
      <c r="P47" s="25">
        <f t="shared" si="2"/>
        <v>0</v>
      </c>
      <c r="Q47" s="77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4"/>
        <v>0</v>
      </c>
      <c r="G48" s="33"/>
      <c r="H48" s="660"/>
      <c r="I48" s="75"/>
      <c r="J48" s="76"/>
      <c r="K48" s="664"/>
      <c r="L48" s="21">
        <f t="shared" si="3"/>
        <v>0</v>
      </c>
      <c r="M48" s="70"/>
      <c r="N48" s="60"/>
      <c r="O48" s="61"/>
      <c r="P48" s="25">
        <f t="shared" si="2"/>
        <v>0</v>
      </c>
      <c r="Q48" s="77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4"/>
        <v>0</v>
      </c>
      <c r="G49" s="33"/>
      <c r="H49" s="660"/>
      <c r="I49" s="75"/>
      <c r="J49" s="76"/>
      <c r="K49" s="664"/>
      <c r="L49" s="21">
        <f t="shared" si="3"/>
        <v>0</v>
      </c>
      <c r="M49" s="70"/>
      <c r="N49" s="60"/>
      <c r="O49" s="61"/>
      <c r="P49" s="25">
        <f t="shared" si="2"/>
        <v>0</v>
      </c>
      <c r="Q49" s="77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4"/>
        <v>0</v>
      </c>
      <c r="G50" s="33"/>
      <c r="H50" s="660"/>
      <c r="I50" s="75"/>
      <c r="J50" s="76"/>
      <c r="K50" s="664"/>
      <c r="L50" s="21">
        <f t="shared" si="3"/>
        <v>0</v>
      </c>
      <c r="M50" s="70"/>
      <c r="N50" s="60"/>
      <c r="O50" s="61"/>
      <c r="P50" s="25">
        <f t="shared" si="2"/>
        <v>0</v>
      </c>
      <c r="Q50" s="77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4"/>
        <v>0</v>
      </c>
      <c r="G51" s="33"/>
      <c r="H51" s="660"/>
      <c r="I51" s="75"/>
      <c r="J51" s="76"/>
      <c r="K51" s="664"/>
      <c r="L51" s="21">
        <f t="shared" si="3"/>
        <v>0</v>
      </c>
      <c r="M51" s="70"/>
      <c r="N51" s="60"/>
      <c r="O51" s="61"/>
      <c r="P51" s="25">
        <f t="shared" si="2"/>
        <v>0</v>
      </c>
      <c r="Q51" s="9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4"/>
        <v>0</v>
      </c>
      <c r="G52" s="33"/>
      <c r="H52" s="660"/>
      <c r="I52" s="75"/>
      <c r="J52" s="76"/>
      <c r="K52" s="664"/>
      <c r="L52" s="21">
        <f t="shared" si="3"/>
        <v>0</v>
      </c>
      <c r="M52" s="70"/>
      <c r="N52" s="60"/>
      <c r="O52" s="61"/>
      <c r="P52" s="25">
        <f t="shared" si="2"/>
        <v>0</v>
      </c>
      <c r="Q52" s="94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4"/>
        <v>0</v>
      </c>
      <c r="G53" s="33"/>
      <c r="H53" s="660"/>
      <c r="I53" s="75"/>
      <c r="J53" s="76"/>
      <c r="K53" s="664"/>
      <c r="L53" s="21">
        <f t="shared" si="3"/>
        <v>0</v>
      </c>
      <c r="M53" s="70"/>
      <c r="N53" s="60"/>
      <c r="O53" s="61"/>
      <c r="P53" s="25">
        <f t="shared" si="2"/>
        <v>0</v>
      </c>
      <c r="Q53" s="7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4"/>
        <v>0</v>
      </c>
      <c r="G54" s="33"/>
      <c r="H54" s="660"/>
      <c r="I54" s="75"/>
      <c r="J54" s="76"/>
      <c r="K54" s="664"/>
      <c r="L54" s="21">
        <f t="shared" si="3"/>
        <v>0</v>
      </c>
      <c r="M54" s="70"/>
      <c r="N54" s="60"/>
      <c r="O54" s="61"/>
      <c r="P54" s="25">
        <f t="shared" si="2"/>
        <v>0</v>
      </c>
      <c r="Q54" s="7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4"/>
        <v>0</v>
      </c>
      <c r="G55" s="33"/>
      <c r="H55" s="660"/>
      <c r="I55" s="75"/>
      <c r="J55" s="76"/>
      <c r="K55" s="664"/>
      <c r="L55" s="21">
        <f t="shared" si="3"/>
        <v>0</v>
      </c>
      <c r="M55" s="70"/>
      <c r="N55" s="60"/>
      <c r="O55" s="61"/>
      <c r="P55" s="25">
        <f t="shared" si="2"/>
        <v>0</v>
      </c>
      <c r="Q55" s="7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4"/>
        <v>0</v>
      </c>
      <c r="G56" s="33"/>
      <c r="H56" s="660"/>
      <c r="I56" s="75"/>
      <c r="J56" s="76"/>
      <c r="K56" s="664"/>
      <c r="L56" s="21">
        <f t="shared" si="3"/>
        <v>0</v>
      </c>
      <c r="M56" s="70"/>
      <c r="N56" s="60"/>
      <c r="O56" s="61"/>
      <c r="P56" s="25">
        <f t="shared" si="2"/>
        <v>0</v>
      </c>
      <c r="Q56" s="7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4"/>
        <v>0</v>
      </c>
      <c r="G57" s="33"/>
      <c r="H57" s="660"/>
      <c r="I57" s="75"/>
      <c r="J57" s="76"/>
      <c r="K57" s="664"/>
      <c r="L57" s="21">
        <f t="shared" si="3"/>
        <v>0</v>
      </c>
      <c r="M57" s="70"/>
      <c r="N57" s="60"/>
      <c r="O57" s="61"/>
      <c r="P57" s="25">
        <f t="shared" si="2"/>
        <v>0</v>
      </c>
      <c r="Q57" s="7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4"/>
        <v>0</v>
      </c>
      <c r="G58" s="33"/>
      <c r="H58" s="660"/>
      <c r="I58" s="75"/>
      <c r="J58" s="76"/>
      <c r="K58" s="664"/>
      <c r="L58" s="21">
        <f t="shared" si="3"/>
        <v>0</v>
      </c>
      <c r="M58" s="70"/>
      <c r="N58" s="60"/>
      <c r="O58" s="61"/>
      <c r="P58" s="25">
        <f t="shared" si="2"/>
        <v>0</v>
      </c>
      <c r="Q58" s="7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4"/>
        <v>0</v>
      </c>
      <c r="G59" s="33"/>
      <c r="H59" s="660"/>
      <c r="I59" s="75"/>
      <c r="J59" s="76"/>
      <c r="K59" s="664"/>
      <c r="L59" s="21">
        <f t="shared" si="3"/>
        <v>0</v>
      </c>
      <c r="M59" s="70"/>
      <c r="N59" s="60"/>
      <c r="O59" s="61"/>
      <c r="P59" s="25">
        <f t="shared" si="2"/>
        <v>0</v>
      </c>
      <c r="Q59" s="7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4"/>
        <v>0</v>
      </c>
      <c r="G60" s="33"/>
      <c r="H60" s="660"/>
      <c r="I60" s="75"/>
      <c r="J60" s="76"/>
      <c r="K60" s="664"/>
      <c r="L60" s="21">
        <f t="shared" si="3"/>
        <v>0</v>
      </c>
      <c r="M60" s="70"/>
      <c r="N60" s="60"/>
      <c r="O60" s="61"/>
      <c r="P60" s="25">
        <f t="shared" si="2"/>
        <v>0</v>
      </c>
      <c r="Q60" s="7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4"/>
        <v>0</v>
      </c>
      <c r="G61" s="33"/>
      <c r="H61" s="660"/>
      <c r="I61" s="75"/>
      <c r="J61" s="76"/>
      <c r="K61" s="664"/>
      <c r="L61" s="21">
        <f t="shared" si="3"/>
        <v>0</v>
      </c>
      <c r="M61" s="70"/>
      <c r="N61" s="60"/>
      <c r="O61" s="61"/>
      <c r="P61" s="25">
        <f t="shared" si="2"/>
        <v>0</v>
      </c>
      <c r="Q61" s="7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4"/>
        <v>0</v>
      </c>
      <c r="G62" s="33"/>
      <c r="H62" s="660"/>
      <c r="I62" s="75"/>
      <c r="J62" s="76"/>
      <c r="K62" s="664"/>
      <c r="L62" s="21">
        <f t="shared" si="3"/>
        <v>0</v>
      </c>
      <c r="M62" s="70"/>
      <c r="N62" s="60"/>
      <c r="O62" s="61"/>
      <c r="P62" s="25">
        <f t="shared" si="2"/>
        <v>0</v>
      </c>
      <c r="Q62" s="7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4"/>
        <v>0</v>
      </c>
      <c r="G63" s="33"/>
      <c r="H63" s="660"/>
      <c r="I63" s="75"/>
      <c r="J63" s="76"/>
      <c r="K63" s="664"/>
      <c r="L63" s="21">
        <f t="shared" si="3"/>
        <v>0</v>
      </c>
      <c r="M63" s="70"/>
      <c r="N63" s="60"/>
      <c r="O63" s="61"/>
      <c r="P63" s="25">
        <f t="shared" si="2"/>
        <v>0</v>
      </c>
      <c r="Q63" s="7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4"/>
        <v>0</v>
      </c>
      <c r="G64" s="33"/>
      <c r="H64" s="660"/>
      <c r="I64" s="75"/>
      <c r="J64" s="76"/>
      <c r="K64" s="664"/>
      <c r="L64" s="21">
        <f t="shared" si="3"/>
        <v>0</v>
      </c>
      <c r="M64" s="70"/>
      <c r="N64" s="60"/>
      <c r="O64" s="61"/>
      <c r="P64" s="25">
        <f t="shared" si="2"/>
        <v>0</v>
      </c>
      <c r="Q64" s="7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4"/>
        <v>0</v>
      </c>
      <c r="G65" s="33"/>
      <c r="H65" s="660"/>
      <c r="I65" s="75"/>
      <c r="J65" s="76"/>
      <c r="K65" s="664"/>
      <c r="L65" s="21">
        <f t="shared" si="3"/>
        <v>0</v>
      </c>
      <c r="M65" s="70"/>
      <c r="N65" s="60"/>
      <c r="O65" s="61"/>
      <c r="P65" s="25">
        <f t="shared" si="2"/>
        <v>0</v>
      </c>
      <c r="Q65" s="7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4"/>
        <v>0</v>
      </c>
      <c r="G66" s="105"/>
      <c r="H66" s="661"/>
      <c r="I66" s="106"/>
      <c r="J66" s="107"/>
      <c r="K66" s="669"/>
      <c r="L66" s="21">
        <f t="shared" si="3"/>
        <v>0</v>
      </c>
      <c r="M66" s="108"/>
      <c r="N66" s="109"/>
      <c r="O66" s="110"/>
      <c r="P66" s="25">
        <f t="shared" si="2"/>
        <v>0</v>
      </c>
      <c r="Q66" s="111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25">
      <c r="B67" s="115"/>
      <c r="C67" s="115"/>
      <c r="D67" s="651"/>
      <c r="E67" s="115"/>
      <c r="F67" s="115"/>
      <c r="G67" s="653"/>
      <c r="H67" s="662"/>
      <c r="I67" s="648"/>
      <c r="J67" s="653"/>
      <c r="K67" s="662"/>
      <c r="L67" s="21">
        <f t="shared" si="3"/>
        <v>0</v>
      </c>
      <c r="M67" s="117"/>
      <c r="N67" s="118"/>
      <c r="O67" s="119"/>
      <c r="P67" s="120">
        <f t="shared" si="2"/>
        <v>0</v>
      </c>
      <c r="Q67" s="121"/>
      <c r="R67" s="122"/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45" customHeight="1" x14ac:dyDescent="0.3">
      <c r="B68" s="695" t="s">
        <v>59</v>
      </c>
      <c r="C68" s="692" t="s">
        <v>60</v>
      </c>
      <c r="D68" s="638" t="s">
        <v>61</v>
      </c>
      <c r="E68" s="637"/>
      <c r="F68" s="637"/>
      <c r="G68" s="637">
        <v>679</v>
      </c>
      <c r="H68" s="656">
        <v>18482.38</v>
      </c>
      <c r="I68" s="646">
        <v>45297</v>
      </c>
      <c r="J68" s="712" t="s">
        <v>96</v>
      </c>
      <c r="K68" s="656">
        <v>18479.664000000001</v>
      </c>
      <c r="L68" s="639">
        <f>K68-H68</f>
        <v>-2.7160000000003492</v>
      </c>
      <c r="M68" s="35">
        <v>58</v>
      </c>
      <c r="N68" s="118"/>
      <c r="O68" s="119"/>
      <c r="P68" s="120">
        <f t="shared" si="2"/>
        <v>1071820.5120000001</v>
      </c>
      <c r="Q68" s="121" t="s">
        <v>97</v>
      </c>
      <c r="R68" s="122">
        <v>45303</v>
      </c>
      <c r="S68" s="129"/>
      <c r="T68" s="123"/>
      <c r="U68" s="130"/>
      <c r="V68" s="130"/>
      <c r="W68" s="28"/>
      <c r="X68" s="131"/>
      <c r="Y68" s="124"/>
      <c r="Z68" s="125"/>
      <c r="AA68" s="132"/>
    </row>
    <row r="69" spans="2:27" ht="45.75" customHeight="1" thickBot="1" x14ac:dyDescent="0.3">
      <c r="B69" s="679" t="s">
        <v>65</v>
      </c>
      <c r="C69" s="644" t="s">
        <v>66</v>
      </c>
      <c r="D69" s="682">
        <v>11600</v>
      </c>
      <c r="E69" s="115"/>
      <c r="F69" s="115"/>
      <c r="G69" s="653">
        <v>58</v>
      </c>
      <c r="H69" s="662">
        <v>1529.02</v>
      </c>
      <c r="I69" s="685">
        <v>45297</v>
      </c>
      <c r="J69" s="738">
        <v>21237</v>
      </c>
      <c r="K69" s="662">
        <v>1529.02</v>
      </c>
      <c r="L69" s="21">
        <f t="shared" si="3"/>
        <v>0</v>
      </c>
      <c r="M69" s="117">
        <v>80</v>
      </c>
      <c r="N69" s="118"/>
      <c r="O69" s="119"/>
      <c r="P69" s="120">
        <f t="shared" si="2"/>
        <v>122321.60000000001</v>
      </c>
      <c r="Q69" s="688" t="s">
        <v>97</v>
      </c>
      <c r="R69" s="689">
        <v>45309</v>
      </c>
      <c r="S69" s="133"/>
      <c r="T69" s="123"/>
      <c r="U69" s="130"/>
      <c r="V69" s="130"/>
      <c r="W69" s="28"/>
      <c r="X69" s="131"/>
      <c r="Y69" s="124"/>
      <c r="Z69" s="125"/>
      <c r="AA69" s="132"/>
    </row>
    <row r="70" spans="2:27" ht="30.75" customHeight="1" x14ac:dyDescent="0.25">
      <c r="B70" s="1015" t="s">
        <v>72</v>
      </c>
      <c r="C70" s="681" t="s">
        <v>73</v>
      </c>
      <c r="D70" s="1003">
        <v>11610</v>
      </c>
      <c r="E70" s="678"/>
      <c r="F70" s="115"/>
      <c r="G70" s="653"/>
      <c r="H70" s="684">
        <v>1316.6</v>
      </c>
      <c r="I70" s="1005">
        <v>45302</v>
      </c>
      <c r="J70" s="1007" t="s">
        <v>151</v>
      </c>
      <c r="K70" s="737">
        <v>1316.6</v>
      </c>
      <c r="L70" s="134">
        <f t="shared" si="3"/>
        <v>0</v>
      </c>
      <c r="M70" s="117">
        <v>118</v>
      </c>
      <c r="N70" s="118">
        <f>100000+56968.8</f>
        <v>156968.79999999999</v>
      </c>
      <c r="O70" s="119"/>
      <c r="P70" s="135">
        <f t="shared" si="2"/>
        <v>155358.79999999999</v>
      </c>
      <c r="Q70" s="1039" t="s">
        <v>91</v>
      </c>
      <c r="R70" s="1041" t="s">
        <v>92</v>
      </c>
      <c r="S70" s="687"/>
      <c r="T70" s="123"/>
      <c r="U70" s="130"/>
      <c r="V70" s="130"/>
      <c r="W70" s="28" t="s">
        <v>195</v>
      </c>
      <c r="X70" s="131">
        <v>1763.2</v>
      </c>
      <c r="Y70" s="124" t="s">
        <v>199</v>
      </c>
      <c r="Z70" s="125">
        <v>4176</v>
      </c>
      <c r="AA70" s="132"/>
    </row>
    <row r="71" spans="2:27" ht="30.75" customHeight="1" thickBot="1" x14ac:dyDescent="0.3">
      <c r="B71" s="1017"/>
      <c r="C71" s="681" t="s">
        <v>74</v>
      </c>
      <c r="D71" s="1004"/>
      <c r="E71" s="678"/>
      <c r="F71" s="115"/>
      <c r="G71" s="653"/>
      <c r="H71" s="684">
        <v>80.5</v>
      </c>
      <c r="I71" s="1006"/>
      <c r="J71" s="1008"/>
      <c r="K71" s="737">
        <v>80.5</v>
      </c>
      <c r="L71" s="134">
        <f t="shared" si="3"/>
        <v>0</v>
      </c>
      <c r="M71" s="117">
        <v>20</v>
      </c>
      <c r="N71" s="118"/>
      <c r="O71" s="119"/>
      <c r="P71" s="135">
        <f t="shared" si="2"/>
        <v>1610</v>
      </c>
      <c r="Q71" s="1040"/>
      <c r="R71" s="1042"/>
      <c r="S71" s="687"/>
      <c r="T71" s="123"/>
      <c r="U71" s="130"/>
      <c r="V71" s="130"/>
      <c r="W71" s="28"/>
      <c r="X71" s="131"/>
      <c r="Y71" s="124" t="s">
        <v>199</v>
      </c>
      <c r="Z71" s="125">
        <v>0</v>
      </c>
      <c r="AA71" s="132"/>
    </row>
    <row r="72" spans="2:27" s="127" customFormat="1" ht="30.75" customHeight="1" x14ac:dyDescent="0.35">
      <c r="B72" s="115" t="s">
        <v>101</v>
      </c>
      <c r="C72" s="115" t="s">
        <v>102</v>
      </c>
      <c r="D72" s="651">
        <v>11619</v>
      </c>
      <c r="E72" s="115"/>
      <c r="F72" s="115"/>
      <c r="G72" s="653">
        <v>1</v>
      </c>
      <c r="H72" s="662">
        <v>875.43</v>
      </c>
      <c r="I72" s="648">
        <v>45309</v>
      </c>
      <c r="J72" s="717" t="s">
        <v>103</v>
      </c>
      <c r="K72" s="662">
        <v>875.43</v>
      </c>
      <c r="L72" s="134">
        <f t="shared" si="3"/>
        <v>0</v>
      </c>
      <c r="M72" s="117">
        <v>22.5</v>
      </c>
      <c r="N72" s="136"/>
      <c r="O72" s="137"/>
      <c r="P72" s="135">
        <f t="shared" si="2"/>
        <v>19697.174999999999</v>
      </c>
      <c r="Q72" s="121" t="s">
        <v>104</v>
      </c>
      <c r="R72" s="587">
        <v>45309</v>
      </c>
      <c r="S72" s="133"/>
      <c r="T72" s="123"/>
      <c r="U72" s="130"/>
      <c r="V72" s="130"/>
      <c r="W72" s="28"/>
      <c r="X72" s="138"/>
      <c r="Y72" s="139"/>
      <c r="Z72" s="140"/>
      <c r="AA72" s="126"/>
    </row>
    <row r="73" spans="2:27" ht="52.5" customHeight="1" thickBot="1" x14ac:dyDescent="0.4">
      <c r="B73" s="679" t="s">
        <v>150</v>
      </c>
      <c r="C73" s="775" t="s">
        <v>111</v>
      </c>
      <c r="D73" s="682">
        <v>11625</v>
      </c>
      <c r="E73" s="115"/>
      <c r="F73" s="115"/>
      <c r="G73" s="653">
        <v>480</v>
      </c>
      <c r="H73" s="662">
        <v>7200</v>
      </c>
      <c r="I73" s="685">
        <v>45313</v>
      </c>
      <c r="J73" s="738">
        <v>233</v>
      </c>
      <c r="K73" s="662">
        <v>7200</v>
      </c>
      <c r="L73" s="134">
        <f t="shared" si="3"/>
        <v>0</v>
      </c>
      <c r="M73" s="117">
        <v>32.5</v>
      </c>
      <c r="N73" s="136"/>
      <c r="O73" s="137"/>
      <c r="P73" s="135">
        <f t="shared" si="2"/>
        <v>234000</v>
      </c>
      <c r="Q73" s="688" t="s">
        <v>81</v>
      </c>
      <c r="R73" s="740">
        <v>45321</v>
      </c>
      <c r="S73" s="133"/>
      <c r="T73" s="123"/>
      <c r="U73" s="745"/>
      <c r="V73" s="745"/>
      <c r="W73" s="957"/>
      <c r="X73" s="958"/>
      <c r="Y73" s="141"/>
      <c r="Z73" s="142"/>
      <c r="AA73" s="132"/>
    </row>
    <row r="74" spans="2:27" ht="30.75" customHeight="1" thickTop="1" x14ac:dyDescent="0.25">
      <c r="B74" s="1015" t="s">
        <v>72</v>
      </c>
      <c r="C74" s="681" t="s">
        <v>112</v>
      </c>
      <c r="D74" s="1003">
        <v>11630</v>
      </c>
      <c r="E74" s="678"/>
      <c r="F74" s="115"/>
      <c r="G74" s="653"/>
      <c r="H74" s="684">
        <v>403.5</v>
      </c>
      <c r="I74" s="1005">
        <v>45317</v>
      </c>
      <c r="J74" s="1020" t="s">
        <v>113</v>
      </c>
      <c r="K74" s="737">
        <v>403.5</v>
      </c>
      <c r="L74" s="134">
        <f t="shared" si="3"/>
        <v>0</v>
      </c>
      <c r="M74" s="117">
        <v>102</v>
      </c>
      <c r="N74" s="1034">
        <f>200000+59843.4</f>
        <v>259843.4</v>
      </c>
      <c r="O74" s="137"/>
      <c r="P74" s="135">
        <f t="shared" si="2"/>
        <v>41157</v>
      </c>
      <c r="Q74" s="1023" t="s">
        <v>97</v>
      </c>
      <c r="R74" s="1012" t="s">
        <v>122</v>
      </c>
      <c r="S74" s="687"/>
      <c r="T74" s="743"/>
      <c r="U74" s="1028">
        <v>28000</v>
      </c>
      <c r="V74" s="1031" t="s">
        <v>118</v>
      </c>
      <c r="W74" s="991" t="s">
        <v>225</v>
      </c>
      <c r="X74" s="994">
        <v>3480</v>
      </c>
      <c r="Y74" s="977" t="s">
        <v>199</v>
      </c>
      <c r="Z74" s="980">
        <v>4176</v>
      </c>
      <c r="AA74" s="132"/>
    </row>
    <row r="75" spans="2:27" ht="30.75" customHeight="1" x14ac:dyDescent="0.25">
      <c r="B75" s="1016"/>
      <c r="C75" s="681" t="s">
        <v>73</v>
      </c>
      <c r="D75" s="1018"/>
      <c r="E75" s="678"/>
      <c r="F75" s="115"/>
      <c r="G75" s="653"/>
      <c r="H75" s="684">
        <v>1213.2</v>
      </c>
      <c r="I75" s="1019"/>
      <c r="J75" s="1021"/>
      <c r="K75" s="737">
        <v>1213.2</v>
      </c>
      <c r="L75" s="134">
        <f t="shared" si="3"/>
        <v>0</v>
      </c>
      <c r="M75" s="117">
        <v>118</v>
      </c>
      <c r="N75" s="1035"/>
      <c r="O75" s="137"/>
      <c r="P75" s="135">
        <f t="shared" si="2"/>
        <v>143157.6</v>
      </c>
      <c r="Q75" s="1024"/>
      <c r="R75" s="1013"/>
      <c r="S75" s="687"/>
      <c r="T75" s="743"/>
      <c r="U75" s="1029"/>
      <c r="V75" s="1032"/>
      <c r="W75" s="992"/>
      <c r="X75" s="995"/>
      <c r="Y75" s="978"/>
      <c r="Z75" s="981"/>
      <c r="AA75" s="132"/>
    </row>
    <row r="76" spans="2:27" ht="30.75" customHeight="1" x14ac:dyDescent="0.25">
      <c r="B76" s="1016"/>
      <c r="C76" s="681" t="s">
        <v>73</v>
      </c>
      <c r="D76" s="1018"/>
      <c r="E76" s="678"/>
      <c r="F76" s="115"/>
      <c r="G76" s="653"/>
      <c r="H76" s="684">
        <v>631.6</v>
      </c>
      <c r="I76" s="1019"/>
      <c r="J76" s="1021"/>
      <c r="K76" s="737">
        <v>631.6</v>
      </c>
      <c r="L76" s="134">
        <f t="shared" si="3"/>
        <v>0</v>
      </c>
      <c r="M76" s="117">
        <v>118</v>
      </c>
      <c r="N76" s="1035"/>
      <c r="O76" s="117"/>
      <c r="P76" s="135">
        <f t="shared" ref="P76:P109" si="5">M76*K76</f>
        <v>74528.800000000003</v>
      </c>
      <c r="Q76" s="1024"/>
      <c r="R76" s="1013"/>
      <c r="S76" s="687"/>
      <c r="T76" s="743"/>
      <c r="U76" s="1029"/>
      <c r="V76" s="1032"/>
      <c r="W76" s="992"/>
      <c r="X76" s="995"/>
      <c r="Y76" s="978"/>
      <c r="Z76" s="981"/>
      <c r="AA76" s="132"/>
    </row>
    <row r="77" spans="2:27" ht="26.25" customHeight="1" thickBot="1" x14ac:dyDescent="0.3">
      <c r="B77" s="1017"/>
      <c r="C77" s="681" t="s">
        <v>114</v>
      </c>
      <c r="D77" s="1004"/>
      <c r="E77" s="678"/>
      <c r="F77" s="115"/>
      <c r="G77" s="653"/>
      <c r="H77" s="684">
        <v>50</v>
      </c>
      <c r="I77" s="1006"/>
      <c r="J77" s="1022"/>
      <c r="K77" s="737">
        <v>50</v>
      </c>
      <c r="L77" s="134">
        <f t="shared" ref="L77:L109" si="6">K77-H77</f>
        <v>0</v>
      </c>
      <c r="M77" s="117">
        <v>20</v>
      </c>
      <c r="N77" s="1036"/>
      <c r="O77" s="117"/>
      <c r="P77" s="144">
        <f t="shared" si="5"/>
        <v>1000</v>
      </c>
      <c r="Q77" s="1025"/>
      <c r="R77" s="1014"/>
      <c r="S77" s="687"/>
      <c r="T77" s="743"/>
      <c r="U77" s="1030"/>
      <c r="V77" s="1033"/>
      <c r="W77" s="993"/>
      <c r="X77" s="996"/>
      <c r="Y77" s="979"/>
      <c r="Z77" s="982"/>
      <c r="AA77" s="132"/>
    </row>
    <row r="78" spans="2:27" s="127" customFormat="1" ht="32.25" customHeight="1" thickTop="1" x14ac:dyDescent="0.25">
      <c r="B78" s="680"/>
      <c r="C78" s="115"/>
      <c r="D78" s="683"/>
      <c r="E78" s="115"/>
      <c r="F78" s="115"/>
      <c r="G78" s="653"/>
      <c r="H78" s="662"/>
      <c r="I78" s="686"/>
      <c r="J78" s="739"/>
      <c r="K78" s="662"/>
      <c r="L78" s="134">
        <f t="shared" si="6"/>
        <v>0</v>
      </c>
      <c r="M78" s="117"/>
      <c r="N78" s="147"/>
      <c r="O78" s="117"/>
      <c r="P78" s="148">
        <f t="shared" si="5"/>
        <v>0</v>
      </c>
      <c r="Q78" s="690"/>
      <c r="R78" s="741"/>
      <c r="S78" s="133"/>
      <c r="T78" s="123"/>
      <c r="U78" s="746"/>
      <c r="V78" s="746"/>
      <c r="W78" s="601"/>
      <c r="X78" s="959"/>
      <c r="Y78" s="139"/>
      <c r="Z78" s="140"/>
      <c r="AA78" s="126"/>
    </row>
    <row r="79" spans="2:27" ht="55.5" customHeight="1" x14ac:dyDescent="0.25">
      <c r="B79" s="115"/>
      <c r="C79" s="115"/>
      <c r="D79" s="651"/>
      <c r="E79" s="115"/>
      <c r="F79" s="115"/>
      <c r="G79" s="653"/>
      <c r="H79" s="662"/>
      <c r="I79" s="648"/>
      <c r="J79" s="780"/>
      <c r="K79" s="662"/>
      <c r="L79" s="134">
        <f t="shared" si="6"/>
        <v>0</v>
      </c>
      <c r="M79" s="117"/>
      <c r="N79" s="118"/>
      <c r="O79" s="157"/>
      <c r="P79" s="135">
        <f t="shared" si="5"/>
        <v>0</v>
      </c>
      <c r="Q79" s="774"/>
      <c r="R79" s="51"/>
      <c r="S79" s="133"/>
      <c r="T79" s="123"/>
      <c r="U79" s="125"/>
      <c r="V79" s="125"/>
      <c r="W79" s="28"/>
      <c r="X79" s="131"/>
      <c r="Y79" s="149"/>
      <c r="Z79" s="150"/>
      <c r="AA79" s="132"/>
    </row>
    <row r="80" spans="2:27" ht="46.5" customHeight="1" x14ac:dyDescent="0.35">
      <c r="B80" s="115"/>
      <c r="C80" s="115"/>
      <c r="D80" s="651"/>
      <c r="E80" s="115"/>
      <c r="F80" s="115"/>
      <c r="G80" s="653"/>
      <c r="H80" s="662"/>
      <c r="I80" s="648"/>
      <c r="J80" s="653"/>
      <c r="K80" s="662"/>
      <c r="L80" s="21">
        <f t="shared" si="6"/>
        <v>0</v>
      </c>
      <c r="M80" s="35"/>
      <c r="N80" s="53"/>
      <c r="O80" s="54"/>
      <c r="P80" s="25">
        <f t="shared" si="5"/>
        <v>0</v>
      </c>
      <c r="Q80" s="586"/>
      <c r="R80" s="51"/>
      <c r="S80" s="38"/>
      <c r="T80" s="588"/>
      <c r="U80" s="182"/>
      <c r="V80" s="165"/>
      <c r="W80" s="28"/>
      <c r="X80" s="42"/>
      <c r="Y80" s="52"/>
      <c r="Z80" s="46"/>
    </row>
    <row r="81" spans="2:27" ht="46.5" customHeight="1" x14ac:dyDescent="0.35">
      <c r="B81" s="115"/>
      <c r="C81" s="115"/>
      <c r="D81" s="651"/>
      <c r="E81" s="115"/>
      <c r="F81" s="115"/>
      <c r="G81" s="653"/>
      <c r="H81" s="662"/>
      <c r="I81" s="648"/>
      <c r="J81" s="653"/>
      <c r="K81" s="662"/>
      <c r="L81" s="21">
        <f t="shared" si="6"/>
        <v>0</v>
      </c>
      <c r="M81" s="35"/>
      <c r="N81" s="53"/>
      <c r="O81" s="54"/>
      <c r="P81" s="25">
        <f t="shared" si="5"/>
        <v>0</v>
      </c>
      <c r="Q81" s="586"/>
      <c r="R81" s="51"/>
      <c r="S81" s="38"/>
      <c r="T81" s="588"/>
      <c r="U81" s="182"/>
      <c r="V81" s="165"/>
      <c r="W81" s="28"/>
      <c r="X81" s="42"/>
      <c r="Y81" s="52"/>
      <c r="Z81" s="46"/>
    </row>
    <row r="82" spans="2:27" ht="42" customHeight="1" x14ac:dyDescent="0.35">
      <c r="B82" s="115"/>
      <c r="C82" s="115"/>
      <c r="D82" s="651"/>
      <c r="E82" s="115"/>
      <c r="F82" s="115"/>
      <c r="G82" s="653"/>
      <c r="H82" s="662"/>
      <c r="I82" s="648"/>
      <c r="J82" s="653"/>
      <c r="K82" s="662"/>
      <c r="L82" s="21">
        <f t="shared" si="6"/>
        <v>0</v>
      </c>
      <c r="M82" s="35"/>
      <c r="N82" s="60"/>
      <c r="O82" s="61"/>
      <c r="P82" s="25">
        <f t="shared" si="5"/>
        <v>0</v>
      </c>
      <c r="Q82" s="586"/>
      <c r="R82" s="122"/>
      <c r="S82" s="38"/>
      <c r="T82" s="588"/>
      <c r="U82" s="182"/>
      <c r="V82" s="165"/>
      <c r="W82" s="28"/>
      <c r="X82" s="42"/>
      <c r="Y82" s="55"/>
      <c r="Z82" s="56"/>
    </row>
    <row r="83" spans="2:27" ht="31.5" customHeight="1" x14ac:dyDescent="0.25">
      <c r="B83" s="115"/>
      <c r="C83" s="115"/>
      <c r="D83" s="651"/>
      <c r="E83" s="115"/>
      <c r="F83" s="115"/>
      <c r="G83" s="653"/>
      <c r="H83" s="662"/>
      <c r="I83" s="648"/>
      <c r="J83" s="653"/>
      <c r="K83" s="662"/>
      <c r="L83" s="134">
        <f t="shared" si="6"/>
        <v>0</v>
      </c>
      <c r="M83" s="117"/>
      <c r="N83" s="118"/>
      <c r="O83" s="119"/>
      <c r="P83" s="135">
        <f t="shared" si="5"/>
        <v>0</v>
      </c>
      <c r="Q83" s="121"/>
      <c r="R83" s="122"/>
      <c r="S83" s="133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x14ac:dyDescent="0.25">
      <c r="B84" s="115"/>
      <c r="C84" s="115"/>
      <c r="D84" s="651"/>
      <c r="E84" s="115"/>
      <c r="F84" s="115"/>
      <c r="G84" s="653"/>
      <c r="H84" s="662"/>
      <c r="I84" s="648"/>
      <c r="J84" s="653"/>
      <c r="K84" s="662"/>
      <c r="L84" s="134">
        <f t="shared" si="6"/>
        <v>0</v>
      </c>
      <c r="M84" s="155"/>
      <c r="N84" s="118"/>
      <c r="O84" s="119"/>
      <c r="P84" s="135">
        <f t="shared" si="5"/>
        <v>0</v>
      </c>
      <c r="Q84" s="121"/>
      <c r="R84" s="122"/>
      <c r="S84" s="133"/>
      <c r="T84" s="123"/>
      <c r="U84" s="40"/>
      <c r="V84" s="40"/>
      <c r="W84" s="28"/>
      <c r="X84" s="42"/>
      <c r="Y84" s="153"/>
      <c r="Z84" s="154"/>
      <c r="AA84" s="132"/>
    </row>
    <row r="85" spans="2:27" ht="18.75" customHeight="1" x14ac:dyDescent="0.25">
      <c r="B85" s="115"/>
      <c r="C85" s="115"/>
      <c r="D85" s="651"/>
      <c r="E85" s="115"/>
      <c r="F85" s="115"/>
      <c r="G85" s="653"/>
      <c r="H85" s="662"/>
      <c r="I85" s="648"/>
      <c r="J85" s="653"/>
      <c r="K85" s="662"/>
      <c r="L85" s="134">
        <f t="shared" si="6"/>
        <v>0</v>
      </c>
      <c r="M85" s="117"/>
      <c r="N85" s="118"/>
      <c r="O85" s="117"/>
      <c r="P85" s="135">
        <f t="shared" si="5"/>
        <v>0</v>
      </c>
      <c r="Q85" s="133"/>
      <c r="R85" s="122"/>
      <c r="S85" s="133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25">
      <c r="B86" s="115"/>
      <c r="C86" s="115"/>
      <c r="D86" s="651"/>
      <c r="E86" s="115"/>
      <c r="F86" s="115"/>
      <c r="G86" s="653"/>
      <c r="H86" s="662"/>
      <c r="I86" s="648"/>
      <c r="J86" s="653"/>
      <c r="K86" s="662"/>
      <c r="L86" s="134">
        <f t="shared" si="6"/>
        <v>0</v>
      </c>
      <c r="M86" s="117"/>
      <c r="N86" s="118"/>
      <c r="O86" s="157"/>
      <c r="P86" s="135">
        <f t="shared" si="5"/>
        <v>0</v>
      </c>
      <c r="Q86" s="133"/>
      <c r="R86" s="122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648"/>
      <c r="J87" s="653"/>
      <c r="K87" s="662"/>
      <c r="L87" s="134">
        <f t="shared" si="6"/>
        <v>0</v>
      </c>
      <c r="M87" s="117"/>
      <c r="N87" s="143"/>
      <c r="O87" s="157"/>
      <c r="P87" s="135">
        <f t="shared" si="5"/>
        <v>0</v>
      </c>
      <c r="Q87" s="133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158"/>
      <c r="J88" s="159"/>
      <c r="K88" s="670"/>
      <c r="L88" s="134">
        <f t="shared" si="6"/>
        <v>0</v>
      </c>
      <c r="M88" s="117"/>
      <c r="N88" s="160"/>
      <c r="O88" s="117"/>
      <c r="P88" s="135">
        <f t="shared" si="5"/>
        <v>0</v>
      </c>
      <c r="Q88" s="133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158"/>
      <c r="J89" s="159"/>
      <c r="K89" s="670"/>
      <c r="L89" s="134">
        <f t="shared" si="6"/>
        <v>0</v>
      </c>
      <c r="M89" s="117"/>
      <c r="N89" s="160"/>
      <c r="O89" s="117"/>
      <c r="P89" s="135">
        <f t="shared" si="5"/>
        <v>0</v>
      </c>
      <c r="Q89" s="133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151"/>
      <c r="J90" s="49"/>
      <c r="K90" s="670"/>
      <c r="L90" s="134">
        <f t="shared" si="6"/>
        <v>0</v>
      </c>
      <c r="M90" s="117"/>
      <c r="N90" s="164"/>
      <c r="O90" s="117"/>
      <c r="P90" s="135">
        <f t="shared" si="5"/>
        <v>0</v>
      </c>
      <c r="Q90" s="133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151"/>
      <c r="J91" s="49"/>
      <c r="K91" s="670"/>
      <c r="L91" s="134">
        <f t="shared" si="6"/>
        <v>0</v>
      </c>
      <c r="M91" s="117"/>
      <c r="N91" s="164"/>
      <c r="O91" s="166"/>
      <c r="P91" s="135">
        <f t="shared" si="5"/>
        <v>0</v>
      </c>
      <c r="Q91" s="133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151"/>
      <c r="J92" s="49"/>
      <c r="K92" s="670"/>
      <c r="L92" s="134">
        <f t="shared" si="6"/>
        <v>0</v>
      </c>
      <c r="M92" s="117"/>
      <c r="N92" s="164"/>
      <c r="O92" s="155"/>
      <c r="P92" s="135">
        <f t="shared" si="5"/>
        <v>0</v>
      </c>
      <c r="Q92" s="133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151"/>
      <c r="J93" s="49"/>
      <c r="K93" s="670"/>
      <c r="L93" s="134">
        <f t="shared" si="6"/>
        <v>0</v>
      </c>
      <c r="M93" s="117"/>
      <c r="N93" s="160"/>
      <c r="O93" s="117"/>
      <c r="P93" s="135">
        <f t="shared" si="5"/>
        <v>0</v>
      </c>
      <c r="Q93" s="133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168"/>
      <c r="J94" s="159"/>
      <c r="K94" s="670"/>
      <c r="L94" s="134">
        <f t="shared" si="6"/>
        <v>0</v>
      </c>
      <c r="M94" s="117"/>
      <c r="N94" s="160"/>
      <c r="O94" s="117"/>
      <c r="P94" s="135">
        <f t="shared" si="5"/>
        <v>0</v>
      </c>
      <c r="Q94" s="121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168"/>
      <c r="J95" s="159"/>
      <c r="K95" s="670"/>
      <c r="L95" s="134">
        <f t="shared" si="6"/>
        <v>0</v>
      </c>
      <c r="M95" s="117"/>
      <c r="N95" s="160"/>
      <c r="O95" s="117"/>
      <c r="P95" s="135">
        <f t="shared" si="5"/>
        <v>0</v>
      </c>
      <c r="Q95" s="121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168"/>
      <c r="J96" s="159"/>
      <c r="K96" s="670"/>
      <c r="L96" s="21">
        <f t="shared" si="6"/>
        <v>0</v>
      </c>
      <c r="M96" s="117"/>
      <c r="N96" s="171"/>
      <c r="O96" s="117"/>
      <c r="P96" s="135">
        <f t="shared" si="5"/>
        <v>0</v>
      </c>
      <c r="Q96" s="121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168"/>
      <c r="J97" s="159"/>
      <c r="K97" s="670"/>
      <c r="L97" s="21">
        <f t="shared" si="6"/>
        <v>0</v>
      </c>
      <c r="M97" s="117"/>
      <c r="N97" s="171"/>
      <c r="O97" s="117"/>
      <c r="P97" s="135">
        <f t="shared" si="5"/>
        <v>0</v>
      </c>
      <c r="Q97" s="121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168"/>
      <c r="J98" s="159"/>
      <c r="K98" s="670"/>
      <c r="L98" s="21">
        <f t="shared" si="6"/>
        <v>0</v>
      </c>
      <c r="M98" s="117"/>
      <c r="N98" s="171"/>
      <c r="O98" s="117"/>
      <c r="P98" s="135">
        <f t="shared" si="5"/>
        <v>0</v>
      </c>
      <c r="Q98" s="121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116"/>
      <c r="J99" s="34"/>
      <c r="K99" s="670"/>
      <c r="L99" s="21">
        <f t="shared" si="6"/>
        <v>0</v>
      </c>
      <c r="M99" s="117"/>
      <c r="N99" s="172"/>
      <c r="O99" s="173"/>
      <c r="P99" s="135">
        <f t="shared" si="5"/>
        <v>0</v>
      </c>
      <c r="Q99" s="174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116"/>
      <c r="J100" s="34"/>
      <c r="K100" s="670"/>
      <c r="L100" s="21">
        <f t="shared" si="6"/>
        <v>0</v>
      </c>
      <c r="M100" s="117"/>
      <c r="N100" s="172"/>
      <c r="O100" s="173"/>
      <c r="P100" s="135">
        <f t="shared" si="5"/>
        <v>0</v>
      </c>
      <c r="Q100" s="174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116"/>
      <c r="J101" s="34"/>
      <c r="K101" s="670"/>
      <c r="L101" s="21">
        <f t="shared" si="6"/>
        <v>0</v>
      </c>
      <c r="M101" s="117"/>
      <c r="N101" s="172"/>
      <c r="O101" s="173"/>
      <c r="P101" s="135">
        <f t="shared" si="5"/>
        <v>0</v>
      </c>
      <c r="Q101" s="174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116"/>
      <c r="J102" s="34"/>
      <c r="K102" s="670"/>
      <c r="L102" s="21">
        <f t="shared" si="6"/>
        <v>0</v>
      </c>
      <c r="M102" s="117"/>
      <c r="N102" s="172"/>
      <c r="O102" s="173"/>
      <c r="P102" s="135">
        <f t="shared" si="5"/>
        <v>0</v>
      </c>
      <c r="Q102" s="174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176"/>
      <c r="J103" s="177"/>
      <c r="K103" s="670"/>
      <c r="L103" s="21">
        <f t="shared" si="6"/>
        <v>0</v>
      </c>
      <c r="M103" s="117"/>
      <c r="N103" s="178"/>
      <c r="O103" s="117"/>
      <c r="P103" s="120">
        <f t="shared" si="5"/>
        <v>0</v>
      </c>
      <c r="Q103" s="121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176"/>
      <c r="J104" s="159"/>
      <c r="K104" s="670"/>
      <c r="L104" s="21">
        <f t="shared" si="6"/>
        <v>0</v>
      </c>
      <c r="M104" s="117"/>
      <c r="N104" s="178"/>
      <c r="O104" s="117"/>
      <c r="P104" s="120">
        <f t="shared" si="5"/>
        <v>0</v>
      </c>
      <c r="Q104" s="121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176"/>
      <c r="J105" s="159"/>
      <c r="K105" s="670"/>
      <c r="L105" s="21">
        <f t="shared" si="6"/>
        <v>0</v>
      </c>
      <c r="M105" s="117"/>
      <c r="N105" s="178"/>
      <c r="O105" s="117"/>
      <c r="P105" s="120">
        <f t="shared" si="5"/>
        <v>0</v>
      </c>
      <c r="Q105" s="121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176"/>
      <c r="J106" s="159"/>
      <c r="K106" s="670"/>
      <c r="L106" s="21">
        <f t="shared" si="6"/>
        <v>0</v>
      </c>
      <c r="M106" s="117"/>
      <c r="N106" s="178"/>
      <c r="O106" s="117"/>
      <c r="P106" s="120">
        <f t="shared" si="5"/>
        <v>0</v>
      </c>
      <c r="Q106" s="121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179"/>
      <c r="J107" s="177"/>
      <c r="K107" s="670"/>
      <c r="L107" s="21">
        <f t="shared" si="6"/>
        <v>0</v>
      </c>
      <c r="M107" s="117"/>
      <c r="N107" s="180"/>
      <c r="O107" s="117"/>
      <c r="P107" s="120">
        <f t="shared" si="5"/>
        <v>0</v>
      </c>
      <c r="Q107" s="128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176"/>
      <c r="J108" s="49"/>
      <c r="K108" s="670"/>
      <c r="L108" s="21">
        <f t="shared" si="6"/>
        <v>0</v>
      </c>
      <c r="M108" s="117"/>
      <c r="N108" s="180"/>
      <c r="O108" s="181"/>
      <c r="P108" s="120">
        <f t="shared" si="5"/>
        <v>0</v>
      </c>
      <c r="Q108" s="121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176"/>
      <c r="J109" s="49"/>
      <c r="K109" s="670"/>
      <c r="L109" s="21">
        <f t="shared" si="6"/>
        <v>0</v>
      </c>
      <c r="M109" s="117"/>
      <c r="N109" s="180"/>
      <c r="O109" s="181"/>
      <c r="P109" s="120">
        <f t="shared" si="5"/>
        <v>0</v>
      </c>
      <c r="Q109" s="121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7">E110*H110</f>
        <v>0</v>
      </c>
      <c r="G110" s="204"/>
      <c r="J110" s="713"/>
      <c r="K110" s="215">
        <v>0</v>
      </c>
      <c r="L110" s="21">
        <f t="shared" ref="L110:L112" si="8">K110-H110</f>
        <v>0</v>
      </c>
      <c r="M110" s="206"/>
      <c r="O110" s="206"/>
      <c r="P110" s="25">
        <f t="shared" ref="P110:P116" si="9">M110*K110</f>
        <v>0</v>
      </c>
      <c r="Q110" s="197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7"/>
        <v>0</v>
      </c>
      <c r="G111" s="204"/>
      <c r="K111" s="215">
        <v>0</v>
      </c>
      <c r="L111" s="21">
        <f t="shared" si="8"/>
        <v>0</v>
      </c>
      <c r="M111" s="206"/>
      <c r="O111" s="206"/>
      <c r="P111" s="25">
        <f t="shared" si="9"/>
        <v>0</v>
      </c>
      <c r="Q111" s="197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7"/>
        <v>0</v>
      </c>
      <c r="G112" s="204"/>
      <c r="K112" s="540">
        <v>0</v>
      </c>
      <c r="L112" s="21">
        <f t="shared" si="8"/>
        <v>0</v>
      </c>
      <c r="M112" s="206"/>
      <c r="O112" s="206"/>
      <c r="P112" s="25">
        <f t="shared" si="9"/>
        <v>0</v>
      </c>
      <c r="Q112" s="197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7"/>
        <v>#VALUE!</v>
      </c>
      <c r="G113" s="204"/>
      <c r="H113" s="997" t="s">
        <v>23</v>
      </c>
      <c r="I113" s="997"/>
      <c r="J113" s="998"/>
      <c r="K113" s="671">
        <f>SUM(K8:K112)</f>
        <v>293629.51399999997</v>
      </c>
      <c r="L113" s="207"/>
      <c r="M113" s="206"/>
      <c r="N113" s="208"/>
      <c r="O113" s="206"/>
      <c r="P113" s="25">
        <f t="shared" si="9"/>
        <v>0</v>
      </c>
      <c r="Q113" s="197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">
      <c r="B114" s="697"/>
      <c r="C114" s="202"/>
      <c r="F114" s="187">
        <f t="shared" si="7"/>
        <v>0</v>
      </c>
      <c r="G114" s="204"/>
      <c r="K114" s="672"/>
      <c r="L114" s="207"/>
      <c r="M114" s="206"/>
      <c r="N114" s="208"/>
      <c r="O114" s="206"/>
      <c r="P114" s="25">
        <f t="shared" si="9"/>
        <v>0</v>
      </c>
      <c r="Q114" s="210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7"/>
        <v>0</v>
      </c>
      <c r="G115" s="204"/>
      <c r="L115" s="215"/>
      <c r="M115" s="206"/>
      <c r="O115" s="206"/>
      <c r="P115" s="25">
        <f t="shared" si="9"/>
        <v>0</v>
      </c>
      <c r="Q115" s="210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7"/>
        <v>0</v>
      </c>
      <c r="G116" s="204"/>
      <c r="L116" s="215"/>
      <c r="M116" s="216"/>
      <c r="P116" s="25">
        <f t="shared" si="9"/>
        <v>0</v>
      </c>
      <c r="Q116" s="217"/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224">
        <f>SUM(P8:P116)</f>
        <v>12636820.237000002</v>
      </c>
      <c r="Q117" s="225"/>
      <c r="S117" s="226">
        <f>SUM(S8:S116)</f>
        <v>95471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233"/>
      <c r="Q118" s="225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233"/>
      <c r="Q119" s="225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240">
        <f>X117+U117+S117+P117+N117</f>
        <v>12760291.237000002</v>
      </c>
      <c r="Q120" s="241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245"/>
      <c r="Q121" s="246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233"/>
      <c r="Q122" s="225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233"/>
      <c r="Q123" s="225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233"/>
      <c r="Q124" s="248"/>
      <c r="T124" s="211"/>
      <c r="U124" s="234"/>
      <c r="W124" s="236"/>
      <c r="X124"/>
    </row>
    <row r="125" spans="2:24" x14ac:dyDescent="0.35">
      <c r="B125" s="696"/>
      <c r="P125" s="233"/>
      <c r="Q125" s="250"/>
      <c r="T125" s="211"/>
      <c r="U125" s="234"/>
      <c r="W125" s="236"/>
      <c r="X125"/>
    </row>
    <row r="126" spans="2:24" x14ac:dyDescent="0.35">
      <c r="B126" s="696"/>
      <c r="Q126" s="250"/>
      <c r="U126" s="234"/>
      <c r="W126" s="236"/>
      <c r="X126"/>
    </row>
    <row r="127" spans="2:24" x14ac:dyDescent="0.35">
      <c r="B127" s="696"/>
      <c r="C127" s="202"/>
      <c r="P127" s="233"/>
      <c r="Q127" s="225"/>
      <c r="U127" s="234"/>
      <c r="W127" s="236"/>
      <c r="X127"/>
    </row>
    <row r="128" spans="2:24" x14ac:dyDescent="0.35">
      <c r="B128" s="696"/>
      <c r="C128" s="202"/>
      <c r="P128" s="233"/>
      <c r="Q128" s="225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233"/>
      <c r="Q129" s="225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233"/>
      <c r="Q130" s="225"/>
      <c r="U130" s="234"/>
      <c r="W130" s="236"/>
      <c r="X130"/>
    </row>
    <row r="131" spans="2:24" x14ac:dyDescent="0.35">
      <c r="B131" s="696"/>
      <c r="C131" s="202"/>
      <c r="L131" s="229"/>
      <c r="M131" s="229"/>
      <c r="P131" s="233"/>
      <c r="Q131" s="225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255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255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255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255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255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255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255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255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255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255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255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255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255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32">
    <mergeCell ref="B1:L2"/>
    <mergeCell ref="U1:V2"/>
    <mergeCell ref="R74:R77"/>
    <mergeCell ref="B74:B77"/>
    <mergeCell ref="D74:D77"/>
    <mergeCell ref="I74:I77"/>
    <mergeCell ref="J74:J77"/>
    <mergeCell ref="Q74:Q77"/>
    <mergeCell ref="D18:D19"/>
    <mergeCell ref="U74:U77"/>
    <mergeCell ref="V74:V77"/>
    <mergeCell ref="N74:N77"/>
    <mergeCell ref="S14:S15"/>
    <mergeCell ref="B70:B71"/>
    <mergeCell ref="Q70:Q71"/>
    <mergeCell ref="R70:R71"/>
    <mergeCell ref="H113:J113"/>
    <mergeCell ref="D10:D11"/>
    <mergeCell ref="D6:D7"/>
    <mergeCell ref="I6:I7"/>
    <mergeCell ref="D14:D15"/>
    <mergeCell ref="D70:D71"/>
    <mergeCell ref="I70:I71"/>
    <mergeCell ref="J70:J71"/>
    <mergeCell ref="Y74:Y77"/>
    <mergeCell ref="Z74:Z77"/>
    <mergeCell ref="Y1:Z1"/>
    <mergeCell ref="Q3:R3"/>
    <mergeCell ref="N16:O16"/>
    <mergeCell ref="T14:T15"/>
    <mergeCell ref="W74:W77"/>
    <mergeCell ref="X74:X77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topLeftCell="H1" workbookViewId="0">
      <selection activeCell="P11" sqref="P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6.42578125" style="99" bestFit="1" customWidth="1"/>
    <col min="5" max="5" width="12.5703125" style="381" customWidth="1"/>
    <col min="6" max="6" width="13.42578125" style="766" bestFit="1" customWidth="1"/>
    <col min="7" max="7" width="7.28515625" style="99" customWidth="1"/>
    <col min="8" max="8" width="14.7109375" style="766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57</v>
      </c>
      <c r="C1" s="261"/>
      <c r="D1" s="262"/>
      <c r="E1" s="263"/>
      <c r="F1" s="759"/>
      <c r="G1" s="264"/>
      <c r="H1" s="759"/>
      <c r="I1" s="265"/>
      <c r="J1" s="266"/>
      <c r="K1" s="1043" t="s">
        <v>26</v>
      </c>
      <c r="L1" s="267"/>
      <c r="M1" s="1045" t="s">
        <v>27</v>
      </c>
      <c r="N1" s="268"/>
      <c r="P1" s="270" t="s">
        <v>28</v>
      </c>
      <c r="Q1" s="1047" t="s">
        <v>29</v>
      </c>
      <c r="R1" s="720"/>
    </row>
    <row r="2" spans="1:29" ht="24.75" customHeight="1" thickTop="1" thickBot="1" x14ac:dyDescent="0.35">
      <c r="A2" s="272"/>
      <c r="B2" s="273" t="s">
        <v>4</v>
      </c>
      <c r="C2" s="274" t="s">
        <v>30</v>
      </c>
      <c r="D2" s="275"/>
      <c r="E2" s="276" t="s">
        <v>31</v>
      </c>
      <c r="F2" s="760" t="s">
        <v>32</v>
      </c>
      <c r="G2" s="277" t="s">
        <v>33</v>
      </c>
      <c r="H2" s="767" t="s">
        <v>34</v>
      </c>
      <c r="I2" s="278" t="s">
        <v>35</v>
      </c>
      <c r="J2" s="279"/>
      <c r="K2" s="1044"/>
      <c r="L2" s="280" t="s">
        <v>36</v>
      </c>
      <c r="M2" s="1046"/>
      <c r="N2" s="281" t="s">
        <v>36</v>
      </c>
      <c r="O2" s="282" t="s">
        <v>12</v>
      </c>
      <c r="P2" s="921" t="s">
        <v>37</v>
      </c>
      <c r="Q2" s="1048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1"/>
      <c r="G3" s="99"/>
      <c r="H3" s="768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COMBOS     ENERO     2024    '!B4</f>
        <v xml:space="preserve">SAM FARMS </v>
      </c>
      <c r="C4" s="294" t="str">
        <f>'  COMBOS     ENERO     2024    '!C4</f>
        <v xml:space="preserve">I B P </v>
      </c>
      <c r="D4" s="295" t="str">
        <f>'  COMBOS     ENERO     2024    '!D4</f>
        <v>PED. 108079099</v>
      </c>
      <c r="E4" s="296">
        <f>'  COMBOS     ENERO     2024    '!E4</f>
        <v>45297</v>
      </c>
      <c r="F4" s="762">
        <f>'  COMBOS     ENERO     2024    '!F4</f>
        <v>19070.05</v>
      </c>
      <c r="G4" s="196">
        <f>'  COMBOS     ENERO     2024    '!G4</f>
        <v>20</v>
      </c>
      <c r="H4" s="769">
        <f>'  COMBOS     ENERO     2024    '!H4</f>
        <v>19159.2</v>
      </c>
      <c r="I4" s="297">
        <f>'  COMBOS     ENERO     2024    '!I4</f>
        <v>-89.150000000001455</v>
      </c>
      <c r="J4" s="314">
        <f>'  COMBOS     ENERO     2024    '!K6</f>
        <v>12028</v>
      </c>
      <c r="K4" s="299">
        <v>12761</v>
      </c>
      <c r="L4" s="300" t="s">
        <v>89</v>
      </c>
      <c r="M4" s="301">
        <v>35840</v>
      </c>
      <c r="N4" s="302" t="s">
        <v>87</v>
      </c>
      <c r="O4" s="303" t="s">
        <v>130</v>
      </c>
      <c r="P4" s="922">
        <v>4234</v>
      </c>
      <c r="Q4" s="305">
        <f>39620.18*16.936</f>
        <v>671007.36847999995</v>
      </c>
      <c r="R4" s="316" t="s">
        <v>86</v>
      </c>
      <c r="S4" s="292">
        <f>Q4</f>
        <v>671007.36847999995</v>
      </c>
      <c r="T4" s="292">
        <f>S4/H4</f>
        <v>35.022723729592045</v>
      </c>
      <c r="U4" s="306"/>
    </row>
    <row r="5" spans="1:29" s="236" customFormat="1" ht="40.5" customHeight="1" x14ac:dyDescent="0.3">
      <c r="A5" s="214">
        <v>2</v>
      </c>
      <c r="B5" s="307" t="str">
        <f>'  COMBOS     ENERO     2024    '!B5</f>
        <v>SEABOARD FOODS</v>
      </c>
      <c r="C5" s="308" t="str">
        <f>'  COMBOS     ENERO     2024    '!C5</f>
        <v>Seaboard</v>
      </c>
      <c r="D5" s="295" t="str">
        <f>'  COMBOS     ENERO     2024    '!D5</f>
        <v>PED. 108139656</v>
      </c>
      <c r="E5" s="296">
        <f>'  COMBOS     ENERO     2024    '!E5</f>
        <v>45300</v>
      </c>
      <c r="F5" s="763">
        <f>'  COMBOS     ENERO     2024    '!F5</f>
        <v>18756.12</v>
      </c>
      <c r="G5" s="309">
        <f>'  COMBOS     ENERO     2024    '!G5</f>
        <v>21</v>
      </c>
      <c r="H5" s="770">
        <f>'  COMBOS     ENERO     2024    '!H5</f>
        <v>18773.099999999999</v>
      </c>
      <c r="I5" s="310">
        <f>'  COMBOS     ENERO     2024    '!I5</f>
        <v>-16.979999999999563</v>
      </c>
      <c r="J5" s="298" t="str">
        <f>'  COMBOS     ENERO     2024    '!U6</f>
        <v>CICSE24-01</v>
      </c>
      <c r="K5" s="311">
        <v>12751</v>
      </c>
      <c r="L5" s="312" t="s">
        <v>90</v>
      </c>
      <c r="M5" s="301">
        <v>35840</v>
      </c>
      <c r="N5" s="302" t="s">
        <v>93</v>
      </c>
      <c r="O5" s="754" t="s">
        <v>131</v>
      </c>
      <c r="P5" s="922">
        <v>4060</v>
      </c>
      <c r="Q5" s="733">
        <f>39186.16*16.94</f>
        <v>663813.55040000007</v>
      </c>
      <c r="R5" s="732" t="s">
        <v>106</v>
      </c>
      <c r="S5" s="292">
        <f>Q5+M5+K5+P5</f>
        <v>716464.55040000007</v>
      </c>
      <c r="T5" s="292">
        <f>S5/H5+0.1</f>
        <v>38.264424117487266</v>
      </c>
      <c r="U5" s="313"/>
    </row>
    <row r="6" spans="1:29" s="236" customFormat="1" ht="30" customHeight="1" x14ac:dyDescent="0.3">
      <c r="A6" s="214">
        <v>3</v>
      </c>
      <c r="B6" s="307" t="str">
        <f>'  COMBOS     ENERO     2024    '!B6</f>
        <v xml:space="preserve">SAM FARMS </v>
      </c>
      <c r="C6" s="308" t="str">
        <f>'  COMBOS     ENERO     2024    '!C6</f>
        <v xml:space="preserve">I B P </v>
      </c>
      <c r="D6" s="295" t="str">
        <f>'  COMBOS     ENERO     2024    '!D6</f>
        <v>PED. 108305693</v>
      </c>
      <c r="E6" s="296">
        <f>'  COMBOS     ENERO     2024    '!E6</f>
        <v>45303</v>
      </c>
      <c r="F6" s="763">
        <f>'  COMBOS     ENERO     2024    '!F6</f>
        <v>18583.88</v>
      </c>
      <c r="G6" s="309">
        <f>'  COMBOS     ENERO     2024    '!G6</f>
        <v>20</v>
      </c>
      <c r="H6" s="770">
        <f>'  COMBOS     ENERO     2024    '!H6</f>
        <v>18501.04</v>
      </c>
      <c r="I6" s="310">
        <f>'  COMBOS     ENERO     2024    '!I6</f>
        <v>82.840000000000146</v>
      </c>
      <c r="J6" s="711">
        <f>'  COMBOS     ENERO     2024    '!AE6</f>
        <v>12031</v>
      </c>
      <c r="K6" s="299">
        <v>12761</v>
      </c>
      <c r="L6" s="300" t="s">
        <v>94</v>
      </c>
      <c r="M6" s="301">
        <v>35840</v>
      </c>
      <c r="N6" s="302" t="s">
        <v>95</v>
      </c>
      <c r="O6" s="49" t="s">
        <v>132</v>
      </c>
      <c r="P6" s="922">
        <v>4147</v>
      </c>
      <c r="Q6" s="73">
        <f>38707.81*16.991</f>
        <v>657684.39970999991</v>
      </c>
      <c r="R6" s="326" t="s">
        <v>88</v>
      </c>
      <c r="S6" s="292">
        <f t="shared" si="0"/>
        <v>710432.39970999991</v>
      </c>
      <c r="T6" s="292">
        <f>S6/H6+0</f>
        <v>38.399592655872311</v>
      </c>
      <c r="U6" s="306"/>
    </row>
    <row r="7" spans="1:29" s="236" customFormat="1" ht="34.5" customHeight="1" x14ac:dyDescent="0.35">
      <c r="A7" s="214">
        <v>4</v>
      </c>
      <c r="B7" s="307" t="str">
        <f>'  COMBOS     ENERO     2024    '!B7</f>
        <v>SEABOARD FOODS</v>
      </c>
      <c r="C7" s="308" t="str">
        <f>'  COMBOS     ENERO     2024    '!C7</f>
        <v>Seaboard</v>
      </c>
      <c r="D7" s="295" t="str">
        <f>'  COMBOS     ENERO     2024    '!D7</f>
        <v>PED. 108436344</v>
      </c>
      <c r="E7" s="296">
        <f>'  COMBOS     ENERO     2024    '!E7</f>
        <v>45307</v>
      </c>
      <c r="F7" s="763">
        <f>'  COMBOS     ENERO     2024    '!F7</f>
        <v>18870.66</v>
      </c>
      <c r="G7" s="309">
        <f>'  COMBOS     ENERO     2024    '!G7</f>
        <v>21</v>
      </c>
      <c r="H7" s="770">
        <f>'  COMBOS     ENERO     2024    '!H7</f>
        <v>18950.599999999999</v>
      </c>
      <c r="I7" s="310">
        <f>'  COMBOS     ENERO     2024    '!I7</f>
        <v>-79.93999999999869</v>
      </c>
      <c r="J7" s="315" t="str">
        <f>'  COMBOS     ENERO     2024    '!AO6</f>
        <v>CICSE24-02</v>
      </c>
      <c r="K7" s="299">
        <v>11751</v>
      </c>
      <c r="L7" s="300" t="s">
        <v>124</v>
      </c>
      <c r="M7" s="301">
        <v>35840</v>
      </c>
      <c r="N7" s="302" t="s">
        <v>129</v>
      </c>
      <c r="O7" s="159" t="s">
        <v>133</v>
      </c>
      <c r="P7" s="922">
        <v>3973</v>
      </c>
      <c r="Q7" s="73">
        <f>37383.85*16.865</f>
        <v>630478.63024999993</v>
      </c>
      <c r="R7" s="316" t="s">
        <v>105</v>
      </c>
      <c r="S7" s="292">
        <f t="shared" si="0"/>
        <v>682042.63024999993</v>
      </c>
      <c r="T7" s="292">
        <f t="shared" ref="T7:T35" si="1">S7/H7+0.1</f>
        <v>36.090555985034776</v>
      </c>
      <c r="U7" s="313"/>
      <c r="W7" s="6"/>
      <c r="X7" s="6"/>
      <c r="Y7" s="317"/>
      <c r="Z7" s="318">
        <v>5.0000000000000001E-3</v>
      </c>
      <c r="AA7" s="317">
        <f t="shared" ref="AA7:AA28" si="2">Y7*Z7</f>
        <v>0</v>
      </c>
      <c r="AB7" s="317">
        <f t="shared" ref="AB7:AB28" si="3">AA7*16%</f>
        <v>0</v>
      </c>
      <c r="AC7" s="317">
        <f t="shared" ref="AC7:AC28" si="4">AA7+AB7</f>
        <v>0</v>
      </c>
    </row>
    <row r="8" spans="1:29" s="236" customFormat="1" ht="34.5" customHeight="1" x14ac:dyDescent="0.3">
      <c r="A8" s="214">
        <v>5</v>
      </c>
      <c r="B8" s="319" t="str">
        <f>'  COMBOS     ENERO     2024    '!B8</f>
        <v xml:space="preserve">SAM FARMS </v>
      </c>
      <c r="C8" s="320" t="str">
        <f>'  COMBOS     ENERO     2024    '!C8</f>
        <v xml:space="preserve">I B P </v>
      </c>
      <c r="D8" s="295" t="str">
        <f>'  COMBOS     ENERO     2024    '!D8</f>
        <v>PED. 108662369</v>
      </c>
      <c r="E8" s="296">
        <f>'  COMBOS     ENERO     2024    '!E8</f>
        <v>45311</v>
      </c>
      <c r="F8" s="763">
        <f>'  COMBOS     ENERO     2024    '!F8</f>
        <v>18523.68</v>
      </c>
      <c r="G8" s="309">
        <f>'  COMBOS     ENERO     2024    '!G8</f>
        <v>20</v>
      </c>
      <c r="H8" s="770">
        <f>'  COMBOS     ENERO     2024    '!H8</f>
        <v>18577.16</v>
      </c>
      <c r="I8" s="310">
        <f>'  COMBOS     ENERO     2024    '!I8</f>
        <v>-53.479999999999563</v>
      </c>
      <c r="J8" s="321">
        <f>'  COMBOS     ENERO     2024    '!AY6</f>
        <v>12034</v>
      </c>
      <c r="K8" s="299">
        <v>12601</v>
      </c>
      <c r="L8" s="322" t="s">
        <v>125</v>
      </c>
      <c r="M8" s="301">
        <v>35840</v>
      </c>
      <c r="N8" s="302" t="s">
        <v>125</v>
      </c>
      <c r="O8" s="34" t="s">
        <v>134</v>
      </c>
      <c r="P8" s="960">
        <v>4060</v>
      </c>
      <c r="Q8" s="73">
        <f>37241.29*17.184</f>
        <v>639954.32736000011</v>
      </c>
      <c r="R8" s="316" t="s">
        <v>152</v>
      </c>
      <c r="S8" s="292">
        <f t="shared" si="0"/>
        <v>692455.32736000011</v>
      </c>
      <c r="T8" s="292">
        <f t="shared" si="1"/>
        <v>37.374552588232007</v>
      </c>
      <c r="U8" s="306"/>
      <c r="W8" s="6"/>
      <c r="X8" s="6"/>
      <c r="Y8" s="317"/>
      <c r="Z8" s="318">
        <v>5.0000000000000001E-3</v>
      </c>
      <c r="AA8" s="317">
        <f t="shared" si="2"/>
        <v>0</v>
      </c>
      <c r="AB8" s="317">
        <f t="shared" si="3"/>
        <v>0</v>
      </c>
      <c r="AC8" s="317">
        <f t="shared" si="4"/>
        <v>0</v>
      </c>
    </row>
    <row r="9" spans="1:29" s="236" customFormat="1" ht="39.75" customHeight="1" x14ac:dyDescent="0.3">
      <c r="A9" s="214">
        <v>6</v>
      </c>
      <c r="B9" s="307" t="str">
        <f>'  COMBOS     ENERO     2024    '!B9</f>
        <v>SEABOARD FOODS</v>
      </c>
      <c r="C9" s="308" t="str">
        <f>'  COMBOS     ENERO     2024    '!C9</f>
        <v>Seaboard</v>
      </c>
      <c r="D9" s="295" t="str">
        <f>'  COMBOS     ENERO     2024    '!D9</f>
        <v>PED. 108735871</v>
      </c>
      <c r="E9" s="296">
        <f>'  COMBOS     ENERO     2024    '!E9</f>
        <v>45314</v>
      </c>
      <c r="F9" s="763">
        <f>'  COMBOS     ENERO     2024    '!F9</f>
        <v>19011.88</v>
      </c>
      <c r="G9" s="309">
        <f>'  COMBOS     ENERO     2024    '!G9</f>
        <v>21</v>
      </c>
      <c r="H9" s="770">
        <f>'  COMBOS     ENERO     2024    '!H9</f>
        <v>19064.2</v>
      </c>
      <c r="I9" s="310">
        <f>'  COMBOS     ENERO     2024    '!I9</f>
        <v>-52.319999999999709</v>
      </c>
      <c r="J9" s="321" t="str">
        <f>'  COMBOS     ENERO     2024    '!BI6</f>
        <v>CICSE24-03</v>
      </c>
      <c r="K9" s="299">
        <v>11751</v>
      </c>
      <c r="L9" s="323" t="s">
        <v>121</v>
      </c>
      <c r="M9" s="301">
        <v>35840</v>
      </c>
      <c r="N9" s="324" t="s">
        <v>117</v>
      </c>
      <c r="O9" s="303" t="s">
        <v>135</v>
      </c>
      <c r="P9" s="960">
        <v>4060</v>
      </c>
      <c r="Q9" s="38">
        <f>37932.08*16.943</f>
        <v>642683.23144000012</v>
      </c>
      <c r="R9" s="326" t="s">
        <v>116</v>
      </c>
      <c r="S9" s="292">
        <f>Q9+M9+K9</f>
        <v>690274.23144000012</v>
      </c>
      <c r="T9" s="292">
        <f t="shared" si="1"/>
        <v>36.307878192633318</v>
      </c>
      <c r="U9" s="306"/>
      <c r="W9" s="6"/>
      <c r="X9" s="6"/>
      <c r="Y9" s="317"/>
      <c r="Z9" s="318">
        <v>5.0000000000000001E-3</v>
      </c>
      <c r="AA9" s="317">
        <f t="shared" si="2"/>
        <v>0</v>
      </c>
      <c r="AB9" s="317">
        <f t="shared" si="3"/>
        <v>0</v>
      </c>
      <c r="AC9" s="317">
        <f t="shared" si="4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COMBOS     ENERO     2024    '!BT5</f>
        <v xml:space="preserve">I B P </v>
      </c>
      <c r="D10" s="295" t="str">
        <f>'  COMBOS     ENERO     2024    '!BU5</f>
        <v>PED. -108929373</v>
      </c>
      <c r="E10" s="296">
        <f>'  COMBOS     ENERO     2024    '!BV5</f>
        <v>45317</v>
      </c>
      <c r="F10" s="763">
        <f>'  COMBOS     ENERO     2024    '!BW5</f>
        <v>18620.18</v>
      </c>
      <c r="G10" s="309">
        <f>'  COMBOS     ENERO     2024    '!BX5</f>
        <v>20</v>
      </c>
      <c r="H10" s="770">
        <f>'  COMBOS     ENERO     2024    '!BY5</f>
        <v>18667.900000000001</v>
      </c>
      <c r="I10" s="310">
        <f>'  COMBOS     ENERO     2024    '!BZ5</f>
        <v>-47.720000000001164</v>
      </c>
      <c r="J10" s="321">
        <f>'  COMBOS     ENERO     2024    '!BS6</f>
        <v>12037</v>
      </c>
      <c r="K10" s="299">
        <v>12751</v>
      </c>
      <c r="L10" s="323" t="s">
        <v>147</v>
      </c>
      <c r="M10" s="301">
        <v>35840</v>
      </c>
      <c r="N10" s="324" t="s">
        <v>148</v>
      </c>
      <c r="O10" s="303">
        <v>12443</v>
      </c>
      <c r="P10" s="960">
        <v>3973</v>
      </c>
      <c r="Q10" s="325">
        <f>36229.63*17.24</f>
        <v>624598.82119999989</v>
      </c>
      <c r="R10" s="326" t="s">
        <v>146</v>
      </c>
      <c r="S10" s="292">
        <f>Q10+M10+K10</f>
        <v>673189.82119999989</v>
      </c>
      <c r="T10" s="292">
        <f t="shared" si="1"/>
        <v>36.161357796002754</v>
      </c>
      <c r="U10" s="306"/>
      <c r="W10" s="6"/>
      <c r="X10" s="6"/>
      <c r="Y10" s="317"/>
      <c r="Z10" s="318">
        <v>5.0000000000000001E-3</v>
      </c>
      <c r="AA10" s="317">
        <f t="shared" si="2"/>
        <v>0</v>
      </c>
      <c r="AB10" s="317">
        <f t="shared" si="3"/>
        <v>0</v>
      </c>
      <c r="AC10" s="317">
        <f t="shared" si="4"/>
        <v>0</v>
      </c>
    </row>
    <row r="11" spans="1:29" s="236" customFormat="1" ht="32.25" x14ac:dyDescent="0.3">
      <c r="A11" s="214">
        <v>8</v>
      </c>
      <c r="B11" s="320" t="str">
        <f>'  COMBOS     ENERO     2024    '!CC5</f>
        <v>SEABOARD FOODS</v>
      </c>
      <c r="C11" s="308" t="str">
        <f>'  COMBOS     ENERO     2024    '!CD5</f>
        <v>Seaboard</v>
      </c>
      <c r="D11" s="295" t="str">
        <f>'  COMBOS     ENERO     2024    '!CE5</f>
        <v>PED. 109071283</v>
      </c>
      <c r="E11" s="296">
        <f>'  COMBOS     ENERO     2024    '!CF5</f>
        <v>45321</v>
      </c>
      <c r="F11" s="763">
        <f>'  COMBOS     ENERO     2024    '!CG5</f>
        <v>19090.259999999998</v>
      </c>
      <c r="G11" s="309">
        <f>'  COMBOS     ENERO     2024    '!CH5</f>
        <v>21</v>
      </c>
      <c r="H11" s="770">
        <f>'  COMBOS     ENERO     2024    '!CI5</f>
        <v>19121.900000000001</v>
      </c>
      <c r="I11" s="310">
        <f>'  COMBOS     ENERO     2024    '!CJ5</f>
        <v>-31.640000000003056</v>
      </c>
      <c r="J11" s="321" t="str">
        <f>'  COMBOS     ENERO     2024    '!CC6</f>
        <v>CICSE24-04</v>
      </c>
      <c r="K11" s="299">
        <v>10451</v>
      </c>
      <c r="L11" s="323" t="s">
        <v>149</v>
      </c>
      <c r="M11" s="301">
        <v>35840</v>
      </c>
      <c r="N11" s="324" t="s">
        <v>145</v>
      </c>
      <c r="O11" s="34">
        <v>2269667</v>
      </c>
      <c r="P11" s="960">
        <v>3828</v>
      </c>
      <c r="Q11" s="305">
        <f>34914.43*17.105</f>
        <v>597211.32515000005</v>
      </c>
      <c r="R11" s="326" t="s">
        <v>117</v>
      </c>
      <c r="S11" s="292">
        <f t="shared" si="0"/>
        <v>647330.32515000005</v>
      </c>
      <c r="T11" s="292">
        <f t="shared" si="1"/>
        <v>33.952824517961083</v>
      </c>
      <c r="U11" s="306"/>
      <c r="W11" s="6"/>
      <c r="X11" s="6"/>
      <c r="Y11" s="317"/>
      <c r="Z11" s="318">
        <v>5.0000000000000001E-3</v>
      </c>
      <c r="AA11" s="317">
        <f t="shared" si="2"/>
        <v>0</v>
      </c>
      <c r="AB11" s="317">
        <f t="shared" si="3"/>
        <v>0</v>
      </c>
      <c r="AC11" s="317">
        <f t="shared" si="4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3"/>
      <c r="G12" s="309"/>
      <c r="H12" s="770"/>
      <c r="I12" s="310"/>
      <c r="J12" s="327"/>
      <c r="K12" s="299"/>
      <c r="L12" s="300"/>
      <c r="M12" s="301"/>
      <c r="N12" s="324"/>
      <c r="O12" s="34"/>
      <c r="P12" s="304"/>
      <c r="Q12" s="305"/>
      <c r="R12" s="326"/>
      <c r="S12" s="292">
        <f>Q12+M12+K12</f>
        <v>0</v>
      </c>
      <c r="T12" s="292" t="e">
        <f t="shared" si="1"/>
        <v>#DIV/0!</v>
      </c>
      <c r="U12" s="328"/>
      <c r="W12" s="6"/>
      <c r="X12" s="6"/>
      <c r="Y12" s="317"/>
      <c r="Z12" s="318">
        <v>5.0000000000000001E-3</v>
      </c>
      <c r="AA12" s="317">
        <f t="shared" si="2"/>
        <v>0</v>
      </c>
      <c r="AB12" s="317">
        <f t="shared" si="3"/>
        <v>0</v>
      </c>
      <c r="AC12" s="317">
        <f t="shared" si="4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3"/>
      <c r="G13" s="309"/>
      <c r="H13" s="770"/>
      <c r="I13" s="310"/>
      <c r="J13" s="329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1"/>
        <v>#DIV/0!</v>
      </c>
      <c r="U13" s="313"/>
      <c r="W13" s="6"/>
      <c r="X13" s="6"/>
      <c r="Y13" s="317"/>
      <c r="Z13" s="318">
        <v>5.0000000000000001E-3</v>
      </c>
      <c r="AA13" s="317">
        <f t="shared" si="2"/>
        <v>0</v>
      </c>
      <c r="AB13" s="317">
        <f t="shared" si="3"/>
        <v>0</v>
      </c>
      <c r="AC13" s="317">
        <f t="shared" si="4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3"/>
      <c r="G14" s="309"/>
      <c r="H14" s="770"/>
      <c r="I14" s="310"/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2"/>
        <v>0</v>
      </c>
      <c r="AB14" s="317">
        <f t="shared" si="3"/>
        <v>0</v>
      </c>
      <c r="AC14" s="317">
        <f t="shared" si="4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3"/>
      <c r="G15" s="309"/>
      <c r="H15" s="770"/>
      <c r="I15" s="310"/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2"/>
        <v>0</v>
      </c>
      <c r="AB15" s="317">
        <f t="shared" si="3"/>
        <v>0</v>
      </c>
      <c r="AC15" s="317">
        <f t="shared" si="4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3"/>
      <c r="G16" s="309"/>
      <c r="H16" s="770"/>
      <c r="I16" s="310"/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1"/>
        <v>#DIV/0!</v>
      </c>
      <c r="U16" s="313"/>
      <c r="W16" s="6"/>
      <c r="X16" s="6"/>
      <c r="Y16" s="317"/>
      <c r="Z16" s="318">
        <v>5.0000000000000001E-3</v>
      </c>
      <c r="AA16" s="317">
        <f t="shared" si="2"/>
        <v>0</v>
      </c>
      <c r="AB16" s="317">
        <f t="shared" si="3"/>
        <v>0</v>
      </c>
      <c r="AC16" s="317">
        <f t="shared" si="4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3"/>
      <c r="G17" s="309"/>
      <c r="H17" s="770"/>
      <c r="I17" s="310"/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2"/>
        <v>0</v>
      </c>
      <c r="AB17" s="317">
        <f t="shared" si="3"/>
        <v>0</v>
      </c>
      <c r="AC17" s="317">
        <f t="shared" si="4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3"/>
      <c r="G18" s="309"/>
      <c r="H18" s="770"/>
      <c r="I18" s="310"/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1"/>
        <v>#DIV/0!</v>
      </c>
      <c r="U18" s="341"/>
      <c r="W18" s="6"/>
      <c r="X18" s="6"/>
      <c r="Y18" s="317"/>
      <c r="Z18" s="318">
        <v>5.0000000000000001E-3</v>
      </c>
      <c r="AA18" s="317">
        <f t="shared" si="2"/>
        <v>0</v>
      </c>
      <c r="AB18" s="317">
        <f t="shared" si="3"/>
        <v>0</v>
      </c>
      <c r="AC18" s="317">
        <f t="shared" si="4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4"/>
      <c r="G19" s="139"/>
      <c r="H19" s="771"/>
      <c r="I19" s="346"/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1"/>
        <v>#DIV/0!</v>
      </c>
      <c r="W19" s="6"/>
      <c r="X19" s="6"/>
      <c r="Y19" s="317"/>
      <c r="Z19" s="318">
        <v>5.0000000000000001E-3</v>
      </c>
      <c r="AA19" s="317">
        <f t="shared" si="2"/>
        <v>0</v>
      </c>
      <c r="AB19" s="317">
        <f t="shared" si="3"/>
        <v>0</v>
      </c>
      <c r="AC19" s="317">
        <f t="shared" si="4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4"/>
      <c r="G20" s="139"/>
      <c r="H20" s="771"/>
      <c r="I20" s="346"/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1"/>
        <v>#DIV/0!</v>
      </c>
      <c r="W20" s="6"/>
      <c r="X20" s="6"/>
      <c r="Y20" s="317"/>
      <c r="Z20" s="318">
        <v>5.0000000000000001E-3</v>
      </c>
      <c r="AA20" s="317">
        <f t="shared" si="2"/>
        <v>0</v>
      </c>
      <c r="AB20" s="317">
        <f t="shared" si="3"/>
        <v>0</v>
      </c>
      <c r="AC20" s="317">
        <f t="shared" si="4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4"/>
      <c r="G21" s="139"/>
      <c r="H21" s="771"/>
      <c r="I21" s="346"/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1"/>
        <v>#DIV/0!</v>
      </c>
      <c r="W21" s="6"/>
      <c r="X21" s="6"/>
      <c r="Y21" s="317"/>
      <c r="Z21" s="318">
        <v>5.0000000000000001E-3</v>
      </c>
      <c r="AA21" s="317">
        <f t="shared" si="2"/>
        <v>0</v>
      </c>
      <c r="AB21" s="317">
        <f t="shared" si="3"/>
        <v>0</v>
      </c>
      <c r="AC21" s="317">
        <f t="shared" si="4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4"/>
      <c r="G22" s="139"/>
      <c r="H22" s="771"/>
      <c r="I22" s="346"/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1"/>
        <v>#DIV/0!</v>
      </c>
      <c r="W22" s="6"/>
      <c r="X22" s="6"/>
      <c r="Y22" s="317"/>
      <c r="Z22" s="318">
        <v>5.0000000000000001E-3</v>
      </c>
      <c r="AA22" s="317">
        <f t="shared" si="2"/>
        <v>0</v>
      </c>
      <c r="AB22" s="317">
        <f t="shared" si="3"/>
        <v>0</v>
      </c>
      <c r="AC22" s="317">
        <f t="shared" si="4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4"/>
      <c r="G23" s="139"/>
      <c r="H23" s="771"/>
      <c r="I23" s="346"/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1"/>
        <v>#DIV/0!</v>
      </c>
      <c r="W23" s="6"/>
      <c r="X23" s="6"/>
      <c r="Y23" s="317"/>
      <c r="Z23" s="318">
        <v>5.0000000000000001E-3</v>
      </c>
      <c r="AA23" s="317">
        <f t="shared" si="2"/>
        <v>0</v>
      </c>
      <c r="AB23" s="317">
        <f t="shared" si="3"/>
        <v>0</v>
      </c>
      <c r="AC23" s="317">
        <f t="shared" si="4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4"/>
      <c r="G24" s="139"/>
      <c r="H24" s="771"/>
      <c r="I24" s="346"/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2"/>
        <v>0</v>
      </c>
      <c r="AB24" s="317">
        <f t="shared" si="3"/>
        <v>0</v>
      </c>
      <c r="AC24" s="317">
        <f t="shared" si="4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4"/>
      <c r="G25" s="139"/>
      <c r="H25" s="771"/>
      <c r="I25" s="346"/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1"/>
        <v>#DIV/0!</v>
      </c>
      <c r="W25" s="6"/>
      <c r="X25" s="6"/>
      <c r="Y25" s="317"/>
      <c r="Z25" s="318">
        <v>5.0000000000000001E-3</v>
      </c>
      <c r="AA25" s="317">
        <f t="shared" si="2"/>
        <v>0</v>
      </c>
      <c r="AB25" s="317">
        <f t="shared" si="3"/>
        <v>0</v>
      </c>
      <c r="AC25" s="317">
        <f t="shared" si="4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4"/>
      <c r="G26" s="359"/>
      <c r="H26" s="771"/>
      <c r="I26" s="346"/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2"/>
        <v>0</v>
      </c>
      <c r="AB26" s="317">
        <f t="shared" si="3"/>
        <v>0</v>
      </c>
      <c r="AC26" s="317">
        <f t="shared" si="4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4"/>
      <c r="G27" s="359"/>
      <c r="H27" s="771"/>
      <c r="I27" s="346"/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1"/>
        <v>#DIV/0!</v>
      </c>
      <c r="W27" s="6"/>
      <c r="Y27" s="317"/>
      <c r="Z27" s="318">
        <v>5.0000000000000001E-3</v>
      </c>
      <c r="AA27" s="317">
        <f t="shared" si="2"/>
        <v>0</v>
      </c>
      <c r="AB27" s="317">
        <f t="shared" si="3"/>
        <v>0</v>
      </c>
      <c r="AC27" s="317">
        <f t="shared" si="4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4"/>
      <c r="G28" s="359"/>
      <c r="H28" s="771"/>
      <c r="I28" s="346"/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1"/>
        <v>#DIV/0!</v>
      </c>
      <c r="W28" s="6"/>
      <c r="X28" s="6"/>
      <c r="Y28" s="317"/>
      <c r="Z28" s="318">
        <v>0</v>
      </c>
      <c r="AA28" s="317">
        <f t="shared" si="2"/>
        <v>0</v>
      </c>
      <c r="AB28" s="317">
        <f t="shared" si="3"/>
        <v>0</v>
      </c>
      <c r="AC28" s="317">
        <f t="shared" si="4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4"/>
      <c r="G29" s="359"/>
      <c r="H29" s="771"/>
      <c r="I29" s="346"/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1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3"/>
      <c r="G30" s="366"/>
      <c r="H30" s="770"/>
      <c r="I30" s="346"/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1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3"/>
      <c r="G31" s="366"/>
      <c r="H31" s="770"/>
      <c r="I31" s="346"/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1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3"/>
      <c r="G32" s="366"/>
      <c r="H32" s="770"/>
      <c r="I32" s="346"/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1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2"/>
      <c r="G33" s="374"/>
      <c r="H33" s="769"/>
      <c r="I33" s="297"/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1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2"/>
      <c r="G34" s="374"/>
      <c r="H34" s="769"/>
      <c r="I34" s="376"/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1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2"/>
      <c r="G35" s="196"/>
      <c r="H35" s="769"/>
      <c r="I35" s="376"/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1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1"/>
      <c r="G36" s="382"/>
      <c r="H36" s="768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5">Q36+M36+K36</f>
        <v>0</v>
      </c>
      <c r="T36" s="101" t="e">
        <f t="shared" ref="T36:T37" si="6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1"/>
      <c r="G37" s="382"/>
      <c r="H37" s="768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5"/>
        <v>0</v>
      </c>
      <c r="T37" s="101" t="e">
        <f t="shared" si="6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1"/>
      <c r="G38" s="99"/>
      <c r="H38" s="768"/>
      <c r="I38" s="285">
        <f t="shared" ref="I38:I50" si="7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5"/>
        <v>0</v>
      </c>
      <c r="T38" s="292" t="e">
        <f t="shared" ref="T38:T46" si="8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1"/>
      <c r="G39" s="99"/>
      <c r="H39" s="768"/>
      <c r="I39" s="285">
        <f t="shared" si="7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5"/>
        <v>0</v>
      </c>
      <c r="T39" s="292" t="e">
        <f t="shared" si="8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1"/>
      <c r="G40" s="99"/>
      <c r="H40" s="768"/>
      <c r="I40" s="285">
        <f t="shared" si="7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5"/>
        <v>0</v>
      </c>
      <c r="T40" s="292" t="e">
        <f t="shared" si="8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1"/>
      <c r="G41" s="99"/>
      <c r="H41" s="768"/>
      <c r="I41" s="285">
        <f t="shared" si="7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5"/>
        <v>0</v>
      </c>
      <c r="T41" s="292" t="e">
        <f t="shared" si="8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1"/>
      <c r="G42" s="99"/>
      <c r="H42" s="768"/>
      <c r="I42" s="285">
        <f t="shared" si="7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5"/>
        <v>0</v>
      </c>
      <c r="T42" s="292" t="e">
        <f t="shared" si="8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1"/>
      <c r="G43" s="99"/>
      <c r="H43" s="768"/>
      <c r="I43" s="285">
        <f t="shared" si="7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5"/>
        <v>0</v>
      </c>
      <c r="T43" s="292" t="e">
        <f t="shared" si="8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1"/>
      <c r="G44" s="99"/>
      <c r="H44" s="768"/>
      <c r="I44" s="285">
        <f t="shared" si="7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5"/>
        <v>0</v>
      </c>
      <c r="T44" s="292" t="e">
        <f t="shared" si="8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1"/>
      <c r="G45" s="99"/>
      <c r="H45" s="768"/>
      <c r="I45" s="285">
        <f t="shared" si="7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5"/>
        <v>0</v>
      </c>
      <c r="T45" s="292" t="e">
        <f t="shared" si="8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1"/>
      <c r="G46" s="99"/>
      <c r="H46" s="768"/>
      <c r="I46" s="285">
        <f t="shared" si="7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5"/>
        <v>0</v>
      </c>
      <c r="T46" s="292" t="e">
        <f t="shared" si="8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1"/>
      <c r="G47" s="99"/>
      <c r="H47" s="768"/>
      <c r="I47" s="285">
        <f t="shared" si="7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5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1"/>
      <c r="G48" s="99"/>
      <c r="H48" s="768"/>
      <c r="I48" s="285">
        <f t="shared" si="7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5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1"/>
      <c r="G49" s="99"/>
      <c r="H49" s="768"/>
      <c r="I49" s="285">
        <f t="shared" si="7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5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1"/>
      <c r="G50" s="99"/>
      <c r="H50" s="768"/>
      <c r="I50" s="285">
        <f t="shared" si="7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5" t="s">
        <v>38</v>
      </c>
      <c r="G51" s="405">
        <f>SUM(G5:G50)</f>
        <v>144</v>
      </c>
      <c r="H51" s="772">
        <f>SUM(H3:H50)</f>
        <v>150815.1</v>
      </c>
      <c r="I51" s="406">
        <f>[1]PIERNA!I37</f>
        <v>0</v>
      </c>
      <c r="J51" s="407"/>
      <c r="K51" s="408">
        <f>SUM(K5:K50)</f>
        <v>84817</v>
      </c>
      <c r="L51" s="409"/>
      <c r="M51" s="408">
        <f>SUM(M5:M50)</f>
        <v>250880</v>
      </c>
      <c r="N51" s="410"/>
      <c r="O51" s="411"/>
      <c r="P51" s="412"/>
      <c r="Q51" s="413">
        <f>SUM(Q5:Q50)</f>
        <v>4456424.2855099998</v>
      </c>
      <c r="R51" s="730"/>
      <c r="S51" s="414">
        <f>Q51+M51+K51</f>
        <v>4792121.2855099998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6"/>
      <c r="G52" s="99"/>
      <c r="H52" s="766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43"/>
  <sheetViews>
    <sheetView topLeftCell="BR1" workbookViewId="0">
      <selection activeCell="BS12" sqref="BS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5.5703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5" style="283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050" t="s">
        <v>56</v>
      </c>
      <c r="L1" s="1050"/>
      <c r="M1" s="1050"/>
      <c r="N1" s="1050"/>
      <c r="O1" s="1050"/>
      <c r="P1" s="1050"/>
      <c r="Q1" s="1050"/>
      <c r="R1" s="423">
        <f>I1+1</f>
        <v>1</v>
      </c>
      <c r="S1" s="423"/>
      <c r="U1" s="1049" t="str">
        <f>K1</f>
        <v>ENTRADAS DEL MES DE  ENERO  2024</v>
      </c>
      <c r="V1" s="1049"/>
      <c r="W1" s="1049"/>
      <c r="X1" s="1049"/>
      <c r="Y1" s="1049"/>
      <c r="Z1" s="1049"/>
      <c r="AA1" s="1049"/>
      <c r="AB1" s="423">
        <f>R1+1</f>
        <v>2</v>
      </c>
      <c r="AC1" s="424"/>
      <c r="AE1" s="1049" t="str">
        <f>U1</f>
        <v>ENTRADAS DEL MES DE  ENERO  2024</v>
      </c>
      <c r="AF1" s="1049"/>
      <c r="AG1" s="1049"/>
      <c r="AH1" s="1049"/>
      <c r="AI1" s="1049"/>
      <c r="AJ1" s="1049"/>
      <c r="AK1" s="1049"/>
      <c r="AL1" s="423">
        <f>AB1+1</f>
        <v>3</v>
      </c>
      <c r="AM1" s="423"/>
      <c r="AO1" s="1049" t="str">
        <f>AE1</f>
        <v>ENTRADAS DEL MES DE  ENERO  2024</v>
      </c>
      <c r="AP1" s="1049"/>
      <c r="AQ1" s="1049"/>
      <c r="AR1" s="1049"/>
      <c r="AS1" s="1049"/>
      <c r="AT1" s="1049"/>
      <c r="AU1" s="1049"/>
      <c r="AV1" s="423">
        <f>AL1+1</f>
        <v>4</v>
      </c>
      <c r="AW1" s="424"/>
      <c r="AY1" s="1049" t="str">
        <f>AO1</f>
        <v>ENTRADAS DEL MES DE  ENERO  2024</v>
      </c>
      <c r="AZ1" s="1049"/>
      <c r="BA1" s="1049"/>
      <c r="BB1" s="1049"/>
      <c r="BC1" s="1049"/>
      <c r="BD1" s="1049"/>
      <c r="BE1" s="1049"/>
      <c r="BF1" s="423">
        <f>AV1+1</f>
        <v>5</v>
      </c>
      <c r="BG1" s="424"/>
      <c r="BI1" s="1049" t="str">
        <f>AY1</f>
        <v>ENTRADAS DEL MES DE  ENERO  2024</v>
      </c>
      <c r="BJ1" s="1049"/>
      <c r="BK1" s="1049"/>
      <c r="BL1" s="1049"/>
      <c r="BM1" s="1049"/>
      <c r="BN1" s="1049"/>
      <c r="BO1" s="1049"/>
      <c r="BP1" s="423">
        <f>BF1+1</f>
        <v>6</v>
      </c>
      <c r="BQ1" s="424"/>
      <c r="BS1" s="1049" t="str">
        <f>BI1</f>
        <v>ENTRADAS DEL MES DE  ENERO  2024</v>
      </c>
      <c r="BT1" s="1049"/>
      <c r="BU1" s="1049"/>
      <c r="BV1" s="1049"/>
      <c r="BW1" s="1049"/>
      <c r="BX1" s="1049"/>
      <c r="BY1" s="1049"/>
      <c r="BZ1" s="423">
        <f>BP1+1</f>
        <v>7</v>
      </c>
      <c r="CA1" s="425"/>
      <c r="CC1" s="1049" t="str">
        <f>BS1</f>
        <v>ENTRADAS DEL MES DE  ENERO  2024</v>
      </c>
      <c r="CD1" s="1049"/>
      <c r="CE1" s="1049"/>
      <c r="CF1" s="1049"/>
      <c r="CG1" s="1049"/>
      <c r="CH1" s="1049"/>
      <c r="CI1" s="1049"/>
      <c r="CJ1" s="423">
        <f>BZ1+1</f>
        <v>8</v>
      </c>
      <c r="CK1" s="425"/>
      <c r="CM1" s="1049" t="str">
        <f>CC1</f>
        <v>ENTRADAS DEL MES DE  ENERO  2024</v>
      </c>
      <c r="CN1" s="1049"/>
      <c r="CO1" s="1049"/>
      <c r="CP1" s="1049"/>
      <c r="CQ1" s="1049"/>
      <c r="CR1" s="1049"/>
      <c r="CS1" s="1049"/>
      <c r="CT1" s="423">
        <f>CJ1+1</f>
        <v>9</v>
      </c>
      <c r="CU1" s="424"/>
      <c r="CW1" s="1049" t="str">
        <f>CM1</f>
        <v>ENTRADAS DEL MES DE  ENERO  2024</v>
      </c>
      <c r="CX1" s="1049"/>
      <c r="CY1" s="1049"/>
      <c r="CZ1" s="1049"/>
      <c r="DA1" s="1049"/>
      <c r="DB1" s="1049"/>
      <c r="DC1" s="1049"/>
      <c r="DD1" s="423">
        <f>CT1+1</f>
        <v>10</v>
      </c>
      <c r="DE1" s="424"/>
      <c r="DG1" s="1049" t="str">
        <f>CW1</f>
        <v>ENTRADAS DEL MES DE  ENERO  2024</v>
      </c>
      <c r="DH1" s="1049"/>
      <c r="DI1" s="1049"/>
      <c r="DJ1" s="1049"/>
      <c r="DK1" s="1049"/>
      <c r="DL1" s="1049"/>
      <c r="DM1" s="1049"/>
      <c r="DN1" s="423">
        <f>DD1+1</f>
        <v>11</v>
      </c>
      <c r="DO1" s="424"/>
      <c r="DQ1" s="1049" t="str">
        <f>DG1</f>
        <v>ENTRADAS DEL MES DE  ENERO  2024</v>
      </c>
      <c r="DR1" s="1049"/>
      <c r="DS1" s="1049"/>
      <c r="DT1" s="1049"/>
      <c r="DU1" s="1049"/>
      <c r="DV1" s="1049"/>
      <c r="DW1" s="1049"/>
      <c r="DX1" s="423">
        <f>DN1+1</f>
        <v>12</v>
      </c>
      <c r="DY1" s="425"/>
      <c r="EA1" s="1049" t="str">
        <f>DQ1</f>
        <v>ENTRADAS DEL MES DE  ENERO  2024</v>
      </c>
      <c r="EB1" s="1049"/>
      <c r="EC1" s="1049"/>
      <c r="ED1" s="1049"/>
      <c r="EE1" s="1049"/>
      <c r="EF1" s="1049"/>
      <c r="EG1" s="1049"/>
      <c r="EH1" s="423">
        <f>DX1+1</f>
        <v>13</v>
      </c>
      <c r="EI1" s="424"/>
      <c r="EK1" s="1049" t="str">
        <f>EA1</f>
        <v>ENTRADAS DEL MES DE  ENERO  2024</v>
      </c>
      <c r="EL1" s="1049"/>
      <c r="EM1" s="1049"/>
      <c r="EN1" s="1049"/>
      <c r="EO1" s="1049"/>
      <c r="EP1" s="1049"/>
      <c r="EQ1" s="1049"/>
      <c r="ER1" s="423">
        <f>EH1+1</f>
        <v>14</v>
      </c>
      <c r="ES1" s="424"/>
      <c r="EU1" s="1049" t="str">
        <f>EK1</f>
        <v>ENTRADAS DEL MES DE  ENERO  2024</v>
      </c>
      <c r="EV1" s="1049"/>
      <c r="EW1" s="1049"/>
      <c r="EX1" s="1049"/>
      <c r="EY1" s="1049"/>
      <c r="EZ1" s="1049"/>
      <c r="FA1" s="1049"/>
      <c r="FB1" s="423">
        <f>ER1+1</f>
        <v>15</v>
      </c>
      <c r="FC1" s="424"/>
      <c r="FE1" s="1049" t="str">
        <f>EU1</f>
        <v>ENTRADAS DEL MES DE  ENERO  2024</v>
      </c>
      <c r="FF1" s="1049"/>
      <c r="FG1" s="1049"/>
      <c r="FH1" s="1049"/>
      <c r="FI1" s="1049"/>
      <c r="FJ1" s="1049"/>
      <c r="FK1" s="1049"/>
      <c r="FL1" s="423">
        <f>FB1+1</f>
        <v>16</v>
      </c>
      <c r="FM1" s="424"/>
      <c r="FO1" s="1049" t="str">
        <f>FE1</f>
        <v>ENTRADAS DEL MES DE  ENERO  2024</v>
      </c>
      <c r="FP1" s="1049"/>
      <c r="FQ1" s="1049"/>
      <c r="FR1" s="1049"/>
      <c r="FS1" s="1049"/>
      <c r="FT1" s="1049"/>
      <c r="FU1" s="1049"/>
      <c r="FV1" s="423">
        <f>FL1+1</f>
        <v>17</v>
      </c>
      <c r="FW1" s="424"/>
      <c r="FY1" s="1049" t="str">
        <f>FO1</f>
        <v>ENTRADAS DEL MES DE  ENERO  2024</v>
      </c>
      <c r="FZ1" s="1049"/>
      <c r="GA1" s="1049"/>
      <c r="GB1" s="1049"/>
      <c r="GC1" s="1049"/>
      <c r="GD1" s="1049"/>
      <c r="GE1" s="1049"/>
      <c r="GF1" s="423">
        <f>FV1+1</f>
        <v>18</v>
      </c>
      <c r="GG1" s="424"/>
      <c r="GH1" s="283" t="s">
        <v>41</v>
      </c>
      <c r="GI1" s="1049" t="str">
        <f>FY1</f>
        <v>ENTRADAS DEL MES DE  ENERO  2024</v>
      </c>
      <c r="GJ1" s="1049"/>
      <c r="GK1" s="1049"/>
      <c r="GL1" s="1049"/>
      <c r="GM1" s="1049"/>
      <c r="GN1" s="1049"/>
      <c r="GO1" s="1049"/>
      <c r="GP1" s="423">
        <f>GF1+1</f>
        <v>19</v>
      </c>
      <c r="GQ1" s="424"/>
      <c r="GS1" s="1049" t="str">
        <f>GI1</f>
        <v>ENTRADAS DEL MES DE  ENERO  2024</v>
      </c>
      <c r="GT1" s="1049"/>
      <c r="GU1" s="1049"/>
      <c r="GV1" s="1049"/>
      <c r="GW1" s="1049"/>
      <c r="GX1" s="1049"/>
      <c r="GY1" s="1049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CC2" s="283" t="s">
        <v>22</v>
      </c>
    </row>
    <row r="3" spans="1:209" ht="17.25" thickTop="1" thickBot="1" x14ac:dyDescent="0.3">
      <c r="D3" s="431"/>
      <c r="F3" s="215"/>
      <c r="G3" s="6"/>
      <c r="H3" s="233"/>
      <c r="I3" s="433">
        <v>0</v>
      </c>
      <c r="K3" s="434" t="s">
        <v>4</v>
      </c>
      <c r="L3" s="434" t="s">
        <v>5</v>
      </c>
      <c r="M3" s="434"/>
      <c r="N3" s="434" t="s">
        <v>11</v>
      </c>
      <c r="O3" s="434" t="s">
        <v>32</v>
      </c>
      <c r="P3" s="434" t="s">
        <v>9</v>
      </c>
      <c r="Q3" s="435" t="s">
        <v>43</v>
      </c>
      <c r="R3" s="436" t="s">
        <v>35</v>
      </c>
      <c r="S3" s="437"/>
      <c r="U3" s="434" t="s">
        <v>41</v>
      </c>
      <c r="V3" s="434" t="s">
        <v>5</v>
      </c>
      <c r="W3" s="434"/>
      <c r="X3" s="434" t="s">
        <v>11</v>
      </c>
      <c r="Y3" s="434" t="s">
        <v>32</v>
      </c>
      <c r="Z3" s="434" t="s">
        <v>9</v>
      </c>
      <c r="AA3" s="435" t="s">
        <v>43</v>
      </c>
      <c r="AB3" s="436" t="s">
        <v>35</v>
      </c>
      <c r="AC3" s="438"/>
      <c r="AE3" s="434" t="s">
        <v>4</v>
      </c>
      <c r="AF3" s="434" t="s">
        <v>5</v>
      </c>
      <c r="AG3" s="434"/>
      <c r="AH3" s="434" t="s">
        <v>11</v>
      </c>
      <c r="AI3" s="434" t="s">
        <v>32</v>
      </c>
      <c r="AJ3" s="434" t="s">
        <v>9</v>
      </c>
      <c r="AK3" s="435" t="s">
        <v>43</v>
      </c>
      <c r="AL3" s="436" t="s">
        <v>35</v>
      </c>
      <c r="AM3" s="437"/>
      <c r="AO3" s="434" t="s">
        <v>4</v>
      </c>
      <c r="AP3" s="434" t="s">
        <v>5</v>
      </c>
      <c r="AQ3" s="434"/>
      <c r="AR3" s="434" t="s">
        <v>11</v>
      </c>
      <c r="AS3" s="434" t="s">
        <v>32</v>
      </c>
      <c r="AT3" s="434" t="s">
        <v>9</v>
      </c>
      <c r="AU3" s="435" t="s">
        <v>43</v>
      </c>
      <c r="AV3" s="436" t="s">
        <v>35</v>
      </c>
      <c r="AW3" s="438"/>
      <c r="AY3" s="434" t="s">
        <v>4</v>
      </c>
      <c r="AZ3" s="439" t="s">
        <v>5</v>
      </c>
      <c r="BA3" s="434"/>
      <c r="BB3" s="434" t="s">
        <v>11</v>
      </c>
      <c r="BC3" s="434" t="s">
        <v>32</v>
      </c>
      <c r="BD3" s="434" t="s">
        <v>9</v>
      </c>
      <c r="BE3" s="435" t="s">
        <v>43</v>
      </c>
      <c r="BF3" s="436" t="s">
        <v>35</v>
      </c>
      <c r="BG3" s="438"/>
      <c r="BI3" s="434" t="s">
        <v>4</v>
      </c>
      <c r="BJ3" s="434" t="s">
        <v>5</v>
      </c>
      <c r="BK3" s="434"/>
      <c r="BL3" s="434" t="s">
        <v>11</v>
      </c>
      <c r="BM3" s="434" t="s">
        <v>32</v>
      </c>
      <c r="BN3" s="434" t="s">
        <v>9</v>
      </c>
      <c r="BO3" s="435" t="s">
        <v>43</v>
      </c>
      <c r="BP3" s="436" t="s">
        <v>35</v>
      </c>
      <c r="BQ3" s="438"/>
      <c r="BS3" s="434" t="s">
        <v>4</v>
      </c>
      <c r="BT3" s="434" t="s">
        <v>5</v>
      </c>
      <c r="BU3" s="434"/>
      <c r="BV3" s="434" t="s">
        <v>11</v>
      </c>
      <c r="BW3" s="434" t="s">
        <v>32</v>
      </c>
      <c r="BX3" s="434" t="s">
        <v>9</v>
      </c>
      <c r="BY3" s="435" t="s">
        <v>43</v>
      </c>
      <c r="BZ3" s="436" t="s">
        <v>35</v>
      </c>
      <c r="CC3" s="434" t="s">
        <v>4</v>
      </c>
      <c r="CD3" s="434" t="s">
        <v>5</v>
      </c>
      <c r="CE3" s="434"/>
      <c r="CF3" s="434" t="s">
        <v>11</v>
      </c>
      <c r="CG3" s="434" t="s">
        <v>32</v>
      </c>
      <c r="CH3" s="434" t="s">
        <v>9</v>
      </c>
      <c r="CI3" s="435" t="s">
        <v>43</v>
      </c>
      <c r="CJ3" s="436" t="s">
        <v>35</v>
      </c>
      <c r="CM3" s="434" t="s">
        <v>4</v>
      </c>
      <c r="CN3" s="434" t="s">
        <v>5</v>
      </c>
      <c r="CO3" s="434"/>
      <c r="CP3" s="434" t="s">
        <v>11</v>
      </c>
      <c r="CQ3" s="434" t="s">
        <v>32</v>
      </c>
      <c r="CR3" s="434" t="s">
        <v>9</v>
      </c>
      <c r="CS3" s="435" t="s">
        <v>43</v>
      </c>
      <c r="CT3" s="436" t="s">
        <v>35</v>
      </c>
      <c r="CU3" s="438"/>
      <c r="CW3" s="434" t="s">
        <v>4</v>
      </c>
      <c r="CX3" s="434" t="s">
        <v>5</v>
      </c>
      <c r="CY3" s="434"/>
      <c r="CZ3" s="434" t="s">
        <v>11</v>
      </c>
      <c r="DA3" s="434" t="s">
        <v>32</v>
      </c>
      <c r="DB3" s="434" t="s">
        <v>9</v>
      </c>
      <c r="DC3" s="435" t="s">
        <v>43</v>
      </c>
      <c r="DD3" s="436" t="s">
        <v>35</v>
      </c>
      <c r="DE3" s="438"/>
      <c r="DG3" s="434" t="s">
        <v>4</v>
      </c>
      <c r="DH3" s="434" t="s">
        <v>5</v>
      </c>
      <c r="DI3" s="434"/>
      <c r="DJ3" s="434" t="s">
        <v>11</v>
      </c>
      <c r="DK3" s="434" t="s">
        <v>32</v>
      </c>
      <c r="DL3" s="434" t="s">
        <v>9</v>
      </c>
      <c r="DM3" s="435" t="s">
        <v>43</v>
      </c>
      <c r="DN3" s="436" t="s">
        <v>35</v>
      </c>
      <c r="DO3" s="438"/>
      <c r="DQ3" s="434" t="s">
        <v>4</v>
      </c>
      <c r="DR3" s="434" t="s">
        <v>5</v>
      </c>
      <c r="DS3" s="434"/>
      <c r="DT3" s="434" t="s">
        <v>11</v>
      </c>
      <c r="DU3" s="434" t="s">
        <v>32</v>
      </c>
      <c r="DV3" s="434" t="s">
        <v>9</v>
      </c>
      <c r="DW3" s="435" t="s">
        <v>43</v>
      </c>
      <c r="DX3" s="436" t="s">
        <v>35</v>
      </c>
      <c r="EA3" s="434" t="s">
        <v>4</v>
      </c>
      <c r="EB3" s="434" t="s">
        <v>5</v>
      </c>
      <c r="EC3" s="434"/>
      <c r="ED3" s="434" t="s">
        <v>11</v>
      </c>
      <c r="EE3" s="434" t="s">
        <v>32</v>
      </c>
      <c r="EF3" s="434" t="s">
        <v>9</v>
      </c>
      <c r="EG3" s="435" t="s">
        <v>43</v>
      </c>
      <c r="EH3" s="436" t="s">
        <v>35</v>
      </c>
      <c r="EI3" s="438"/>
      <c r="EK3" s="434" t="s">
        <v>4</v>
      </c>
      <c r="EL3" s="434" t="s">
        <v>5</v>
      </c>
      <c r="EM3" s="434"/>
      <c r="EN3" s="434" t="s">
        <v>11</v>
      </c>
      <c r="EO3" s="434" t="s">
        <v>32</v>
      </c>
      <c r="EP3" s="434" t="s">
        <v>9</v>
      </c>
      <c r="EQ3" s="435" t="s">
        <v>43</v>
      </c>
      <c r="ER3" s="436" t="s">
        <v>35</v>
      </c>
      <c r="ES3" s="438"/>
      <c r="EU3" s="434" t="s">
        <v>4</v>
      </c>
      <c r="EV3" s="434" t="s">
        <v>5</v>
      </c>
      <c r="EW3" s="434"/>
      <c r="EX3" s="434" t="s">
        <v>11</v>
      </c>
      <c r="EY3" s="434" t="s">
        <v>32</v>
      </c>
      <c r="EZ3" s="434" t="s">
        <v>9</v>
      </c>
      <c r="FA3" s="435" t="s">
        <v>43</v>
      </c>
      <c r="FB3" s="436" t="s">
        <v>35</v>
      </c>
      <c r="FC3" s="438"/>
      <c r="FE3" s="434" t="s">
        <v>4</v>
      </c>
      <c r="FF3" s="434" t="s">
        <v>5</v>
      </c>
      <c r="FG3" s="434"/>
      <c r="FH3" s="434" t="s">
        <v>11</v>
      </c>
      <c r="FI3" s="434" t="s">
        <v>32</v>
      </c>
      <c r="FJ3" s="434" t="s">
        <v>9</v>
      </c>
      <c r="FK3" s="435" t="s">
        <v>43</v>
      </c>
      <c r="FL3" s="436" t="s">
        <v>35</v>
      </c>
      <c r="FM3" s="438"/>
      <c r="FO3" s="434" t="s">
        <v>4</v>
      </c>
      <c r="FP3" s="434" t="s">
        <v>5</v>
      </c>
      <c r="FQ3" s="434"/>
      <c r="FR3" s="434" t="s">
        <v>11</v>
      </c>
      <c r="FS3" s="434" t="s">
        <v>32</v>
      </c>
      <c r="FT3" s="434" t="s">
        <v>9</v>
      </c>
      <c r="FU3" s="435" t="s">
        <v>43</v>
      </c>
      <c r="FV3" s="436" t="s">
        <v>35</v>
      </c>
      <c r="FW3" s="438"/>
      <c r="FY3" s="434" t="s">
        <v>4</v>
      </c>
      <c r="FZ3" s="434" t="s">
        <v>5</v>
      </c>
      <c r="GA3" s="434"/>
      <c r="GB3" s="434" t="s">
        <v>11</v>
      </c>
      <c r="GC3" s="434" t="s">
        <v>32</v>
      </c>
      <c r="GD3" s="434" t="s">
        <v>9</v>
      </c>
      <c r="GE3" s="435" t="s">
        <v>43</v>
      </c>
      <c r="GF3" s="436" t="s">
        <v>35</v>
      </c>
      <c r="GG3" s="438"/>
      <c r="GI3" s="434" t="s">
        <v>4</v>
      </c>
      <c r="GJ3" s="434" t="s">
        <v>5</v>
      </c>
      <c r="GK3" s="434"/>
      <c r="GL3" s="434" t="s">
        <v>11</v>
      </c>
      <c r="GM3" s="434" t="s">
        <v>32</v>
      </c>
      <c r="GN3" s="434" t="s">
        <v>9</v>
      </c>
      <c r="GO3" s="435" t="s">
        <v>43</v>
      </c>
      <c r="GP3" s="436" t="s">
        <v>35</v>
      </c>
      <c r="GQ3" s="438"/>
      <c r="GS3" s="434" t="s">
        <v>4</v>
      </c>
      <c r="GT3" s="434" t="s">
        <v>5</v>
      </c>
      <c r="GU3" s="434"/>
      <c r="GV3" s="434" t="s">
        <v>11</v>
      </c>
      <c r="GW3" s="434" t="s">
        <v>32</v>
      </c>
      <c r="GX3" s="434" t="s">
        <v>9</v>
      </c>
      <c r="GY3" s="435" t="s">
        <v>43</v>
      </c>
      <c r="GZ3" s="436" t="s">
        <v>35</v>
      </c>
      <c r="HA3" s="438"/>
    </row>
    <row r="4" spans="1:209" ht="22.5" customHeight="1" thickTop="1" thickBot="1" x14ac:dyDescent="0.3">
      <c r="A4" s="417">
        <v>1</v>
      </c>
      <c r="B4" s="567" t="str">
        <f t="shared" ref="B4:I4" si="0">K5</f>
        <v xml:space="preserve">SAM FARMS </v>
      </c>
      <c r="C4" s="567" t="str">
        <f t="shared" si="0"/>
        <v xml:space="preserve">I B P </v>
      </c>
      <c r="D4" s="571" t="str">
        <f t="shared" si="0"/>
        <v>PED. 108079099</v>
      </c>
      <c r="E4" s="568">
        <f t="shared" si="0"/>
        <v>45297</v>
      </c>
      <c r="F4" s="572">
        <f t="shared" si="0"/>
        <v>19070.05</v>
      </c>
      <c r="G4" s="570">
        <f t="shared" si="0"/>
        <v>20</v>
      </c>
      <c r="H4" s="573">
        <f t="shared" si="0"/>
        <v>19159.2</v>
      </c>
      <c r="I4" s="569">
        <f t="shared" si="0"/>
        <v>-89.150000000001455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567" t="str">
        <f t="shared" ref="B5:H5" si="1">U5</f>
        <v>SEABOARD FOODS</v>
      </c>
      <c r="C5" s="567" t="str">
        <f t="shared" si="1"/>
        <v>Seaboard</v>
      </c>
      <c r="D5" s="571" t="str">
        <f t="shared" si="1"/>
        <v>PED. 108139656</v>
      </c>
      <c r="E5" s="568">
        <f t="shared" si="1"/>
        <v>45300</v>
      </c>
      <c r="F5" s="572">
        <f t="shared" si="1"/>
        <v>18756.12</v>
      </c>
      <c r="G5" s="570">
        <f t="shared" si="1"/>
        <v>21</v>
      </c>
      <c r="H5" s="573">
        <f t="shared" si="1"/>
        <v>18773.099999999999</v>
      </c>
      <c r="I5" s="569">
        <f>AB5</f>
        <v>-16.979999999999563</v>
      </c>
      <c r="K5" s="459" t="s">
        <v>62</v>
      </c>
      <c r="L5" s="643" t="s">
        <v>63</v>
      </c>
      <c r="M5" s="445" t="s">
        <v>64</v>
      </c>
      <c r="N5" s="446">
        <v>45297</v>
      </c>
      <c r="O5" s="447">
        <v>19070.05</v>
      </c>
      <c r="P5" s="448">
        <v>20</v>
      </c>
      <c r="Q5" s="449">
        <v>19159.2</v>
      </c>
      <c r="R5" s="450">
        <f>O5-Q5</f>
        <v>-89.150000000001455</v>
      </c>
      <c r="S5" s="451"/>
      <c r="U5" s="444" t="s">
        <v>69</v>
      </c>
      <c r="V5" s="677" t="s">
        <v>70</v>
      </c>
      <c r="W5" s="454" t="s">
        <v>71</v>
      </c>
      <c r="X5" s="446">
        <v>45300</v>
      </c>
      <c r="Y5" s="447">
        <v>18756.12</v>
      </c>
      <c r="Z5" s="448">
        <v>21</v>
      </c>
      <c r="AA5" s="449">
        <v>18773.099999999999</v>
      </c>
      <c r="AB5" s="450">
        <f>Y5-AA5</f>
        <v>-16.979999999999563</v>
      </c>
      <c r="AC5" s="451"/>
      <c r="AE5" s="459" t="s">
        <v>62</v>
      </c>
      <c r="AF5" s="700" t="s">
        <v>63</v>
      </c>
      <c r="AG5" s="454" t="s">
        <v>79</v>
      </c>
      <c r="AH5" s="455">
        <v>45303</v>
      </c>
      <c r="AI5" s="456">
        <v>18583.88</v>
      </c>
      <c r="AJ5" s="457">
        <v>20</v>
      </c>
      <c r="AK5" s="458">
        <v>18501.04</v>
      </c>
      <c r="AL5" s="450">
        <f>AI5-AK5</f>
        <v>82.840000000000146</v>
      </c>
      <c r="AM5" s="450"/>
      <c r="AO5" s="459" t="s">
        <v>69</v>
      </c>
      <c r="AP5" s="719" t="s">
        <v>70</v>
      </c>
      <c r="AQ5" s="454" t="s">
        <v>98</v>
      </c>
      <c r="AR5" s="455">
        <v>45307</v>
      </c>
      <c r="AS5" s="456">
        <v>18870.66</v>
      </c>
      <c r="AT5" s="457">
        <v>21</v>
      </c>
      <c r="AU5" s="458">
        <v>18950.599999999999</v>
      </c>
      <c r="AV5" s="450">
        <f>AS5-AU5</f>
        <v>-79.93999999999869</v>
      </c>
      <c r="AW5" s="450"/>
      <c r="AY5" s="459" t="s">
        <v>62</v>
      </c>
      <c r="AZ5" s="734" t="s">
        <v>63</v>
      </c>
      <c r="BA5" s="454" t="s">
        <v>108</v>
      </c>
      <c r="BB5" s="460">
        <v>45311</v>
      </c>
      <c r="BC5" s="456">
        <v>18523.68</v>
      </c>
      <c r="BD5" s="457">
        <v>20</v>
      </c>
      <c r="BE5" s="458">
        <v>18577.16</v>
      </c>
      <c r="BF5" s="450">
        <f>BC5-BE5</f>
        <v>-53.479999999999563</v>
      </c>
      <c r="BG5" s="451"/>
      <c r="BI5" s="444" t="s">
        <v>69</v>
      </c>
      <c r="BJ5" s="736" t="s">
        <v>70</v>
      </c>
      <c r="BK5" s="452" t="s">
        <v>109</v>
      </c>
      <c r="BL5" s="446">
        <v>45314</v>
      </c>
      <c r="BM5" s="447">
        <v>19011.88</v>
      </c>
      <c r="BN5" s="448">
        <v>21</v>
      </c>
      <c r="BO5" s="449">
        <v>19064.2</v>
      </c>
      <c r="BP5" s="450">
        <f>BM5-BO5</f>
        <v>-52.319999999999709</v>
      </c>
      <c r="BQ5" s="451"/>
      <c r="BS5" s="461" t="s">
        <v>62</v>
      </c>
      <c r="BT5" s="734" t="s">
        <v>63</v>
      </c>
      <c r="BU5" s="454" t="s">
        <v>115</v>
      </c>
      <c r="BV5" s="460">
        <v>45317</v>
      </c>
      <c r="BW5" s="456">
        <v>18620.18</v>
      </c>
      <c r="BX5" s="457">
        <v>20</v>
      </c>
      <c r="BY5" s="458">
        <v>18667.900000000001</v>
      </c>
      <c r="BZ5" s="742">
        <f>BW5-BY5</f>
        <v>-47.720000000001164</v>
      </c>
      <c r="CA5" s="451"/>
      <c r="CB5" s="462"/>
      <c r="CC5" s="755" t="s">
        <v>69</v>
      </c>
      <c r="CD5" s="457" t="s">
        <v>70</v>
      </c>
      <c r="CE5" s="454" t="s">
        <v>139</v>
      </c>
      <c r="CF5" s="460">
        <v>45321</v>
      </c>
      <c r="CG5" s="456">
        <v>19090.259999999998</v>
      </c>
      <c r="CH5" s="457">
        <v>21</v>
      </c>
      <c r="CI5" s="458">
        <v>19121.900000000001</v>
      </c>
      <c r="CJ5" s="742">
        <f>CG5-CI5</f>
        <v>-31.640000000003056</v>
      </c>
      <c r="CK5" s="756"/>
      <c r="CL5" s="462"/>
      <c r="CM5" s="465"/>
      <c r="CN5" s="464"/>
      <c r="CO5" s="445"/>
      <c r="CP5" s="446"/>
      <c r="CQ5" s="447"/>
      <c r="CR5" s="448"/>
      <c r="CS5" s="449"/>
      <c r="CT5" s="450">
        <f>CQ5-CS5</f>
        <v>0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567" t="str">
        <f t="shared" ref="B6:H6" si="2">AE5</f>
        <v xml:space="preserve">SAM FARMS </v>
      </c>
      <c r="C6" s="567" t="str">
        <f t="shared" si="2"/>
        <v xml:space="preserve">I B P </v>
      </c>
      <c r="D6" s="571" t="str">
        <f t="shared" si="2"/>
        <v>PED. 108305693</v>
      </c>
      <c r="E6" s="568">
        <f t="shared" si="2"/>
        <v>45303</v>
      </c>
      <c r="F6" s="572">
        <f t="shared" si="2"/>
        <v>18583.88</v>
      </c>
      <c r="G6" s="570">
        <f t="shared" si="2"/>
        <v>20</v>
      </c>
      <c r="H6" s="573">
        <f t="shared" si="2"/>
        <v>18501.04</v>
      </c>
      <c r="I6" s="569">
        <f>AL5</f>
        <v>82.840000000000146</v>
      </c>
      <c r="K6" s="471">
        <v>12028</v>
      </c>
      <c r="L6" s="472"/>
      <c r="M6" s="444"/>
      <c r="N6" s="444"/>
      <c r="O6" s="444"/>
      <c r="P6" s="444"/>
      <c r="Q6" s="448"/>
      <c r="S6" s="5"/>
      <c r="U6" s="471" t="s">
        <v>100</v>
      </c>
      <c r="V6" s="472"/>
      <c r="W6" s="444"/>
      <c r="X6" s="444"/>
      <c r="Y6" s="444"/>
      <c r="Z6" s="444"/>
      <c r="AA6" s="448"/>
      <c r="AE6" s="473">
        <v>12031</v>
      </c>
      <c r="AF6" s="472"/>
      <c r="AG6" s="444"/>
      <c r="AH6" s="444"/>
      <c r="AI6" s="444"/>
      <c r="AJ6" s="444"/>
      <c r="AK6" s="448"/>
      <c r="AO6" s="473" t="s">
        <v>99</v>
      </c>
      <c r="AP6" s="474"/>
      <c r="AQ6" s="453"/>
      <c r="AR6" s="453"/>
      <c r="AS6" s="453"/>
      <c r="AT6" s="453"/>
      <c r="AU6" s="457"/>
      <c r="AW6" s="283"/>
      <c r="AY6" s="475">
        <v>12034</v>
      </c>
      <c r="AZ6" s="472"/>
      <c r="BA6" s="444"/>
      <c r="BB6" s="444"/>
      <c r="BC6" s="444"/>
      <c r="BD6" s="444"/>
      <c r="BE6" s="448"/>
      <c r="BI6" s="475" t="s">
        <v>110</v>
      </c>
      <c r="BJ6" s="472"/>
      <c r="BK6" s="444"/>
      <c r="BL6" s="444"/>
      <c r="BM6" s="444"/>
      <c r="BN6" s="444"/>
      <c r="BO6" s="448"/>
      <c r="BQ6" s="462"/>
      <c r="BS6" s="773">
        <v>12037</v>
      </c>
      <c r="BT6" s="472"/>
      <c r="BU6" s="444"/>
      <c r="BV6" s="444"/>
      <c r="BW6" s="444"/>
      <c r="BX6" s="444"/>
      <c r="BY6" s="448"/>
      <c r="CA6" s="462"/>
      <c r="CB6" s="462"/>
      <c r="CC6" s="757" t="s">
        <v>140</v>
      </c>
      <c r="CD6" s="444"/>
      <c r="CE6" s="444"/>
      <c r="CF6" s="444"/>
      <c r="CG6" s="444"/>
      <c r="CH6" s="444"/>
      <c r="CI6" s="448"/>
      <c r="CK6" s="462"/>
      <c r="CL6" s="462"/>
      <c r="CM6" s="476"/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ht="22.5" customHeight="1" thickTop="1" thickBot="1" x14ac:dyDescent="0.3">
      <c r="A7" s="417">
        <v>4</v>
      </c>
      <c r="B7" s="574" t="str">
        <f>AO5</f>
        <v>SEABOARD FOODS</v>
      </c>
      <c r="C7" s="567" t="str">
        <f t="shared" ref="C7:I7" si="3">AP5</f>
        <v>Seaboard</v>
      </c>
      <c r="D7" s="571" t="str">
        <f t="shared" si="3"/>
        <v>PED. 108436344</v>
      </c>
      <c r="E7" s="568">
        <f t="shared" si="3"/>
        <v>45307</v>
      </c>
      <c r="F7" s="572">
        <f t="shared" si="3"/>
        <v>18870.66</v>
      </c>
      <c r="G7" s="570">
        <f t="shared" si="3"/>
        <v>21</v>
      </c>
      <c r="H7" s="573">
        <f t="shared" si="3"/>
        <v>18950.599999999999</v>
      </c>
      <c r="I7" s="569">
        <f t="shared" si="3"/>
        <v>-79.93999999999869</v>
      </c>
      <c r="L7" s="481" t="s">
        <v>49</v>
      </c>
      <c r="M7" s="482" t="s">
        <v>33</v>
      </c>
      <c r="N7" s="483" t="s">
        <v>50</v>
      </c>
      <c r="O7" s="484" t="s">
        <v>11</v>
      </c>
      <c r="P7" s="435" t="s">
        <v>51</v>
      </c>
      <c r="Q7" s="485" t="s">
        <v>52</v>
      </c>
      <c r="R7" s="486"/>
      <c r="S7" s="487"/>
      <c r="V7" s="481" t="s">
        <v>49</v>
      </c>
      <c r="W7" s="482" t="s">
        <v>33</v>
      </c>
      <c r="X7" s="483" t="s">
        <v>50</v>
      </c>
      <c r="Y7" s="484" t="s">
        <v>11</v>
      </c>
      <c r="Z7" s="435" t="s">
        <v>51</v>
      </c>
      <c r="AA7" s="485" t="s">
        <v>52</v>
      </c>
      <c r="AB7" s="486"/>
      <c r="AC7" s="487"/>
      <c r="AF7" s="481" t="s">
        <v>49</v>
      </c>
      <c r="AG7" s="482" t="s">
        <v>33</v>
      </c>
      <c r="AH7" s="483" t="s">
        <v>50</v>
      </c>
      <c r="AI7" s="484" t="s">
        <v>11</v>
      </c>
      <c r="AJ7" s="435" t="s">
        <v>51</v>
      </c>
      <c r="AK7" s="485" t="s">
        <v>52</v>
      </c>
      <c r="AL7" s="486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283"/>
      <c r="AZ7" s="481" t="s">
        <v>49</v>
      </c>
      <c r="BA7" s="482" t="s">
        <v>33</v>
      </c>
      <c r="BB7" s="483" t="s">
        <v>50</v>
      </c>
      <c r="BC7" s="484" t="s">
        <v>11</v>
      </c>
      <c r="BD7" s="435" t="s">
        <v>51</v>
      </c>
      <c r="BE7" s="485" t="s">
        <v>52</v>
      </c>
      <c r="BF7" s="486"/>
      <c r="BG7" s="487"/>
      <c r="BJ7" s="481" t="s">
        <v>49</v>
      </c>
      <c r="BK7" s="482" t="s">
        <v>33</v>
      </c>
      <c r="BL7" s="483" t="s">
        <v>50</v>
      </c>
      <c r="BM7" s="484" t="s">
        <v>11</v>
      </c>
      <c r="BN7" s="435" t="s">
        <v>51</v>
      </c>
      <c r="BO7" s="485" t="s">
        <v>52</v>
      </c>
      <c r="BP7" s="486"/>
      <c r="BQ7" s="487"/>
      <c r="BR7" s="5"/>
      <c r="BT7" s="481" t="s">
        <v>49</v>
      </c>
      <c r="BU7" s="482" t="s">
        <v>33</v>
      </c>
      <c r="BV7" s="483" t="s">
        <v>50</v>
      </c>
      <c r="BW7" s="484" t="s">
        <v>11</v>
      </c>
      <c r="BX7" s="435" t="s">
        <v>51</v>
      </c>
      <c r="BY7" s="485" t="s">
        <v>52</v>
      </c>
      <c r="BZ7" s="486"/>
      <c r="CD7" s="758" t="s">
        <v>49</v>
      </c>
      <c r="CE7" s="482" t="s">
        <v>33</v>
      </c>
      <c r="CF7" s="483" t="s">
        <v>50</v>
      </c>
      <c r="CG7" s="484" t="s">
        <v>11</v>
      </c>
      <c r="CH7" s="435" t="s">
        <v>141</v>
      </c>
      <c r="CI7" s="485" t="s">
        <v>52</v>
      </c>
      <c r="CJ7" s="486"/>
      <c r="CK7" s="487"/>
      <c r="CN7" s="481" t="s">
        <v>49</v>
      </c>
      <c r="CO7" s="482" t="s">
        <v>33</v>
      </c>
      <c r="CP7" s="483" t="s">
        <v>50</v>
      </c>
      <c r="CQ7" s="484" t="s">
        <v>11</v>
      </c>
      <c r="CR7" s="435" t="s">
        <v>51</v>
      </c>
      <c r="CS7" s="485" t="s">
        <v>52</v>
      </c>
      <c r="CT7" s="486"/>
      <c r="CU7" s="487"/>
      <c r="CX7" s="481" t="s">
        <v>49</v>
      </c>
      <c r="CY7" s="482" t="s">
        <v>33</v>
      </c>
      <c r="CZ7" s="483" t="s">
        <v>50</v>
      </c>
      <c r="DA7" s="484" t="s">
        <v>11</v>
      </c>
      <c r="DB7" s="435" t="s">
        <v>51</v>
      </c>
      <c r="DC7" s="485" t="s">
        <v>52</v>
      </c>
      <c r="DD7" s="486"/>
      <c r="DE7" s="487"/>
      <c r="DH7" s="481" t="s">
        <v>49</v>
      </c>
      <c r="DI7" s="482" t="s">
        <v>33</v>
      </c>
      <c r="DJ7" s="483" t="s">
        <v>50</v>
      </c>
      <c r="DK7" s="484" t="s">
        <v>11</v>
      </c>
      <c r="DL7" s="435" t="s">
        <v>51</v>
      </c>
      <c r="DM7" s="485" t="s">
        <v>52</v>
      </c>
      <c r="DN7" s="486"/>
      <c r="DO7" s="487"/>
      <c r="DR7" s="481" t="s">
        <v>49</v>
      </c>
      <c r="DS7" s="482" t="s">
        <v>33</v>
      </c>
      <c r="DT7" s="483" t="s">
        <v>50</v>
      </c>
      <c r="DU7" s="484" t="s">
        <v>11</v>
      </c>
      <c r="DV7" s="435" t="s">
        <v>51</v>
      </c>
      <c r="DW7" s="485" t="s">
        <v>52</v>
      </c>
      <c r="DX7" s="486"/>
      <c r="EB7" s="481" t="s">
        <v>49</v>
      </c>
      <c r="EC7" s="482" t="s">
        <v>33</v>
      </c>
      <c r="ED7" s="483" t="s">
        <v>50</v>
      </c>
      <c r="EE7" s="484" t="s">
        <v>11</v>
      </c>
      <c r="EF7" s="435" t="s">
        <v>51</v>
      </c>
      <c r="EG7" s="485" t="s">
        <v>52</v>
      </c>
      <c r="EH7" s="486"/>
      <c r="EI7" s="487"/>
      <c r="EL7" s="481" t="s">
        <v>49</v>
      </c>
      <c r="EM7" s="482" t="s">
        <v>33</v>
      </c>
      <c r="EN7" s="483" t="s">
        <v>50</v>
      </c>
      <c r="EO7" s="484" t="s">
        <v>11</v>
      </c>
      <c r="EP7" s="435" t="s">
        <v>51</v>
      </c>
      <c r="EQ7" s="485" t="s">
        <v>52</v>
      </c>
      <c r="ER7" s="486"/>
      <c r="ES7" s="487"/>
      <c r="EV7" s="481" t="s">
        <v>49</v>
      </c>
      <c r="EW7" s="482" t="s">
        <v>33</v>
      </c>
      <c r="EX7" s="483" t="s">
        <v>50</v>
      </c>
      <c r="EY7" s="484" t="s">
        <v>11</v>
      </c>
      <c r="EZ7" s="435" t="s">
        <v>51</v>
      </c>
      <c r="FA7" s="485" t="s">
        <v>52</v>
      </c>
      <c r="FB7" s="486"/>
      <c r="FC7" s="487"/>
      <c r="FF7" s="481" t="s">
        <v>49</v>
      </c>
      <c r="FG7" s="482" t="s">
        <v>33</v>
      </c>
      <c r="FH7" s="483" t="s">
        <v>50</v>
      </c>
      <c r="FI7" s="484" t="s">
        <v>11</v>
      </c>
      <c r="FJ7" s="435" t="s">
        <v>51</v>
      </c>
      <c r="FK7" s="485" t="s">
        <v>52</v>
      </c>
      <c r="FL7" s="486"/>
      <c r="FM7" s="487"/>
      <c r="FP7" s="481" t="s">
        <v>49</v>
      </c>
      <c r="FQ7" s="482" t="s">
        <v>33</v>
      </c>
      <c r="FR7" s="483" t="s">
        <v>50</v>
      </c>
      <c r="FS7" s="484" t="s">
        <v>11</v>
      </c>
      <c r="FT7" s="435" t="s">
        <v>51</v>
      </c>
      <c r="FU7" s="485" t="s">
        <v>52</v>
      </c>
      <c r="FV7" s="486"/>
      <c r="FW7" s="487"/>
      <c r="FZ7" s="481" t="s">
        <v>49</v>
      </c>
      <c r="GA7" s="482" t="s">
        <v>33</v>
      </c>
      <c r="GB7" s="483" t="s">
        <v>50</v>
      </c>
      <c r="GC7" s="484" t="s">
        <v>11</v>
      </c>
      <c r="GD7" s="435" t="s">
        <v>51</v>
      </c>
      <c r="GE7" s="485" t="s">
        <v>52</v>
      </c>
      <c r="GF7" s="486"/>
      <c r="GG7" s="487"/>
      <c r="GJ7" s="481" t="s">
        <v>49</v>
      </c>
      <c r="GK7" s="482" t="s">
        <v>33</v>
      </c>
      <c r="GL7" s="483" t="s">
        <v>50</v>
      </c>
      <c r="GM7" s="484" t="s">
        <v>11</v>
      </c>
      <c r="GN7" s="435" t="s">
        <v>51</v>
      </c>
      <c r="GO7" s="485" t="s">
        <v>52</v>
      </c>
      <c r="GP7" s="486"/>
      <c r="GQ7" s="487"/>
      <c r="GT7" s="481" t="s">
        <v>49</v>
      </c>
      <c r="GU7" s="482" t="s">
        <v>33</v>
      </c>
      <c r="GV7" s="483" t="s">
        <v>50</v>
      </c>
      <c r="GW7" s="484" t="s">
        <v>11</v>
      </c>
      <c r="GX7" s="435" t="s">
        <v>51</v>
      </c>
      <c r="GY7" s="485" t="s">
        <v>52</v>
      </c>
      <c r="GZ7" s="486"/>
      <c r="HA7" s="487"/>
    </row>
    <row r="8" spans="1:209" ht="22.5" customHeight="1" thickTop="1" x14ac:dyDescent="0.25">
      <c r="A8" s="417">
        <v>5</v>
      </c>
      <c r="B8" s="567" t="str">
        <f>AY5</f>
        <v xml:space="preserve">SAM FARMS </v>
      </c>
      <c r="C8" s="567" t="str">
        <f t="shared" ref="C8:I8" si="4">AZ5</f>
        <v xml:space="preserve">I B P </v>
      </c>
      <c r="D8" s="571" t="str">
        <f t="shared" si="4"/>
        <v>PED. 108662369</v>
      </c>
      <c r="E8" s="568">
        <f t="shared" si="4"/>
        <v>45311</v>
      </c>
      <c r="F8" s="572">
        <f t="shared" si="4"/>
        <v>18523.68</v>
      </c>
      <c r="G8" s="570">
        <f t="shared" si="4"/>
        <v>20</v>
      </c>
      <c r="H8" s="573">
        <f t="shared" si="4"/>
        <v>18577.16</v>
      </c>
      <c r="I8" s="569">
        <f t="shared" si="4"/>
        <v>-53.479999999999563</v>
      </c>
      <c r="K8" s="258"/>
      <c r="L8" s="488"/>
      <c r="M8" s="489">
        <v>1</v>
      </c>
      <c r="N8" s="490">
        <v>929.41</v>
      </c>
      <c r="O8" s="491"/>
      <c r="P8" s="492"/>
      <c r="Q8" s="493"/>
      <c r="R8" s="494"/>
      <c r="S8" s="495">
        <f>R8*P8</f>
        <v>0</v>
      </c>
      <c r="U8" s="258"/>
      <c r="V8" s="496"/>
      <c r="W8" s="489">
        <v>1</v>
      </c>
      <c r="X8" s="497">
        <v>930.8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917.16</v>
      </c>
      <c r="AI8" s="502"/>
      <c r="AJ8" s="501"/>
      <c r="AK8" s="399"/>
      <c r="AL8" s="391"/>
      <c r="AM8" s="391">
        <f>AL8*AJ8</f>
        <v>0</v>
      </c>
      <c r="AO8" s="258"/>
      <c r="AP8" s="488"/>
      <c r="AQ8" s="489">
        <v>1</v>
      </c>
      <c r="AR8" s="490">
        <v>927.1</v>
      </c>
      <c r="AS8" s="502"/>
      <c r="AT8" s="490"/>
      <c r="AU8" s="399"/>
      <c r="AV8" s="391"/>
      <c r="AW8" s="391">
        <f>AV8*AT8</f>
        <v>0</v>
      </c>
      <c r="AY8" s="258"/>
      <c r="AZ8" s="503"/>
      <c r="BA8" s="735">
        <v>1</v>
      </c>
      <c r="BB8" s="490">
        <v>937.12</v>
      </c>
      <c r="BC8" s="502"/>
      <c r="BD8" s="490"/>
      <c r="BE8" s="399"/>
      <c r="BF8" s="391"/>
      <c r="BG8" s="5">
        <f>BF8*BD8</f>
        <v>0</v>
      </c>
      <c r="BI8" s="258"/>
      <c r="BJ8" s="488"/>
      <c r="BK8" s="489">
        <v>1</v>
      </c>
      <c r="BL8" s="490">
        <v>894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971.59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907.2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/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283" t="str">
        <f>BI5</f>
        <v>SEABOARD FOODS</v>
      </c>
      <c r="C9" s="283" t="str">
        <f t="shared" ref="C9:H9" si="7">BJ5</f>
        <v>Seaboard</v>
      </c>
      <c r="D9" s="431" t="str">
        <f t="shared" si="7"/>
        <v>PED. 108735871</v>
      </c>
      <c r="E9" s="432">
        <f t="shared" si="7"/>
        <v>45314</v>
      </c>
      <c r="F9" s="215">
        <f t="shared" si="7"/>
        <v>19011.88</v>
      </c>
      <c r="G9" s="6">
        <f t="shared" si="7"/>
        <v>21</v>
      </c>
      <c r="H9" s="233">
        <f t="shared" si="7"/>
        <v>19064.2</v>
      </c>
      <c r="I9" s="433">
        <f>BP5</f>
        <v>-52.319999999999709</v>
      </c>
      <c r="L9" s="515"/>
      <c r="M9" s="489">
        <v>2</v>
      </c>
      <c r="N9" s="490">
        <v>968.41</v>
      </c>
      <c r="O9" s="491"/>
      <c r="P9" s="492"/>
      <c r="Q9" s="493"/>
      <c r="R9" s="494"/>
      <c r="S9" s="520">
        <f t="shared" ref="S9:S29" si="8">R9*P9</f>
        <v>0</v>
      </c>
      <c r="V9" s="496"/>
      <c r="W9" s="489">
        <v>2</v>
      </c>
      <c r="X9" s="497">
        <v>871.8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962.52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0">
        <v>879.1</v>
      </c>
      <c r="AS9" s="502"/>
      <c r="AT9" s="490"/>
      <c r="AU9" s="399"/>
      <c r="AV9" s="391"/>
      <c r="AW9" s="391">
        <f t="shared" ref="AW9:AW28" si="11">AV9*AT9</f>
        <v>0</v>
      </c>
      <c r="AZ9" s="503"/>
      <c r="BA9" s="735">
        <v>2</v>
      </c>
      <c r="BB9" s="490">
        <v>961.61</v>
      </c>
      <c r="BC9" s="502"/>
      <c r="BD9" s="490"/>
      <c r="BE9" s="399"/>
      <c r="BF9" s="391"/>
      <c r="BG9" s="5">
        <f t="shared" ref="BG9:BG29" si="12">BF9*BD9</f>
        <v>0</v>
      </c>
      <c r="BJ9" s="515"/>
      <c r="BK9" s="489">
        <v>2</v>
      </c>
      <c r="BL9" s="490">
        <v>920.8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895.34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931.2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/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>PED. -108929373</v>
      </c>
      <c r="E10" s="432">
        <f t="shared" si="25"/>
        <v>45317</v>
      </c>
      <c r="F10" s="215">
        <f t="shared" si="25"/>
        <v>18620.18</v>
      </c>
      <c r="G10" s="6">
        <f t="shared" si="25"/>
        <v>20</v>
      </c>
      <c r="H10" s="233">
        <f t="shared" si="25"/>
        <v>18667.900000000001</v>
      </c>
      <c r="I10" s="433">
        <f t="shared" si="25"/>
        <v>-47.720000000001164</v>
      </c>
      <c r="L10" s="515"/>
      <c r="M10" s="489">
        <v>3</v>
      </c>
      <c r="N10" s="490">
        <v>977.49</v>
      </c>
      <c r="O10" s="502"/>
      <c r="P10" s="490"/>
      <c r="Q10" s="399"/>
      <c r="R10" s="391"/>
      <c r="S10" s="462">
        <f t="shared" si="8"/>
        <v>0</v>
      </c>
      <c r="V10" s="496"/>
      <c r="W10" s="489">
        <v>3</v>
      </c>
      <c r="X10" s="497">
        <v>938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905.37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0">
        <v>926.7</v>
      </c>
      <c r="AS10" s="502"/>
      <c r="AT10" s="490"/>
      <c r="AU10" s="399"/>
      <c r="AV10" s="391"/>
      <c r="AW10" s="391">
        <f t="shared" si="11"/>
        <v>0</v>
      </c>
      <c r="AZ10" s="503"/>
      <c r="BA10" s="735">
        <v>3</v>
      </c>
      <c r="BB10" s="490">
        <v>938.02</v>
      </c>
      <c r="BC10" s="502"/>
      <c r="BD10" s="490"/>
      <c r="BE10" s="399"/>
      <c r="BF10" s="391"/>
      <c r="BG10" s="5">
        <f t="shared" si="12"/>
        <v>0</v>
      </c>
      <c r="BJ10" s="515"/>
      <c r="BK10" s="489">
        <v>3</v>
      </c>
      <c r="BL10" s="490">
        <v>906.7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932.58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929.4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/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109071283</v>
      </c>
      <c r="E11" s="432">
        <f t="shared" si="27"/>
        <v>45321</v>
      </c>
      <c r="F11" s="215">
        <f t="shared" si="27"/>
        <v>19090.259999999998</v>
      </c>
      <c r="G11" s="6">
        <f t="shared" si="27"/>
        <v>21</v>
      </c>
      <c r="H11" s="233">
        <f t="shared" si="27"/>
        <v>19121.900000000001</v>
      </c>
      <c r="I11" s="433">
        <f t="shared" si="27"/>
        <v>-31.640000000003056</v>
      </c>
      <c r="K11" s="258"/>
      <c r="L11" s="488"/>
      <c r="M11" s="489">
        <v>4</v>
      </c>
      <c r="N11" s="490">
        <v>966.6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489">
        <v>4</v>
      </c>
      <c r="X11" s="497">
        <v>922.1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951.63</v>
      </c>
      <c r="AI11" s="502"/>
      <c r="AJ11" s="521"/>
      <c r="AK11" s="399"/>
      <c r="AL11" s="391"/>
      <c r="AM11" s="391">
        <f t="shared" si="10"/>
        <v>0</v>
      </c>
      <c r="AO11" s="258"/>
      <c r="AP11" s="488"/>
      <c r="AQ11" s="489">
        <v>4</v>
      </c>
      <c r="AR11" s="490">
        <v>905.8</v>
      </c>
      <c r="AS11" s="502"/>
      <c r="AT11" s="490"/>
      <c r="AU11" s="399"/>
      <c r="AV11" s="391"/>
      <c r="AW11" s="391">
        <f t="shared" si="11"/>
        <v>0</v>
      </c>
      <c r="AY11" s="258"/>
      <c r="AZ11" s="503"/>
      <c r="BA11" s="735">
        <v>4</v>
      </c>
      <c r="BB11" s="490">
        <v>902.64</v>
      </c>
      <c r="BC11" s="502"/>
      <c r="BD11" s="490"/>
      <c r="BE11" s="399"/>
      <c r="BF11" s="391"/>
      <c r="BG11" s="5">
        <f t="shared" si="12"/>
        <v>0</v>
      </c>
      <c r="BI11" s="258"/>
      <c r="BJ11" s="488"/>
      <c r="BK11" s="489">
        <v>4</v>
      </c>
      <c r="BL11" s="490">
        <v>868.2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948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924.9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/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25">
      <c r="A12" s="417">
        <v>9</v>
      </c>
      <c r="B12" s="283">
        <f t="shared" ref="B12:I12" si="28">CM5</f>
        <v>0</v>
      </c>
      <c r="C12" s="283">
        <f t="shared" si="28"/>
        <v>0</v>
      </c>
      <c r="D12" s="431">
        <f t="shared" si="28"/>
        <v>0</v>
      </c>
      <c r="E12" s="432">
        <f t="shared" si="28"/>
        <v>0</v>
      </c>
      <c r="F12" s="215">
        <f t="shared" si="28"/>
        <v>0</v>
      </c>
      <c r="G12" s="6">
        <f t="shared" si="28"/>
        <v>0</v>
      </c>
      <c r="H12" s="233">
        <f t="shared" si="28"/>
        <v>0</v>
      </c>
      <c r="I12" s="433">
        <f t="shared" si="28"/>
        <v>0</v>
      </c>
      <c r="L12" s="488"/>
      <c r="M12" s="489">
        <v>5</v>
      </c>
      <c r="N12" s="490">
        <v>933.94</v>
      </c>
      <c r="O12" s="491"/>
      <c r="P12" s="492"/>
      <c r="Q12" s="493"/>
      <c r="R12" s="494"/>
      <c r="S12" s="520">
        <f t="shared" si="8"/>
        <v>0</v>
      </c>
      <c r="V12" s="496"/>
      <c r="W12" s="489">
        <v>5</v>
      </c>
      <c r="X12" s="497">
        <v>908.1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911.72</v>
      </c>
      <c r="AI12" s="502"/>
      <c r="AJ12" s="521"/>
      <c r="AK12" s="399"/>
      <c r="AL12" s="391"/>
      <c r="AM12" s="391">
        <f t="shared" si="10"/>
        <v>0</v>
      </c>
      <c r="AP12" s="488"/>
      <c r="AQ12" s="489">
        <v>5</v>
      </c>
      <c r="AR12" s="490">
        <v>906.3</v>
      </c>
      <c r="AS12" s="502"/>
      <c r="AT12" s="490"/>
      <c r="AU12" s="399"/>
      <c r="AV12" s="391"/>
      <c r="AW12" s="391">
        <f t="shared" si="11"/>
        <v>0</v>
      </c>
      <c r="AZ12" s="503"/>
      <c r="BA12" s="735">
        <v>5</v>
      </c>
      <c r="BB12" s="490">
        <v>900.83</v>
      </c>
      <c r="BC12" s="502"/>
      <c r="BD12" s="490"/>
      <c r="BE12" s="399"/>
      <c r="BF12" s="391"/>
      <c r="BG12" s="5">
        <f t="shared" si="12"/>
        <v>0</v>
      </c>
      <c r="BJ12" s="488"/>
      <c r="BK12" s="489">
        <v>5</v>
      </c>
      <c r="BL12" s="490">
        <v>907.2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950.72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928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/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489">
        <v>6</v>
      </c>
      <c r="N13" s="490">
        <v>987.47</v>
      </c>
      <c r="O13" s="502"/>
      <c r="P13" s="490"/>
      <c r="Q13" s="399"/>
      <c r="R13" s="391"/>
      <c r="S13" s="462">
        <f t="shared" si="8"/>
        <v>0</v>
      </c>
      <c r="V13" s="496"/>
      <c r="W13" s="489">
        <v>6</v>
      </c>
      <c r="X13" s="497">
        <v>872.7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943.47</v>
      </c>
      <c r="AI13" s="502"/>
      <c r="AJ13" s="521"/>
      <c r="AK13" s="399"/>
      <c r="AL13" s="391"/>
      <c r="AM13" s="391">
        <f t="shared" si="10"/>
        <v>0</v>
      </c>
      <c r="AP13" s="488"/>
      <c r="AQ13" s="489">
        <v>6</v>
      </c>
      <c r="AR13" s="490">
        <v>867.3</v>
      </c>
      <c r="AS13" s="502"/>
      <c r="AT13" s="490"/>
      <c r="AU13" s="399"/>
      <c r="AV13" s="391"/>
      <c r="AW13" s="391">
        <f t="shared" si="11"/>
        <v>0</v>
      </c>
      <c r="AZ13" s="503"/>
      <c r="BA13" s="735">
        <v>6</v>
      </c>
      <c r="BB13" s="490">
        <v>923.5</v>
      </c>
      <c r="BC13" s="502"/>
      <c r="BD13" s="490"/>
      <c r="BE13" s="399"/>
      <c r="BF13" s="391"/>
      <c r="BG13" s="5">
        <f t="shared" si="12"/>
        <v>0</v>
      </c>
      <c r="BJ13" s="488"/>
      <c r="BK13" s="489">
        <v>6</v>
      </c>
      <c r="BL13" s="490">
        <v>894.9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938.02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902.6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/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489">
        <v>7</v>
      </c>
      <c r="N14" s="490">
        <v>969.32</v>
      </c>
      <c r="O14" s="491"/>
      <c r="P14" s="492"/>
      <c r="Q14" s="493"/>
      <c r="R14" s="494"/>
      <c r="S14" s="520">
        <f t="shared" si="8"/>
        <v>0</v>
      </c>
      <c r="V14" s="496"/>
      <c r="W14" s="489">
        <v>7</v>
      </c>
      <c r="X14" s="497">
        <v>908.5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904.46</v>
      </c>
      <c r="AI14" s="502"/>
      <c r="AJ14" s="521"/>
      <c r="AK14" s="399"/>
      <c r="AL14" s="391"/>
      <c r="AM14" s="391">
        <f t="shared" si="10"/>
        <v>0</v>
      </c>
      <c r="AP14" s="488"/>
      <c r="AQ14" s="489">
        <v>7</v>
      </c>
      <c r="AR14" s="490">
        <v>897.2</v>
      </c>
      <c r="AS14" s="502"/>
      <c r="AT14" s="490"/>
      <c r="AU14" s="399"/>
      <c r="AV14" s="391"/>
      <c r="AW14" s="391">
        <f t="shared" si="11"/>
        <v>0</v>
      </c>
      <c r="AZ14" s="503"/>
      <c r="BA14" s="735">
        <v>7</v>
      </c>
      <c r="BB14" s="490">
        <v>928</v>
      </c>
      <c r="BC14" s="502"/>
      <c r="BD14" s="490"/>
      <c r="BE14" s="399"/>
      <c r="BF14" s="391"/>
      <c r="BG14" s="5">
        <f t="shared" si="12"/>
        <v>0</v>
      </c>
      <c r="BJ14" s="488"/>
      <c r="BK14" s="489">
        <v>7</v>
      </c>
      <c r="BL14" s="490">
        <v>925.3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926.23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924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/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489">
        <v>8</v>
      </c>
      <c r="N15" s="490">
        <v>987.47</v>
      </c>
      <c r="O15" s="502"/>
      <c r="P15" s="490"/>
      <c r="Q15" s="399"/>
      <c r="R15" s="391"/>
      <c r="S15" s="462">
        <f t="shared" si="8"/>
        <v>0</v>
      </c>
      <c r="V15" s="496"/>
      <c r="W15" s="489">
        <v>8</v>
      </c>
      <c r="X15" s="497">
        <v>916.7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923.51</v>
      </c>
      <c r="AI15" s="502"/>
      <c r="AJ15" s="521"/>
      <c r="AK15" s="399"/>
      <c r="AL15" s="391"/>
      <c r="AM15" s="391">
        <f t="shared" si="10"/>
        <v>0</v>
      </c>
      <c r="AP15" s="488"/>
      <c r="AQ15" s="489">
        <v>8</v>
      </c>
      <c r="AR15" s="490">
        <v>921.2</v>
      </c>
      <c r="AS15" s="502"/>
      <c r="AT15" s="490"/>
      <c r="AU15" s="399"/>
      <c r="AV15" s="391"/>
      <c r="AW15" s="391">
        <f t="shared" si="11"/>
        <v>0</v>
      </c>
      <c r="AZ15" s="503"/>
      <c r="BA15" s="735">
        <v>8</v>
      </c>
      <c r="BB15" s="490">
        <v>938.93</v>
      </c>
      <c r="BC15" s="502"/>
      <c r="BD15" s="490"/>
      <c r="BE15" s="399"/>
      <c r="BF15" s="391"/>
      <c r="BG15" s="5">
        <f t="shared" si="12"/>
        <v>0</v>
      </c>
      <c r="BJ15" s="488"/>
      <c r="BK15" s="489">
        <v>8</v>
      </c>
      <c r="BL15" s="490">
        <v>915.3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923.51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929.4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/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489">
        <v>9</v>
      </c>
      <c r="N16" s="490">
        <v>984.74</v>
      </c>
      <c r="O16" s="502"/>
      <c r="P16" s="490"/>
      <c r="Q16" s="399"/>
      <c r="R16" s="391"/>
      <c r="S16" s="462">
        <f t="shared" si="8"/>
        <v>0</v>
      </c>
      <c r="V16" s="496"/>
      <c r="W16" s="489">
        <v>9</v>
      </c>
      <c r="X16" s="497">
        <v>899.9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900.83</v>
      </c>
      <c r="AI16" s="502"/>
      <c r="AJ16" s="521"/>
      <c r="AK16" s="399"/>
      <c r="AL16" s="391"/>
      <c r="AM16" s="391">
        <f t="shared" si="10"/>
        <v>0</v>
      </c>
      <c r="AP16" s="488"/>
      <c r="AQ16" s="489">
        <v>9</v>
      </c>
      <c r="AR16" s="490">
        <v>906.3</v>
      </c>
      <c r="AS16" s="502"/>
      <c r="AT16" s="490"/>
      <c r="AU16" s="399"/>
      <c r="AV16" s="391"/>
      <c r="AW16" s="391">
        <f t="shared" si="11"/>
        <v>0</v>
      </c>
      <c r="AZ16" s="503"/>
      <c r="BA16" s="735">
        <v>9</v>
      </c>
      <c r="BB16" s="490">
        <v>934.4</v>
      </c>
      <c r="BC16" s="502"/>
      <c r="BD16" s="490"/>
      <c r="BE16" s="399"/>
      <c r="BF16" s="391"/>
      <c r="BG16" s="5">
        <f t="shared" si="12"/>
        <v>0</v>
      </c>
      <c r="BJ16" s="488"/>
      <c r="BK16" s="489">
        <v>9</v>
      </c>
      <c r="BL16" s="490">
        <v>882.7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914.44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934.8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/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489">
        <v>10</v>
      </c>
      <c r="N17" s="490">
        <v>979.3</v>
      </c>
      <c r="O17" s="491"/>
      <c r="P17" s="492"/>
      <c r="Q17" s="493"/>
      <c r="R17" s="494"/>
      <c r="S17" s="520">
        <f t="shared" si="8"/>
        <v>0</v>
      </c>
      <c r="V17" s="496"/>
      <c r="W17" s="489">
        <v>10</v>
      </c>
      <c r="X17" s="497">
        <v>889.5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894.48</v>
      </c>
      <c r="AI17" s="502"/>
      <c r="AJ17" s="521"/>
      <c r="AK17" s="399"/>
      <c r="AL17" s="391"/>
      <c r="AM17" s="391">
        <f t="shared" si="10"/>
        <v>0</v>
      </c>
      <c r="AP17" s="488"/>
      <c r="AQ17" s="489">
        <v>10</v>
      </c>
      <c r="AR17" s="249">
        <v>921.7</v>
      </c>
      <c r="AS17" s="502"/>
      <c r="AT17" s="249"/>
      <c r="AU17" s="399"/>
      <c r="AV17" s="391"/>
      <c r="AW17" s="391">
        <f t="shared" si="11"/>
        <v>0</v>
      </c>
      <c r="AZ17" s="503"/>
      <c r="BA17" s="735">
        <v>10</v>
      </c>
      <c r="BB17" s="490">
        <v>917.16</v>
      </c>
      <c r="BC17" s="502"/>
      <c r="BD17" s="490"/>
      <c r="BE17" s="399"/>
      <c r="BF17" s="391"/>
      <c r="BG17" s="5">
        <f t="shared" si="12"/>
        <v>0</v>
      </c>
      <c r="BJ17" s="488"/>
      <c r="BK17" s="489">
        <v>10</v>
      </c>
      <c r="BL17" s="490">
        <v>926.7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927.14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869.5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/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489">
        <v>11</v>
      </c>
      <c r="N18" s="490">
        <v>976.58</v>
      </c>
      <c r="O18" s="491"/>
      <c r="P18" s="492"/>
      <c r="Q18" s="493"/>
      <c r="R18" s="494"/>
      <c r="S18" s="520">
        <f t="shared" si="8"/>
        <v>0</v>
      </c>
      <c r="V18" s="488"/>
      <c r="W18" s="489">
        <v>11</v>
      </c>
      <c r="X18" s="497">
        <v>885.4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921.69</v>
      </c>
      <c r="AI18" s="502"/>
      <c r="AJ18" s="521"/>
      <c r="AK18" s="399"/>
      <c r="AL18" s="391"/>
      <c r="AM18" s="391">
        <f t="shared" si="10"/>
        <v>0</v>
      </c>
      <c r="AP18" s="488"/>
      <c r="AQ18" s="489">
        <v>11</v>
      </c>
      <c r="AR18" s="490">
        <v>868.6</v>
      </c>
      <c r="AS18" s="502"/>
      <c r="AT18" s="490"/>
      <c r="AU18" s="399"/>
      <c r="AV18" s="391"/>
      <c r="AW18" s="391">
        <f t="shared" si="11"/>
        <v>0</v>
      </c>
      <c r="AZ18" s="503"/>
      <c r="BA18" s="735">
        <v>11</v>
      </c>
      <c r="BB18" s="490">
        <v>909.9</v>
      </c>
      <c r="BC18" s="502"/>
      <c r="BD18" s="490"/>
      <c r="BE18" s="399"/>
      <c r="BF18" s="391"/>
      <c r="BG18" s="5">
        <f t="shared" si="12"/>
        <v>0</v>
      </c>
      <c r="BJ18" s="488"/>
      <c r="BK18" s="489">
        <v>11</v>
      </c>
      <c r="BL18" s="490">
        <v>933.9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893.57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925.8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/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489">
        <v>12</v>
      </c>
      <c r="N19" s="490">
        <v>969.32</v>
      </c>
      <c r="O19" s="502"/>
      <c r="P19" s="490"/>
      <c r="Q19" s="399"/>
      <c r="R19" s="391"/>
      <c r="S19" s="462">
        <f t="shared" si="8"/>
        <v>0</v>
      </c>
      <c r="V19" s="488"/>
      <c r="W19" s="489">
        <v>12</v>
      </c>
      <c r="X19" s="497">
        <v>862.7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933.49</v>
      </c>
      <c r="AI19" s="502"/>
      <c r="AJ19" s="521"/>
      <c r="AK19" s="399"/>
      <c r="AL19" s="391"/>
      <c r="AM19" s="391">
        <f t="shared" si="10"/>
        <v>0</v>
      </c>
      <c r="AP19" s="488"/>
      <c r="AQ19" s="489">
        <v>12</v>
      </c>
      <c r="AR19" s="490">
        <v>930.3</v>
      </c>
      <c r="AS19" s="502"/>
      <c r="AT19" s="490"/>
      <c r="AU19" s="399"/>
      <c r="AV19" s="391"/>
      <c r="AW19" s="391">
        <f t="shared" si="11"/>
        <v>0</v>
      </c>
      <c r="AZ19" s="525"/>
      <c r="BA19" s="735">
        <v>12</v>
      </c>
      <c r="BB19" s="490">
        <v>950.72</v>
      </c>
      <c r="BC19" s="502"/>
      <c r="BD19" s="490"/>
      <c r="BE19" s="399"/>
      <c r="BF19" s="391"/>
      <c r="BG19" s="5">
        <f t="shared" si="12"/>
        <v>0</v>
      </c>
      <c r="BJ19" s="488"/>
      <c r="BK19" s="489">
        <v>12</v>
      </c>
      <c r="BL19" s="490">
        <v>880.4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924.42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899.9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/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489">
        <v>13</v>
      </c>
      <c r="N20" s="490">
        <v>974.77</v>
      </c>
      <c r="O20" s="502"/>
      <c r="P20" s="490"/>
      <c r="Q20" s="399"/>
      <c r="R20" s="391"/>
      <c r="S20" s="462">
        <f t="shared" si="8"/>
        <v>0</v>
      </c>
      <c r="V20" s="488"/>
      <c r="W20" s="489">
        <v>13</v>
      </c>
      <c r="X20" s="497">
        <v>865.4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953.45</v>
      </c>
      <c r="AI20" s="502"/>
      <c r="AJ20" s="521"/>
      <c r="AK20" s="399"/>
      <c r="AL20" s="391"/>
      <c r="AM20" s="391">
        <f t="shared" si="10"/>
        <v>0</v>
      </c>
      <c r="AP20" s="488"/>
      <c r="AQ20" s="489">
        <v>13</v>
      </c>
      <c r="AR20" s="490">
        <v>916.3</v>
      </c>
      <c r="AS20" s="502"/>
      <c r="AT20" s="490"/>
      <c r="AU20" s="399"/>
      <c r="AV20" s="391"/>
      <c r="AW20" s="391">
        <f t="shared" si="11"/>
        <v>0</v>
      </c>
      <c r="AZ20" s="525"/>
      <c r="BA20" s="735">
        <v>13</v>
      </c>
      <c r="BB20" s="490">
        <v>942.56</v>
      </c>
      <c r="BC20" s="502"/>
      <c r="BD20" s="490"/>
      <c r="BE20" s="399"/>
      <c r="BF20" s="391"/>
      <c r="BG20" s="5">
        <f t="shared" si="12"/>
        <v>0</v>
      </c>
      <c r="BJ20" s="488"/>
      <c r="BK20" s="489">
        <v>13</v>
      </c>
      <c r="BL20" s="490">
        <v>934.4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951.63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890.4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/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489">
        <v>14</v>
      </c>
      <c r="N21" s="490">
        <v>907.18</v>
      </c>
      <c r="O21" s="491"/>
      <c r="P21" s="492"/>
      <c r="Q21" s="493"/>
      <c r="R21" s="494"/>
      <c r="S21" s="520">
        <f t="shared" si="8"/>
        <v>0</v>
      </c>
      <c r="V21" s="488"/>
      <c r="W21" s="489">
        <v>14</v>
      </c>
      <c r="X21" s="497">
        <v>918.1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912.62</v>
      </c>
      <c r="AI21" s="502"/>
      <c r="AJ21" s="521"/>
      <c r="AK21" s="399"/>
      <c r="AL21" s="391"/>
      <c r="AM21" s="391">
        <f t="shared" si="10"/>
        <v>0</v>
      </c>
      <c r="AP21" s="488"/>
      <c r="AQ21" s="489">
        <v>14</v>
      </c>
      <c r="AR21" s="490">
        <v>902.2</v>
      </c>
      <c r="AS21" s="502"/>
      <c r="AT21" s="490"/>
      <c r="AU21" s="399"/>
      <c r="AV21" s="391"/>
      <c r="AW21" s="391">
        <f t="shared" si="11"/>
        <v>0</v>
      </c>
      <c r="AZ21" s="525"/>
      <c r="BA21" s="735">
        <v>14</v>
      </c>
      <c r="BB21" s="490">
        <v>931.67</v>
      </c>
      <c r="BC21" s="502"/>
      <c r="BD21" s="490"/>
      <c r="BE21" s="399"/>
      <c r="BF21" s="391"/>
      <c r="BG21" s="5">
        <f t="shared" si="12"/>
        <v>0</v>
      </c>
      <c r="BJ21" s="488"/>
      <c r="BK21" s="489">
        <v>14</v>
      </c>
      <c r="BL21" s="490">
        <v>921.7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911.72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910.4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/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489">
        <v>15</v>
      </c>
      <c r="N22" s="490">
        <v>963.88</v>
      </c>
      <c r="O22" s="502"/>
      <c r="P22" s="490"/>
      <c r="Q22" s="399"/>
      <c r="R22" s="391"/>
      <c r="S22" s="462">
        <f t="shared" si="8"/>
        <v>0</v>
      </c>
      <c r="V22" s="488"/>
      <c r="W22" s="489">
        <v>15</v>
      </c>
      <c r="X22" s="497">
        <v>874.5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924.42</v>
      </c>
      <c r="AI22" s="502"/>
      <c r="AJ22" s="521"/>
      <c r="AK22" s="399"/>
      <c r="AL22" s="391"/>
      <c r="AM22" s="391">
        <f t="shared" si="10"/>
        <v>0</v>
      </c>
      <c r="AP22" s="488"/>
      <c r="AQ22" s="489">
        <v>15</v>
      </c>
      <c r="AR22" s="490">
        <v>872.3</v>
      </c>
      <c r="AS22" s="502"/>
      <c r="AT22" s="490"/>
      <c r="AU22" s="399"/>
      <c r="AV22" s="391"/>
      <c r="AW22" s="391">
        <f t="shared" si="11"/>
        <v>0</v>
      </c>
      <c r="AZ22" s="525"/>
      <c r="BA22" s="735">
        <v>15</v>
      </c>
      <c r="BB22" s="490">
        <v>889.94</v>
      </c>
      <c r="BC22" s="502"/>
      <c r="BD22" s="490"/>
      <c r="BE22" s="399"/>
      <c r="BF22" s="391"/>
      <c r="BG22" s="5">
        <f t="shared" si="12"/>
        <v>0</v>
      </c>
      <c r="BJ22" s="488"/>
      <c r="BK22" s="489">
        <v>15</v>
      </c>
      <c r="BL22" s="490">
        <v>927.6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930.77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894.9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/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489">
        <v>16</v>
      </c>
      <c r="N23" s="490">
        <v>912.17</v>
      </c>
      <c r="O23" s="502"/>
      <c r="P23" s="490"/>
      <c r="Q23" s="399"/>
      <c r="R23" s="391"/>
      <c r="S23" s="462">
        <f t="shared" si="8"/>
        <v>0</v>
      </c>
      <c r="V23" s="488"/>
      <c r="W23" s="489">
        <v>16</v>
      </c>
      <c r="X23" s="497">
        <v>900.8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968.87</v>
      </c>
      <c r="AI23" s="502"/>
      <c r="AJ23" s="521"/>
      <c r="AK23" s="399"/>
      <c r="AL23" s="391"/>
      <c r="AM23" s="391">
        <f t="shared" si="10"/>
        <v>0</v>
      </c>
      <c r="AP23" s="488"/>
      <c r="AQ23" s="489">
        <v>16</v>
      </c>
      <c r="AR23" s="490">
        <v>907.6</v>
      </c>
      <c r="AS23" s="502"/>
      <c r="AT23" s="490"/>
      <c r="AU23" s="399"/>
      <c r="AV23" s="391"/>
      <c r="AW23" s="391">
        <f t="shared" si="11"/>
        <v>0</v>
      </c>
      <c r="AZ23" s="525"/>
      <c r="BA23" s="735">
        <v>16</v>
      </c>
      <c r="BB23" s="490">
        <v>912.62</v>
      </c>
      <c r="BC23" s="502"/>
      <c r="BD23" s="490"/>
      <c r="BE23" s="399"/>
      <c r="BF23" s="391"/>
      <c r="BG23" s="5">
        <f t="shared" si="12"/>
        <v>0</v>
      </c>
      <c r="BJ23" s="488"/>
      <c r="BK23" s="489">
        <v>16</v>
      </c>
      <c r="BL23" s="490">
        <v>886.3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932.58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921.2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/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489">
        <v>17</v>
      </c>
      <c r="N24" s="490">
        <v>913.08</v>
      </c>
      <c r="O24" s="502"/>
      <c r="P24" s="490"/>
      <c r="Q24" s="399"/>
      <c r="R24" s="391"/>
      <c r="S24" s="462">
        <f t="shared" si="8"/>
        <v>0</v>
      </c>
      <c r="V24" s="488"/>
      <c r="W24" s="489">
        <v>17</v>
      </c>
      <c r="X24" s="497">
        <v>878.6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938.02</v>
      </c>
      <c r="AI24" s="502"/>
      <c r="AJ24" s="521"/>
      <c r="AK24" s="399"/>
      <c r="AL24" s="391"/>
      <c r="AM24" s="391">
        <f t="shared" si="10"/>
        <v>0</v>
      </c>
      <c r="AP24" s="488"/>
      <c r="AQ24" s="489">
        <v>17</v>
      </c>
      <c r="AR24" s="490">
        <v>908.1</v>
      </c>
      <c r="AS24" s="502"/>
      <c r="AT24" s="490"/>
      <c r="AU24" s="399"/>
      <c r="AV24" s="391"/>
      <c r="AW24" s="391">
        <f t="shared" si="11"/>
        <v>0</v>
      </c>
      <c r="AZ24" s="525"/>
      <c r="BA24" s="735">
        <v>17</v>
      </c>
      <c r="BB24" s="490">
        <v>948</v>
      </c>
      <c r="BC24" s="502"/>
      <c r="BD24" s="490"/>
      <c r="BE24" s="399"/>
      <c r="BF24" s="391"/>
      <c r="BG24" s="5">
        <f t="shared" si="12"/>
        <v>0</v>
      </c>
      <c r="BJ24" s="488"/>
      <c r="BK24" s="489">
        <v>17</v>
      </c>
      <c r="BL24" s="490">
        <v>868.6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958.89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880.9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/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489">
        <v>18</v>
      </c>
      <c r="N25" s="490">
        <v>948.46</v>
      </c>
      <c r="O25" s="502"/>
      <c r="P25" s="490"/>
      <c r="Q25" s="399"/>
      <c r="R25" s="391"/>
      <c r="S25" s="462">
        <f t="shared" si="8"/>
        <v>0</v>
      </c>
      <c r="V25" s="511"/>
      <c r="W25" s="489">
        <v>18</v>
      </c>
      <c r="X25" s="497">
        <v>870.9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936.21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0">
        <v>888.1</v>
      </c>
      <c r="AS25" s="502"/>
      <c r="AT25" s="490"/>
      <c r="AU25" s="399"/>
      <c r="AV25" s="391"/>
      <c r="AW25" s="391">
        <f t="shared" si="11"/>
        <v>0</v>
      </c>
      <c r="AZ25" s="527"/>
      <c r="BA25" s="735">
        <v>18</v>
      </c>
      <c r="BB25" s="490">
        <v>916.25</v>
      </c>
      <c r="BC25" s="502"/>
      <c r="BD25" s="490"/>
      <c r="BE25" s="399"/>
      <c r="BF25" s="391"/>
      <c r="BG25" s="5">
        <f t="shared" si="12"/>
        <v>0</v>
      </c>
      <c r="BJ25" s="515"/>
      <c r="BK25" s="489">
        <v>18</v>
      </c>
      <c r="BL25" s="490">
        <v>940.7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948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894.9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/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489">
        <v>19</v>
      </c>
      <c r="N26" s="490">
        <v>936.66</v>
      </c>
      <c r="O26" s="491"/>
      <c r="P26" s="492"/>
      <c r="Q26" s="493"/>
      <c r="R26" s="494"/>
      <c r="S26" s="495">
        <f t="shared" si="8"/>
        <v>0</v>
      </c>
      <c r="V26" s="488"/>
      <c r="W26" s="489">
        <v>19</v>
      </c>
      <c r="X26" s="497">
        <v>880.9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899.92</v>
      </c>
      <c r="AI26" s="502"/>
      <c r="AJ26" s="521"/>
      <c r="AK26" s="399"/>
      <c r="AL26" s="391"/>
      <c r="AM26" s="391">
        <f t="shared" si="10"/>
        <v>0</v>
      </c>
      <c r="AP26" s="488"/>
      <c r="AQ26" s="489">
        <v>19</v>
      </c>
      <c r="AR26" s="490">
        <v>901.7</v>
      </c>
      <c r="AS26" s="502"/>
      <c r="AT26" s="490"/>
      <c r="AU26" s="399"/>
      <c r="AV26" s="391"/>
      <c r="AW26" s="391">
        <f t="shared" si="11"/>
        <v>0</v>
      </c>
      <c r="AZ26" s="525"/>
      <c r="BA26" s="735">
        <v>19</v>
      </c>
      <c r="BB26" s="490">
        <v>939.84</v>
      </c>
      <c r="BC26" s="502"/>
      <c r="BD26" s="490"/>
      <c r="BE26" s="399"/>
      <c r="BF26" s="391"/>
      <c r="BG26" s="5">
        <f t="shared" si="12"/>
        <v>0</v>
      </c>
      <c r="BJ26" s="488"/>
      <c r="BK26" s="489">
        <v>19</v>
      </c>
      <c r="BL26" s="490">
        <v>907.2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941.65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870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/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489">
        <v>20</v>
      </c>
      <c r="N27" s="490">
        <v>972.95</v>
      </c>
      <c r="O27" s="491"/>
      <c r="P27" s="492"/>
      <c r="Q27" s="493"/>
      <c r="R27" s="494"/>
      <c r="S27" s="495">
        <f t="shared" si="8"/>
        <v>0</v>
      </c>
      <c r="V27" s="488"/>
      <c r="W27" s="489">
        <v>20</v>
      </c>
      <c r="X27" s="497">
        <v>879.1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897.2</v>
      </c>
      <c r="AI27" s="502"/>
      <c r="AJ27" s="521"/>
      <c r="AK27" s="399"/>
      <c r="AL27" s="391"/>
      <c r="AM27" s="391">
        <f t="shared" si="10"/>
        <v>0</v>
      </c>
      <c r="AP27" s="488"/>
      <c r="AQ27" s="489">
        <v>20</v>
      </c>
      <c r="AR27" s="490">
        <v>875.9</v>
      </c>
      <c r="AS27" s="502"/>
      <c r="AT27" s="490"/>
      <c r="AU27" s="399"/>
      <c r="AV27" s="391"/>
      <c r="AW27" s="391">
        <f t="shared" si="11"/>
        <v>0</v>
      </c>
      <c r="AZ27" s="525"/>
      <c r="BA27" s="735">
        <v>20</v>
      </c>
      <c r="BB27" s="490">
        <v>953.45</v>
      </c>
      <c r="BC27" s="502"/>
      <c r="BD27" s="490"/>
      <c r="BE27" s="399"/>
      <c r="BF27" s="391"/>
      <c r="BG27" s="5">
        <f t="shared" si="12"/>
        <v>0</v>
      </c>
      <c r="BJ27" s="488"/>
      <c r="BK27" s="489">
        <v>20</v>
      </c>
      <c r="BL27" s="490">
        <v>939.8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921.7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/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489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489">
        <v>21</v>
      </c>
      <c r="X28" s="497">
        <v>898.6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488"/>
      <c r="AQ28" s="489">
        <v>21</v>
      </c>
      <c r="AR28" s="490">
        <v>920.8</v>
      </c>
      <c r="AS28" s="502"/>
      <c r="AT28" s="490"/>
      <c r="AU28" s="399"/>
      <c r="AV28" s="391"/>
      <c r="AW28" s="391">
        <f t="shared" si="11"/>
        <v>0</v>
      </c>
      <c r="AZ28" s="525"/>
      <c r="BA28" s="735">
        <v>21</v>
      </c>
      <c r="BB28" s="490"/>
      <c r="BC28" s="502"/>
      <c r="BD28" s="490"/>
      <c r="BE28" s="399"/>
      <c r="BF28" s="391"/>
      <c r="BG28" s="5">
        <f t="shared" si="12"/>
        <v>0</v>
      </c>
      <c r="BJ28" s="488"/>
      <c r="BK28" s="489">
        <v>21</v>
      </c>
      <c r="BL28" s="490">
        <v>881.8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930.8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489"/>
      <c r="N29" s="490"/>
      <c r="O29" s="502"/>
      <c r="P29" s="490"/>
      <c r="Q29" s="399"/>
      <c r="R29" s="391"/>
      <c r="S29" s="5">
        <f t="shared" si="8"/>
        <v>0</v>
      </c>
      <c r="V29" s="488"/>
      <c r="W29" s="489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/>
      <c r="AR29" s="490"/>
      <c r="AS29" s="502"/>
      <c r="AT29" s="490"/>
      <c r="AU29" s="399"/>
      <c r="AV29" s="391"/>
      <c r="AW29" s="391">
        <f>SUM(AW8:AW28)</f>
        <v>0</v>
      </c>
      <c r="AZ29" s="525"/>
      <c r="BA29" s="735"/>
      <c r="BB29" s="490"/>
      <c r="BC29" s="502"/>
      <c r="BD29" s="490"/>
      <c r="BE29" s="399"/>
      <c r="BF29" s="391"/>
      <c r="BG29" s="5">
        <f t="shared" si="12"/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489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/>
      <c r="AR30" s="249"/>
      <c r="AS30" s="502"/>
      <c r="AT30" s="249"/>
      <c r="AU30" s="399"/>
      <c r="AV30" s="391"/>
      <c r="AW30" s="391"/>
      <c r="AZ30" s="525"/>
      <c r="BA30" s="489"/>
      <c r="BB30" s="490"/>
      <c r="BC30" s="502"/>
      <c r="BD30" s="490"/>
      <c r="BE30" s="399"/>
      <c r="BF30" s="391"/>
      <c r="BG30" s="5">
        <f>SUM(BG8:BG29)</f>
        <v>0</v>
      </c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533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/>
      <c r="AR31" s="540"/>
      <c r="AS31" s="541"/>
      <c r="AT31" s="542"/>
      <c r="AU31" s="543"/>
      <c r="AV31" s="507"/>
      <c r="AW31" s="507"/>
      <c r="AZ31" s="532"/>
      <c r="BA31" s="533"/>
      <c r="BB31" s="534"/>
      <c r="BC31" s="535"/>
      <c r="BD31" s="534"/>
      <c r="BE31" s="536"/>
      <c r="BF31" s="537"/>
      <c r="BG31" s="48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19159.2</v>
      </c>
      <c r="P32" s="433">
        <f>SUM(P8:P31)</f>
        <v>0</v>
      </c>
      <c r="S32" s="5"/>
      <c r="X32" s="215">
        <f>SUM(X8:X31)</f>
        <v>18773.099999999995</v>
      </c>
      <c r="Z32" s="433">
        <f>SUM(Z8:Z31)</f>
        <v>0</v>
      </c>
      <c r="AH32" s="433">
        <f>SUM(AH8:AH31)</f>
        <v>18501.04</v>
      </c>
      <c r="AJ32" s="433">
        <f>SUM(AJ8:AJ31)</f>
        <v>0</v>
      </c>
      <c r="AR32" s="215">
        <f>SUM(AR8:AR31)</f>
        <v>18950.600000000002</v>
      </c>
      <c r="AT32" s="215">
        <f>SUM(AT8:AT31)</f>
        <v>0</v>
      </c>
      <c r="AW32" s="283"/>
      <c r="AZ32" s="283"/>
      <c r="BB32" s="215">
        <f>SUM(BB8:BB31)</f>
        <v>18577.160000000003</v>
      </c>
      <c r="BD32" s="433">
        <f>SUM(BD8:BD31)</f>
        <v>0</v>
      </c>
      <c r="BL32" s="215">
        <f>SUM(BL8:BL31)</f>
        <v>19064.199999999997</v>
      </c>
      <c r="BN32" s="433">
        <f>SUM(BN8:BN31)</f>
        <v>0</v>
      </c>
      <c r="BV32" s="433">
        <f>SUM(BV8:BV31)</f>
        <v>18667.899999999998</v>
      </c>
      <c r="BX32" s="433">
        <f>SUM(BX8:BX31)</f>
        <v>0</v>
      </c>
      <c r="CF32" s="433">
        <f>SUM(CF8:CF31)</f>
        <v>19121.899999999998</v>
      </c>
      <c r="CH32" s="433">
        <f>SUM(CH8:CH31)</f>
        <v>0</v>
      </c>
      <c r="CP32" s="433">
        <f>SUM(CP8:CP31)</f>
        <v>0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19159.2</v>
      </c>
      <c r="S33" s="5"/>
      <c r="X33" s="560" t="s">
        <v>55</v>
      </c>
      <c r="Y33" s="561"/>
      <c r="Z33" s="562">
        <f>AA5-Z32</f>
        <v>18773.099999999999</v>
      </c>
      <c r="AH33" s="560" t="s">
        <v>55</v>
      </c>
      <c r="AI33" s="561"/>
      <c r="AJ33" s="562">
        <f>AK5-AJ32</f>
        <v>18501.04</v>
      </c>
      <c r="AR33" s="560" t="s">
        <v>55</v>
      </c>
      <c r="AS33" s="561"/>
      <c r="AT33" s="562">
        <f>AU5-AT32</f>
        <v>18950.599999999999</v>
      </c>
      <c r="AW33" s="283"/>
      <c r="AZ33" s="283"/>
      <c r="BB33" s="560" t="s">
        <v>55</v>
      </c>
      <c r="BC33" s="561"/>
      <c r="BD33" s="562">
        <f>BE5-BD32</f>
        <v>18577.16</v>
      </c>
      <c r="BL33" s="560" t="s">
        <v>55</v>
      </c>
      <c r="BM33" s="561"/>
      <c r="BN33" s="562">
        <f>BO5-BN32</f>
        <v>19064.2</v>
      </c>
      <c r="BV33" s="560" t="s">
        <v>55</v>
      </c>
      <c r="BW33" s="561"/>
      <c r="BX33" s="562">
        <f>BV32-BX32</f>
        <v>18667.899999999998</v>
      </c>
      <c r="CF33" s="560" t="s">
        <v>55</v>
      </c>
      <c r="CG33" s="561"/>
      <c r="CH33" s="562">
        <f>CI5-CH32</f>
        <v>19121.900000000001</v>
      </c>
      <c r="CP33" s="560" t="s">
        <v>55</v>
      </c>
      <c r="CQ33" s="561"/>
      <c r="CR33" s="562">
        <f>CP32-CR32</f>
        <v>0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W34" s="283"/>
      <c r="AZ34" s="283"/>
      <c r="BB34" s="552" t="s">
        <v>9</v>
      </c>
      <c r="BC34" s="14"/>
      <c r="BD34" s="564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A148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B21" sqref="B21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9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4" bestFit="1" customWidth="1"/>
    <col min="17" max="17" width="17.85546875" style="917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009" t="s">
        <v>153</v>
      </c>
      <c r="C1" s="1009"/>
      <c r="D1" s="1009"/>
      <c r="E1" s="1009"/>
      <c r="F1" s="1009"/>
      <c r="G1" s="1009"/>
      <c r="H1" s="1009"/>
      <c r="I1" s="1009"/>
      <c r="J1" s="1009"/>
      <c r="K1" s="1009"/>
      <c r="L1" s="1009"/>
      <c r="M1" s="1"/>
      <c r="N1" s="2"/>
      <c r="O1" s="1"/>
      <c r="P1" s="823"/>
      <c r="Q1" s="905"/>
      <c r="U1" s="1010" t="s">
        <v>0</v>
      </c>
      <c r="V1" s="1010"/>
      <c r="W1" s="7" t="s">
        <v>1</v>
      </c>
      <c r="X1" s="8" t="s">
        <v>2</v>
      </c>
      <c r="Y1" s="983" t="s">
        <v>3</v>
      </c>
      <c r="Z1" s="984"/>
    </row>
    <row r="2" spans="1:26" ht="24" thickBot="1" x14ac:dyDescent="0.4">
      <c r="B2" s="1009"/>
      <c r="C2" s="1009"/>
      <c r="D2" s="1009"/>
      <c r="E2" s="1009"/>
      <c r="F2" s="1009"/>
      <c r="G2" s="1009"/>
      <c r="H2" s="1009"/>
      <c r="I2" s="1009"/>
      <c r="J2" s="1009"/>
      <c r="K2" s="1009"/>
      <c r="L2" s="1009"/>
      <c r="M2" s="9"/>
      <c r="N2" s="10"/>
      <c r="O2" s="9"/>
      <c r="P2" s="823"/>
      <c r="Q2" s="906"/>
      <c r="S2" s="13"/>
      <c r="T2" s="14"/>
      <c r="U2" s="1011"/>
      <c r="V2" s="1011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804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835" t="s">
        <v>16</v>
      </c>
      <c r="Q3" s="985" t="s">
        <v>17</v>
      </c>
      <c r="R3" s="986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7.5" x14ac:dyDescent="0.35">
      <c r="B4" s="691" t="s">
        <v>158</v>
      </c>
      <c r="C4" s="704" t="s">
        <v>83</v>
      </c>
      <c r="D4" s="999">
        <v>11649</v>
      </c>
      <c r="E4" s="705"/>
      <c r="F4" s="596"/>
      <c r="G4" s="652"/>
      <c r="H4" s="821">
        <v>22030</v>
      </c>
      <c r="I4" s="822">
        <v>45324</v>
      </c>
      <c r="J4" s="947" t="s">
        <v>217</v>
      </c>
      <c r="K4" s="821">
        <v>22235</v>
      </c>
      <c r="L4" s="21">
        <f>K4-H4</f>
        <v>205</v>
      </c>
      <c r="M4" s="22">
        <v>30</v>
      </c>
      <c r="N4" s="23"/>
      <c r="O4" s="24" t="s">
        <v>22</v>
      </c>
      <c r="P4" s="824">
        <f>M4*K4</f>
        <v>667050</v>
      </c>
      <c r="Q4" s="907" t="s">
        <v>81</v>
      </c>
      <c r="R4" s="597">
        <v>45341</v>
      </c>
      <c r="S4" s="86">
        <v>31400</v>
      </c>
      <c r="T4" s="123">
        <v>45328</v>
      </c>
      <c r="U4" s="600">
        <v>30240</v>
      </c>
      <c r="V4" s="184" t="s">
        <v>179</v>
      </c>
      <c r="W4" s="601"/>
      <c r="X4" s="602"/>
      <c r="Y4" s="924" t="s">
        <v>197</v>
      </c>
      <c r="Z4" s="925">
        <v>4176</v>
      </c>
    </row>
    <row r="5" spans="1:26" ht="39" thickBot="1" x14ac:dyDescent="0.4">
      <c r="B5" s="693" t="s">
        <v>157</v>
      </c>
      <c r="C5" s="701" t="s">
        <v>78</v>
      </c>
      <c r="D5" s="1000"/>
      <c r="E5" s="799"/>
      <c r="F5" s="693"/>
      <c r="G5" s="693"/>
      <c r="H5" s="800">
        <v>0</v>
      </c>
      <c r="I5" s="805">
        <v>45324</v>
      </c>
      <c r="J5" s="948" t="s">
        <v>218</v>
      </c>
      <c r="K5" s="800">
        <v>5690</v>
      </c>
      <c r="L5" s="21">
        <f t="shared" ref="L5:L10" si="0">K5-H5</f>
        <v>5690</v>
      </c>
      <c r="M5" s="22">
        <v>30</v>
      </c>
      <c r="N5" s="23"/>
      <c r="O5" s="24"/>
      <c r="P5" s="824">
        <f t="shared" ref="P5:P68" si="1">M5*K5</f>
        <v>170700</v>
      </c>
      <c r="Q5" s="967" t="s">
        <v>97</v>
      </c>
      <c r="R5" s="26">
        <v>45341</v>
      </c>
      <c r="S5" s="776">
        <v>0</v>
      </c>
      <c r="T5" s="777">
        <v>45328</v>
      </c>
      <c r="U5" s="778">
        <v>0</v>
      </c>
      <c r="V5" s="27" t="s">
        <v>179</v>
      </c>
      <c r="W5" s="28"/>
      <c r="X5" s="29"/>
      <c r="Y5" s="926" t="s">
        <v>197</v>
      </c>
      <c r="Z5" s="927">
        <v>0</v>
      </c>
    </row>
    <row r="6" spans="1:26" ht="25.5" customHeight="1" x14ac:dyDescent="0.35">
      <c r="B6" s="693" t="s">
        <v>155</v>
      </c>
      <c r="C6" s="693" t="s">
        <v>68</v>
      </c>
      <c r="D6" s="837" t="s">
        <v>161</v>
      </c>
      <c r="E6" s="693"/>
      <c r="F6" s="693"/>
      <c r="G6" s="693"/>
      <c r="H6" s="800">
        <v>22480</v>
      </c>
      <c r="I6" s="805">
        <v>45327</v>
      </c>
      <c r="J6" s="695" t="s">
        <v>216</v>
      </c>
      <c r="K6" s="800">
        <v>22480</v>
      </c>
      <c r="L6" s="21">
        <f t="shared" si="0"/>
        <v>0</v>
      </c>
      <c r="M6" s="22">
        <v>40.9</v>
      </c>
      <c r="N6" s="23"/>
      <c r="O6" s="24"/>
      <c r="P6" s="946">
        <f t="shared" si="1"/>
        <v>919432</v>
      </c>
      <c r="Q6" s="967" t="s">
        <v>97</v>
      </c>
      <c r="R6" s="26">
        <v>45344</v>
      </c>
      <c r="S6" s="776"/>
      <c r="T6" s="777"/>
      <c r="U6" s="778"/>
      <c r="V6" s="27"/>
      <c r="W6" s="28"/>
      <c r="X6" s="29"/>
      <c r="Y6" s="30"/>
      <c r="Z6" s="130"/>
    </row>
    <row r="7" spans="1:26" ht="25.5" customHeight="1" x14ac:dyDescent="0.35">
      <c r="B7" s="693" t="s">
        <v>155</v>
      </c>
      <c r="C7" s="693" t="s">
        <v>162</v>
      </c>
      <c r="D7" s="838">
        <v>11680</v>
      </c>
      <c r="E7" s="693"/>
      <c r="F7" s="693"/>
      <c r="G7" s="693"/>
      <c r="H7" s="800">
        <v>22490</v>
      </c>
      <c r="I7" s="805">
        <v>45329</v>
      </c>
      <c r="J7" s="695">
        <v>45506</v>
      </c>
      <c r="K7" s="800">
        <v>22490</v>
      </c>
      <c r="L7" s="21">
        <f t="shared" si="0"/>
        <v>0</v>
      </c>
      <c r="M7" s="22">
        <v>40.9</v>
      </c>
      <c r="N7" s="23"/>
      <c r="O7" s="24"/>
      <c r="P7" s="824">
        <f t="shared" si="1"/>
        <v>919841</v>
      </c>
      <c r="Q7" s="967" t="s">
        <v>81</v>
      </c>
      <c r="R7" s="26">
        <v>45349</v>
      </c>
      <c r="S7" s="776"/>
      <c r="T7" s="777"/>
      <c r="U7" s="778"/>
      <c r="V7" s="27"/>
      <c r="W7" s="28"/>
      <c r="X7" s="29"/>
      <c r="Y7" s="30"/>
      <c r="Z7" s="130"/>
    </row>
    <row r="8" spans="1:26" s="642" customFormat="1" ht="36" customHeight="1" x14ac:dyDescent="0.35">
      <c r="B8" s="693" t="s">
        <v>171</v>
      </c>
      <c r="C8" s="693" t="s">
        <v>80</v>
      </c>
      <c r="D8" s="838">
        <v>11692</v>
      </c>
      <c r="E8" s="693"/>
      <c r="F8" s="693"/>
      <c r="G8" s="693"/>
      <c r="H8" s="800">
        <v>23300</v>
      </c>
      <c r="I8" s="805">
        <v>45331</v>
      </c>
      <c r="J8" s="948" t="s">
        <v>223</v>
      </c>
      <c r="K8" s="800">
        <v>30195</v>
      </c>
      <c r="L8" s="21">
        <f t="shared" si="0"/>
        <v>6895</v>
      </c>
      <c r="M8" s="35">
        <v>29.5</v>
      </c>
      <c r="N8" s="974"/>
      <c r="O8" s="975"/>
      <c r="P8" s="824">
        <f t="shared" si="1"/>
        <v>890752.5</v>
      </c>
      <c r="Q8" s="968" t="s">
        <v>81</v>
      </c>
      <c r="R8" s="26">
        <v>45345</v>
      </c>
      <c r="S8" s="640">
        <v>31400</v>
      </c>
      <c r="T8" s="39">
        <v>45334</v>
      </c>
      <c r="U8" s="27"/>
      <c r="V8" s="40"/>
      <c r="W8" s="41"/>
      <c r="X8" s="641"/>
      <c r="Y8" s="43" t="s">
        <v>197</v>
      </c>
      <c r="Z8" s="583">
        <v>4176</v>
      </c>
    </row>
    <row r="9" spans="1:26" ht="37.5" x14ac:dyDescent="0.3">
      <c r="B9" s="693" t="s">
        <v>155</v>
      </c>
      <c r="C9" s="693" t="s">
        <v>173</v>
      </c>
      <c r="D9" s="838">
        <v>11695</v>
      </c>
      <c r="E9" s="693"/>
      <c r="F9" s="693"/>
      <c r="G9" s="693"/>
      <c r="H9" s="800">
        <v>19890</v>
      </c>
      <c r="I9" s="805">
        <v>45335</v>
      </c>
      <c r="J9" s="948" t="s">
        <v>237</v>
      </c>
      <c r="K9" s="800">
        <v>19890</v>
      </c>
      <c r="L9" s="21">
        <f t="shared" si="0"/>
        <v>0</v>
      </c>
      <c r="M9" s="35">
        <v>40.5</v>
      </c>
      <c r="N9" s="1078" t="s">
        <v>235</v>
      </c>
      <c r="O9" s="1078"/>
      <c r="P9" s="824">
        <f t="shared" si="1"/>
        <v>805545</v>
      </c>
      <c r="Q9" s="968" t="s">
        <v>238</v>
      </c>
      <c r="R9" s="26">
        <v>45351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">
      <c r="B10" s="693" t="s">
        <v>155</v>
      </c>
      <c r="C10" s="693" t="s">
        <v>176</v>
      </c>
      <c r="D10" s="838">
        <v>11700</v>
      </c>
      <c r="E10" s="693"/>
      <c r="F10" s="693"/>
      <c r="G10" s="693"/>
      <c r="H10" s="800">
        <v>19270</v>
      </c>
      <c r="I10" s="805">
        <v>45336</v>
      </c>
      <c r="J10" s="948" t="s">
        <v>232</v>
      </c>
      <c r="K10" s="800">
        <v>19270</v>
      </c>
      <c r="L10" s="21">
        <f t="shared" si="0"/>
        <v>0</v>
      </c>
      <c r="M10" s="35">
        <v>40.5</v>
      </c>
      <c r="N10" s="1078" t="s">
        <v>235</v>
      </c>
      <c r="O10" s="1078"/>
      <c r="P10" s="824">
        <f t="shared" si="1"/>
        <v>780435</v>
      </c>
      <c r="Q10" s="969" t="s">
        <v>97</v>
      </c>
      <c r="R10" s="51">
        <v>45350</v>
      </c>
      <c r="S10" s="38"/>
      <c r="T10" s="39"/>
      <c r="U10" s="27"/>
      <c r="V10" s="40"/>
      <c r="W10" s="41"/>
      <c r="X10" s="42"/>
      <c r="Y10" s="52"/>
      <c r="Z10" s="584"/>
    </row>
    <row r="11" spans="1:26" ht="56.25" customHeight="1" x14ac:dyDescent="0.3">
      <c r="B11" s="693" t="s">
        <v>196</v>
      </c>
      <c r="C11" s="693" t="s">
        <v>136</v>
      </c>
      <c r="D11" s="838"/>
      <c r="E11" s="693"/>
      <c r="F11" s="693"/>
      <c r="G11" s="693"/>
      <c r="H11" s="800">
        <v>21990</v>
      </c>
      <c r="I11" s="805">
        <v>45338</v>
      </c>
      <c r="J11" s="948" t="s">
        <v>230</v>
      </c>
      <c r="K11" s="800">
        <v>23020</v>
      </c>
      <c r="L11" s="21">
        <f>K11-H11</f>
        <v>1030</v>
      </c>
      <c r="M11" s="35">
        <v>29</v>
      </c>
      <c r="N11" s="1078" t="s">
        <v>235</v>
      </c>
      <c r="O11" s="1078"/>
      <c r="P11" s="824">
        <f>M11*K11</f>
        <v>667580</v>
      </c>
      <c r="Q11" s="968" t="s">
        <v>97</v>
      </c>
      <c r="R11" s="51">
        <v>45350</v>
      </c>
      <c r="S11" s="38">
        <v>31867.5</v>
      </c>
      <c r="T11" s="39">
        <v>45338</v>
      </c>
      <c r="U11" s="27">
        <v>30240</v>
      </c>
      <c r="V11" s="40" t="s">
        <v>205</v>
      </c>
      <c r="W11" s="41"/>
      <c r="X11" s="42"/>
      <c r="Y11" s="43"/>
      <c r="Z11" s="583"/>
    </row>
    <row r="12" spans="1:26" ht="36.75" customHeight="1" x14ac:dyDescent="0.3">
      <c r="A12" t="s">
        <v>22</v>
      </c>
      <c r="B12" s="693" t="s">
        <v>157</v>
      </c>
      <c r="C12" s="693" t="s">
        <v>78</v>
      </c>
      <c r="D12" s="838"/>
      <c r="E12" s="693"/>
      <c r="F12" s="693"/>
      <c r="G12" s="693">
        <v>0</v>
      </c>
      <c r="H12" s="800">
        <v>0</v>
      </c>
      <c r="I12" s="805">
        <v>45338</v>
      </c>
      <c r="J12" s="948" t="s">
        <v>231</v>
      </c>
      <c r="K12" s="800">
        <v>5210</v>
      </c>
      <c r="L12" s="21">
        <f>K12-H12</f>
        <v>5210</v>
      </c>
      <c r="M12" s="35">
        <v>29</v>
      </c>
      <c r="N12" s="1078" t="s">
        <v>235</v>
      </c>
      <c r="O12" s="1078"/>
      <c r="P12" s="824">
        <f>M12*K12</f>
        <v>151090</v>
      </c>
      <c r="Q12" s="969" t="s">
        <v>97</v>
      </c>
      <c r="R12" s="51">
        <v>45350</v>
      </c>
      <c r="S12" s="38"/>
      <c r="T12" s="39"/>
      <c r="U12" s="27">
        <v>0</v>
      </c>
      <c r="V12" s="40" t="s">
        <v>205</v>
      </c>
      <c r="W12" s="41"/>
      <c r="X12" s="42"/>
      <c r="Y12" s="52"/>
      <c r="Z12" s="584"/>
    </row>
    <row r="13" spans="1:26" ht="34.5" customHeight="1" x14ac:dyDescent="0.3">
      <c r="B13" s="693" t="s">
        <v>155</v>
      </c>
      <c r="C13" s="693" t="s">
        <v>80</v>
      </c>
      <c r="D13" s="838">
        <v>11710</v>
      </c>
      <c r="E13" s="693"/>
      <c r="F13" s="693"/>
      <c r="G13" s="693"/>
      <c r="H13" s="800">
        <v>23700</v>
      </c>
      <c r="I13" s="805">
        <v>45342</v>
      </c>
      <c r="J13" s="948" t="s">
        <v>233</v>
      </c>
      <c r="K13" s="800">
        <v>23700</v>
      </c>
      <c r="L13" s="21">
        <f>K13-H13</f>
        <v>0</v>
      </c>
      <c r="M13" s="35">
        <v>40.5</v>
      </c>
      <c r="N13" s="1078" t="s">
        <v>235</v>
      </c>
      <c r="O13" s="1078"/>
      <c r="P13" s="824">
        <f>M13*K13</f>
        <v>959850</v>
      </c>
      <c r="Q13" s="968" t="s">
        <v>104</v>
      </c>
      <c r="R13" s="51">
        <v>45350</v>
      </c>
      <c r="S13" s="38"/>
      <c r="T13" s="39"/>
      <c r="U13" s="27"/>
      <c r="V13" s="40"/>
      <c r="W13" s="41"/>
      <c r="X13" s="42"/>
      <c r="Y13" s="43"/>
      <c r="Z13" s="583"/>
    </row>
    <row r="14" spans="1:26" ht="39.75" customHeight="1" thickBot="1" x14ac:dyDescent="0.35">
      <c r="B14" s="693" t="s">
        <v>155</v>
      </c>
      <c r="C14" s="693" t="s">
        <v>220</v>
      </c>
      <c r="D14" s="952">
        <v>11712</v>
      </c>
      <c r="E14" s="693"/>
      <c r="F14" s="693"/>
      <c r="G14" s="693"/>
      <c r="H14" s="800">
        <v>23190</v>
      </c>
      <c r="I14" s="805">
        <v>45343</v>
      </c>
      <c r="J14" s="948" t="s">
        <v>234</v>
      </c>
      <c r="K14" s="800">
        <v>23190</v>
      </c>
      <c r="L14" s="21">
        <f t="shared" ref="L14:L79" si="2">K14-H14</f>
        <v>0</v>
      </c>
      <c r="M14" s="35">
        <v>40.5</v>
      </c>
      <c r="N14" s="1078" t="s">
        <v>235</v>
      </c>
      <c r="O14" s="1078"/>
      <c r="P14" s="824">
        <f t="shared" si="1"/>
        <v>939195</v>
      </c>
      <c r="Q14" s="968" t="s">
        <v>97</v>
      </c>
      <c r="R14" s="51">
        <v>45350</v>
      </c>
      <c r="S14" s="386"/>
      <c r="T14" s="779"/>
      <c r="U14" s="27"/>
      <c r="V14" s="40"/>
      <c r="W14" s="41"/>
      <c r="X14" s="42"/>
      <c r="Y14" s="55"/>
      <c r="Z14" s="585"/>
    </row>
    <row r="15" spans="1:26" ht="51" customHeight="1" x14ac:dyDescent="0.3">
      <c r="B15" s="693" t="s">
        <v>221</v>
      </c>
      <c r="C15" s="701" t="s">
        <v>222</v>
      </c>
      <c r="D15" s="1076">
        <v>11716</v>
      </c>
      <c r="E15" s="799"/>
      <c r="F15" s="693"/>
      <c r="G15" s="693"/>
      <c r="H15" s="800">
        <v>23300</v>
      </c>
      <c r="I15" s="805">
        <v>45345</v>
      </c>
      <c r="J15" s="167" t="s">
        <v>236</v>
      </c>
      <c r="K15" s="800">
        <v>24450</v>
      </c>
      <c r="L15" s="21">
        <f t="shared" si="2"/>
        <v>1150</v>
      </c>
      <c r="M15" s="35">
        <v>29</v>
      </c>
      <c r="N15" s="1078" t="s">
        <v>235</v>
      </c>
      <c r="O15" s="1078"/>
      <c r="P15" s="824">
        <f t="shared" si="1"/>
        <v>709050</v>
      </c>
      <c r="Q15" s="968" t="s">
        <v>97</v>
      </c>
      <c r="R15" s="51">
        <v>45351</v>
      </c>
      <c r="S15" s="386">
        <v>31492.5</v>
      </c>
      <c r="T15" s="779">
        <v>45345</v>
      </c>
      <c r="U15" s="27"/>
      <c r="V15" s="40"/>
      <c r="W15" s="41"/>
      <c r="X15" s="42"/>
      <c r="Y15" s="52"/>
      <c r="Z15" s="584"/>
    </row>
    <row r="16" spans="1:26" ht="38.25" thickBot="1" x14ac:dyDescent="0.35">
      <c r="B16" s="693" t="s">
        <v>77</v>
      </c>
      <c r="C16" s="701" t="s">
        <v>78</v>
      </c>
      <c r="D16" s="1077"/>
      <c r="E16" s="799"/>
      <c r="F16" s="693"/>
      <c r="G16" s="693"/>
      <c r="H16" s="800">
        <v>0</v>
      </c>
      <c r="I16" s="805">
        <v>45345</v>
      </c>
      <c r="J16" s="948" t="s">
        <v>229</v>
      </c>
      <c r="K16" s="800">
        <v>5220</v>
      </c>
      <c r="L16" s="21">
        <f t="shared" si="2"/>
        <v>5220</v>
      </c>
      <c r="M16" s="35">
        <v>29</v>
      </c>
      <c r="N16" s="1078" t="s">
        <v>235</v>
      </c>
      <c r="O16" s="1078"/>
      <c r="P16" s="824">
        <f t="shared" si="1"/>
        <v>151380</v>
      </c>
      <c r="Q16" s="969" t="s">
        <v>97</v>
      </c>
      <c r="R16" s="26">
        <v>45350</v>
      </c>
      <c r="S16" s="38">
        <v>0</v>
      </c>
      <c r="T16" s="39">
        <v>45345</v>
      </c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155</v>
      </c>
      <c r="C17" s="693" t="s">
        <v>173</v>
      </c>
      <c r="D17" s="837">
        <v>11720</v>
      </c>
      <c r="E17" s="693"/>
      <c r="F17" s="693"/>
      <c r="G17" s="693"/>
      <c r="H17" s="800">
        <v>18680</v>
      </c>
      <c r="I17" s="805">
        <v>45348</v>
      </c>
      <c r="J17" s="695">
        <v>45777</v>
      </c>
      <c r="K17" s="800">
        <v>18680</v>
      </c>
      <c r="L17" s="21">
        <f t="shared" si="2"/>
        <v>0</v>
      </c>
      <c r="M17" s="35">
        <v>40.5</v>
      </c>
      <c r="N17" s="1078" t="s">
        <v>235</v>
      </c>
      <c r="O17" s="1078"/>
      <c r="P17" s="824">
        <f t="shared" si="1"/>
        <v>756540</v>
      </c>
      <c r="Q17" s="969" t="s">
        <v>97</v>
      </c>
      <c r="R17" s="26">
        <v>45351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">
      <c r="B18" s="693" t="s">
        <v>155</v>
      </c>
      <c r="C18" s="693" t="s">
        <v>176</v>
      </c>
      <c r="D18" s="838">
        <v>11722</v>
      </c>
      <c r="E18" s="693"/>
      <c r="F18" s="693"/>
      <c r="G18" s="693"/>
      <c r="H18" s="800">
        <v>19625.5</v>
      </c>
      <c r="I18" s="805">
        <v>45350</v>
      </c>
      <c r="J18" s="695">
        <v>45783</v>
      </c>
      <c r="K18" s="800">
        <v>19625.5</v>
      </c>
      <c r="L18" s="21">
        <f t="shared" si="2"/>
        <v>0</v>
      </c>
      <c r="M18" s="35">
        <v>40.5</v>
      </c>
      <c r="N18" s="1078" t="s">
        <v>235</v>
      </c>
      <c r="O18" s="1078"/>
      <c r="P18" s="824">
        <f t="shared" si="1"/>
        <v>794832.75</v>
      </c>
      <c r="Q18" s="969" t="s">
        <v>97</v>
      </c>
      <c r="R18" s="26">
        <v>45351</v>
      </c>
      <c r="S18" s="38"/>
      <c r="T18" s="5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695"/>
      <c r="E19" s="693"/>
      <c r="F19" s="693"/>
      <c r="G19" s="693"/>
      <c r="H19" s="800"/>
      <c r="I19" s="805"/>
      <c r="J19" s="695"/>
      <c r="K19" s="800"/>
      <c r="L19" s="21">
        <f t="shared" si="2"/>
        <v>0</v>
      </c>
      <c r="M19" s="35"/>
      <c r="N19" s="976"/>
      <c r="O19" s="976"/>
      <c r="P19" s="824">
        <f t="shared" si="1"/>
        <v>0</v>
      </c>
      <c r="Q19" s="969"/>
      <c r="R19" s="26"/>
      <c r="S19" s="38"/>
      <c r="T19" s="39"/>
      <c r="U19" s="27"/>
      <c r="V19" s="40"/>
      <c r="W19" s="41"/>
      <c r="X19" s="42"/>
      <c r="Y19" s="52"/>
      <c r="Z19" s="584"/>
    </row>
    <row r="20" spans="2:26" ht="27.75" customHeight="1" x14ac:dyDescent="0.35">
      <c r="B20" s="693"/>
      <c r="C20" s="693"/>
      <c r="D20" s="695"/>
      <c r="E20" s="693"/>
      <c r="F20" s="693"/>
      <c r="G20" s="693"/>
      <c r="H20" s="800"/>
      <c r="I20" s="805"/>
      <c r="J20" s="695"/>
      <c r="K20" s="800"/>
      <c r="L20" s="21">
        <f t="shared" si="2"/>
        <v>0</v>
      </c>
      <c r="M20" s="35"/>
      <c r="N20" s="974"/>
      <c r="O20" s="975"/>
      <c r="P20" s="824">
        <f t="shared" si="1"/>
        <v>0</v>
      </c>
      <c r="Q20" s="969"/>
      <c r="R20" s="26"/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/>
      <c r="C21" s="693"/>
      <c r="D21" s="695"/>
      <c r="E21" s="693"/>
      <c r="F21" s="693"/>
      <c r="G21" s="693"/>
      <c r="H21" s="800"/>
      <c r="I21" s="805"/>
      <c r="J21" s="695"/>
      <c r="K21" s="800"/>
      <c r="L21" s="21">
        <f t="shared" si="2"/>
        <v>0</v>
      </c>
      <c r="M21" s="35"/>
      <c r="N21" s="974"/>
      <c r="O21" s="975"/>
      <c r="P21" s="824">
        <f t="shared" si="1"/>
        <v>0</v>
      </c>
      <c r="Q21" s="969"/>
      <c r="R21" s="26"/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95"/>
      <c r="E22" s="693"/>
      <c r="F22" s="693"/>
      <c r="G22" s="693"/>
      <c r="H22" s="800"/>
      <c r="I22" s="805"/>
      <c r="J22" s="695"/>
      <c r="K22" s="800"/>
      <c r="L22" s="21">
        <f t="shared" si="2"/>
        <v>0</v>
      </c>
      <c r="M22" s="35"/>
      <c r="N22" s="60"/>
      <c r="O22" s="61"/>
      <c r="P22" s="824">
        <f t="shared" si="1"/>
        <v>0</v>
      </c>
      <c r="Q22" s="969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806"/>
      <c r="J23" s="712"/>
      <c r="K23" s="657"/>
      <c r="L23" s="21">
        <f t="shared" si="2"/>
        <v>0</v>
      </c>
      <c r="M23" s="35"/>
      <c r="N23" s="60"/>
      <c r="O23" s="61"/>
      <c r="P23" s="824">
        <f t="shared" si="1"/>
        <v>0</v>
      </c>
      <c r="Q23" s="969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806"/>
      <c r="J24" s="712"/>
      <c r="K24" s="657"/>
      <c r="L24" s="21">
        <f t="shared" si="2"/>
        <v>0</v>
      </c>
      <c r="M24" s="35"/>
      <c r="N24" s="60"/>
      <c r="O24" s="61"/>
      <c r="P24" s="824">
        <f t="shared" si="1"/>
        <v>0</v>
      </c>
      <c r="Q24" s="970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806"/>
      <c r="J25" s="712"/>
      <c r="K25" s="657"/>
      <c r="L25" s="21">
        <f t="shared" si="2"/>
        <v>0</v>
      </c>
      <c r="M25" s="35"/>
      <c r="N25" s="60"/>
      <c r="O25" s="61"/>
      <c r="P25" s="824">
        <f t="shared" si="1"/>
        <v>0</v>
      </c>
      <c r="Q25" s="970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806"/>
      <c r="J26" s="712"/>
      <c r="K26" s="657"/>
      <c r="L26" s="21">
        <f t="shared" si="2"/>
        <v>0</v>
      </c>
      <c r="M26" s="35"/>
      <c r="N26" s="60"/>
      <c r="O26" s="61"/>
      <c r="P26" s="824">
        <f t="shared" si="1"/>
        <v>0</v>
      </c>
      <c r="Q26" s="969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806"/>
      <c r="J27" s="712"/>
      <c r="K27" s="657"/>
      <c r="L27" s="21">
        <f t="shared" si="2"/>
        <v>0</v>
      </c>
      <c r="M27" s="35"/>
      <c r="N27" s="60"/>
      <c r="O27" s="61"/>
      <c r="P27" s="824" t="s">
        <v>22</v>
      </c>
      <c r="Q27" s="971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806"/>
      <c r="J28" s="712"/>
      <c r="K28" s="657"/>
      <c r="L28" s="21">
        <f t="shared" si="2"/>
        <v>0</v>
      </c>
      <c r="M28" s="35"/>
      <c r="N28" s="60"/>
      <c r="O28" s="61"/>
      <c r="P28" s="824">
        <f t="shared" si="1"/>
        <v>0</v>
      </c>
      <c r="Q28" s="969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806"/>
      <c r="J29" s="712"/>
      <c r="K29" s="657"/>
      <c r="L29" s="21">
        <f t="shared" si="2"/>
        <v>0</v>
      </c>
      <c r="M29" s="35"/>
      <c r="N29" s="60"/>
      <c r="O29" s="61"/>
      <c r="P29" s="824">
        <f t="shared" si="1"/>
        <v>0</v>
      </c>
      <c r="Q29" s="967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806"/>
      <c r="J30" s="712"/>
      <c r="K30" s="657"/>
      <c r="L30" s="21">
        <f t="shared" si="2"/>
        <v>0</v>
      </c>
      <c r="M30" s="70"/>
      <c r="N30" s="60"/>
      <c r="O30" s="61"/>
      <c r="P30" s="824">
        <f t="shared" si="1"/>
        <v>0</v>
      </c>
      <c r="Q30" s="972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3">E31*H31</f>
        <v>0</v>
      </c>
      <c r="G31" s="20"/>
      <c r="H31" s="658"/>
      <c r="I31" s="807"/>
      <c r="J31" s="65"/>
      <c r="K31" s="667"/>
      <c r="L31" s="21">
        <f t="shared" si="2"/>
        <v>0</v>
      </c>
      <c r="M31" s="70"/>
      <c r="N31" s="60"/>
      <c r="O31" s="61"/>
      <c r="P31" s="824">
        <f t="shared" si="1"/>
        <v>0</v>
      </c>
      <c r="Q31" s="967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3"/>
        <v>0</v>
      </c>
      <c r="G32" s="33"/>
      <c r="H32" s="659"/>
      <c r="I32" s="808"/>
      <c r="J32" s="49"/>
      <c r="K32" s="668"/>
      <c r="L32" s="21">
        <f t="shared" si="2"/>
        <v>0</v>
      </c>
      <c r="M32" s="70"/>
      <c r="N32" s="60"/>
      <c r="O32" s="61"/>
      <c r="P32" s="824">
        <f t="shared" si="1"/>
        <v>0</v>
      </c>
      <c r="Q32" s="973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3"/>
        <v>0</v>
      </c>
      <c r="G33" s="33"/>
      <c r="H33" s="660"/>
      <c r="I33" s="809"/>
      <c r="J33" s="76"/>
      <c r="K33" s="664"/>
      <c r="L33" s="21">
        <f t="shared" si="2"/>
        <v>0</v>
      </c>
      <c r="M33" s="70"/>
      <c r="N33" s="60"/>
      <c r="O33" s="61"/>
      <c r="P33" s="824">
        <f t="shared" si="1"/>
        <v>0</v>
      </c>
      <c r="Q33" s="967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3"/>
        <v>0</v>
      </c>
      <c r="G34" s="33"/>
      <c r="H34" s="660"/>
      <c r="I34" s="809"/>
      <c r="J34" s="76"/>
      <c r="K34" s="664"/>
      <c r="L34" s="21">
        <f t="shared" si="2"/>
        <v>0</v>
      </c>
      <c r="M34" s="70"/>
      <c r="N34" s="60"/>
      <c r="O34" s="61"/>
      <c r="P34" s="824">
        <f t="shared" si="1"/>
        <v>0</v>
      </c>
      <c r="Q34" s="967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3"/>
        <v>0</v>
      </c>
      <c r="G35" s="33"/>
      <c r="H35" s="660"/>
      <c r="I35" s="809"/>
      <c r="J35" s="76"/>
      <c r="K35" s="664"/>
      <c r="L35" s="21">
        <f t="shared" si="2"/>
        <v>0</v>
      </c>
      <c r="M35" s="70"/>
      <c r="N35" s="60"/>
      <c r="O35" s="61"/>
      <c r="P35" s="824">
        <f t="shared" si="1"/>
        <v>0</v>
      </c>
      <c r="Q35" s="967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9"/>
      <c r="J36" s="76"/>
      <c r="K36" s="664"/>
      <c r="L36" s="21">
        <f t="shared" si="2"/>
        <v>0</v>
      </c>
      <c r="M36" s="70"/>
      <c r="N36" s="60"/>
      <c r="O36" s="61"/>
      <c r="P36" s="824">
        <f t="shared" si="1"/>
        <v>0</v>
      </c>
      <c r="Q36" s="967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9"/>
      <c r="J37" s="76"/>
      <c r="K37" s="664"/>
      <c r="L37" s="21">
        <f t="shared" si="2"/>
        <v>0</v>
      </c>
      <c r="M37" s="70"/>
      <c r="N37" s="60"/>
      <c r="O37" s="61"/>
      <c r="P37" s="824">
        <f t="shared" si="1"/>
        <v>0</v>
      </c>
      <c r="Q37" s="967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3"/>
        <v>0</v>
      </c>
      <c r="G38" s="33"/>
      <c r="H38" s="660"/>
      <c r="I38" s="809"/>
      <c r="J38" s="76"/>
      <c r="K38" s="664"/>
      <c r="L38" s="21">
        <f t="shared" si="2"/>
        <v>0</v>
      </c>
      <c r="M38" s="70"/>
      <c r="N38" s="60"/>
      <c r="O38" s="61"/>
      <c r="P38" s="824">
        <f t="shared" si="1"/>
        <v>0</v>
      </c>
      <c r="Q38" s="967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3"/>
        <v>0</v>
      </c>
      <c r="G39" s="33"/>
      <c r="H39" s="660"/>
      <c r="I39" s="809"/>
      <c r="J39" s="76"/>
      <c r="K39" s="664"/>
      <c r="L39" s="21">
        <f t="shared" si="2"/>
        <v>0</v>
      </c>
      <c r="M39" s="70"/>
      <c r="N39" s="60"/>
      <c r="O39" s="61"/>
      <c r="P39" s="824">
        <f t="shared" si="1"/>
        <v>0</v>
      </c>
      <c r="Q39" s="967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3"/>
        <v>0</v>
      </c>
      <c r="G40" s="33"/>
      <c r="H40" s="660"/>
      <c r="I40" s="809"/>
      <c r="J40" s="76"/>
      <c r="K40" s="664"/>
      <c r="L40" s="21">
        <f t="shared" si="2"/>
        <v>0</v>
      </c>
      <c r="M40" s="70"/>
      <c r="N40" s="60"/>
      <c r="O40" s="61"/>
      <c r="P40" s="824">
        <f t="shared" si="1"/>
        <v>0</v>
      </c>
      <c r="Q40" s="967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9"/>
      <c r="J41" s="76"/>
      <c r="K41" s="664"/>
      <c r="L41" s="21">
        <f t="shared" si="2"/>
        <v>0</v>
      </c>
      <c r="M41" s="70"/>
      <c r="N41" s="60"/>
      <c r="O41" s="61"/>
      <c r="P41" s="824">
        <f t="shared" si="1"/>
        <v>0</v>
      </c>
      <c r="Q41" s="964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3"/>
        <v>0</v>
      </c>
      <c r="G42" s="33"/>
      <c r="H42" s="660"/>
      <c r="I42" s="809"/>
      <c r="J42" s="76"/>
      <c r="K42" s="664"/>
      <c r="L42" s="21">
        <f t="shared" si="2"/>
        <v>0</v>
      </c>
      <c r="M42" s="70"/>
      <c r="N42" s="60"/>
      <c r="O42" s="61"/>
      <c r="P42" s="824">
        <f t="shared" si="1"/>
        <v>0</v>
      </c>
      <c r="Q42" s="964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3"/>
        <v>0</v>
      </c>
      <c r="G43" s="33"/>
      <c r="H43" s="660"/>
      <c r="I43" s="809"/>
      <c r="J43" s="76"/>
      <c r="K43" s="664"/>
      <c r="L43" s="21">
        <f t="shared" si="2"/>
        <v>0</v>
      </c>
      <c r="M43" s="70"/>
      <c r="N43" s="60"/>
      <c r="O43" s="61"/>
      <c r="P43" s="824">
        <f t="shared" si="1"/>
        <v>0</v>
      </c>
      <c r="Q43" s="965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3"/>
        <v>0</v>
      </c>
      <c r="G44" s="33"/>
      <c r="H44" s="660"/>
      <c r="I44" s="809"/>
      <c r="J44" s="76"/>
      <c r="K44" s="664"/>
      <c r="L44" s="21">
        <f t="shared" si="2"/>
        <v>0</v>
      </c>
      <c r="M44" s="70"/>
      <c r="N44" s="60"/>
      <c r="O44" s="61"/>
      <c r="P44" s="824">
        <f t="shared" si="1"/>
        <v>0</v>
      </c>
      <c r="Q44" s="964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9"/>
      <c r="J45" s="76"/>
      <c r="K45" s="664"/>
      <c r="L45" s="21">
        <f t="shared" si="2"/>
        <v>0</v>
      </c>
      <c r="M45" s="70"/>
      <c r="N45" s="60"/>
      <c r="O45" s="61"/>
      <c r="P45" s="824">
        <f t="shared" si="1"/>
        <v>0</v>
      </c>
      <c r="Q45" s="964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3"/>
        <v>0</v>
      </c>
      <c r="G46" s="33"/>
      <c r="H46" s="660"/>
      <c r="I46" s="809"/>
      <c r="J46" s="76"/>
      <c r="K46" s="664"/>
      <c r="L46" s="21">
        <f t="shared" si="2"/>
        <v>0</v>
      </c>
      <c r="M46" s="70"/>
      <c r="N46" s="60"/>
      <c r="O46" s="61"/>
      <c r="P46" s="824">
        <f t="shared" si="1"/>
        <v>0</v>
      </c>
      <c r="Q46" s="964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3"/>
        <v>0</v>
      </c>
      <c r="G47" s="33"/>
      <c r="H47" s="660"/>
      <c r="I47" s="809"/>
      <c r="J47" s="76"/>
      <c r="K47" s="664"/>
      <c r="L47" s="21">
        <f t="shared" si="2"/>
        <v>0</v>
      </c>
      <c r="M47" s="70"/>
      <c r="N47" s="60"/>
      <c r="O47" s="61"/>
      <c r="P47" s="824">
        <f t="shared" si="1"/>
        <v>0</v>
      </c>
      <c r="Q47" s="964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9"/>
      <c r="J48" s="76"/>
      <c r="K48" s="664"/>
      <c r="L48" s="21">
        <f t="shared" si="2"/>
        <v>0</v>
      </c>
      <c r="M48" s="70"/>
      <c r="N48" s="60"/>
      <c r="O48" s="61"/>
      <c r="P48" s="824">
        <f t="shared" si="1"/>
        <v>0</v>
      </c>
      <c r="Q48" s="964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3"/>
        <v>0</v>
      </c>
      <c r="G49" s="33"/>
      <c r="H49" s="660"/>
      <c r="I49" s="809"/>
      <c r="J49" s="76"/>
      <c r="K49" s="664"/>
      <c r="L49" s="21">
        <f t="shared" si="2"/>
        <v>0</v>
      </c>
      <c r="M49" s="70"/>
      <c r="N49" s="60"/>
      <c r="O49" s="61"/>
      <c r="P49" s="824">
        <f t="shared" si="1"/>
        <v>0</v>
      </c>
      <c r="Q49" s="964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3"/>
        <v>0</v>
      </c>
      <c r="G50" s="33"/>
      <c r="H50" s="660"/>
      <c r="I50" s="809"/>
      <c r="J50" s="76"/>
      <c r="K50" s="664"/>
      <c r="L50" s="21">
        <f t="shared" si="2"/>
        <v>0</v>
      </c>
      <c r="M50" s="70"/>
      <c r="N50" s="60"/>
      <c r="O50" s="61"/>
      <c r="P50" s="824">
        <f t="shared" si="1"/>
        <v>0</v>
      </c>
      <c r="Q50" s="964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9"/>
      <c r="J51" s="76"/>
      <c r="K51" s="664"/>
      <c r="L51" s="21">
        <f t="shared" si="2"/>
        <v>0</v>
      </c>
      <c r="M51" s="70"/>
      <c r="N51" s="60"/>
      <c r="O51" s="61"/>
      <c r="P51" s="824">
        <f t="shared" si="1"/>
        <v>0</v>
      </c>
      <c r="Q51" s="966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9"/>
      <c r="J52" s="76"/>
      <c r="K52" s="664"/>
      <c r="L52" s="21">
        <f t="shared" si="2"/>
        <v>0</v>
      </c>
      <c r="M52" s="70"/>
      <c r="N52" s="60"/>
      <c r="O52" s="61"/>
      <c r="P52" s="824">
        <f t="shared" si="1"/>
        <v>0</v>
      </c>
      <c r="Q52" s="909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3"/>
        <v>0</v>
      </c>
      <c r="G53" s="33"/>
      <c r="H53" s="660"/>
      <c r="I53" s="809"/>
      <c r="J53" s="76"/>
      <c r="K53" s="664"/>
      <c r="L53" s="21">
        <f t="shared" si="2"/>
        <v>0</v>
      </c>
      <c r="M53" s="70"/>
      <c r="N53" s="60"/>
      <c r="O53" s="61"/>
      <c r="P53" s="824">
        <f t="shared" si="1"/>
        <v>0</v>
      </c>
      <c r="Q53" s="908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3"/>
        <v>0</v>
      </c>
      <c r="G54" s="33"/>
      <c r="H54" s="660"/>
      <c r="I54" s="809"/>
      <c r="J54" s="76"/>
      <c r="K54" s="664"/>
      <c r="L54" s="21">
        <f t="shared" si="2"/>
        <v>0</v>
      </c>
      <c r="M54" s="70"/>
      <c r="N54" s="60"/>
      <c r="O54" s="61"/>
      <c r="P54" s="824">
        <f t="shared" si="1"/>
        <v>0</v>
      </c>
      <c r="Q54" s="908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3"/>
        <v>0</v>
      </c>
      <c r="G55" s="33"/>
      <c r="H55" s="660"/>
      <c r="I55" s="809"/>
      <c r="J55" s="76"/>
      <c r="K55" s="664"/>
      <c r="L55" s="21">
        <f t="shared" si="2"/>
        <v>0</v>
      </c>
      <c r="M55" s="70"/>
      <c r="N55" s="60"/>
      <c r="O55" s="61"/>
      <c r="P55" s="824">
        <f t="shared" si="1"/>
        <v>0</v>
      </c>
      <c r="Q55" s="908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3"/>
        <v>0</v>
      </c>
      <c r="G56" s="33"/>
      <c r="H56" s="660"/>
      <c r="I56" s="809"/>
      <c r="J56" s="76"/>
      <c r="K56" s="664"/>
      <c r="L56" s="21">
        <f t="shared" si="2"/>
        <v>0</v>
      </c>
      <c r="M56" s="70"/>
      <c r="N56" s="60"/>
      <c r="O56" s="61"/>
      <c r="P56" s="824">
        <f t="shared" si="1"/>
        <v>0</v>
      </c>
      <c r="Q56" s="908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3"/>
        <v>0</v>
      </c>
      <c r="G57" s="33"/>
      <c r="H57" s="660"/>
      <c r="I57" s="809"/>
      <c r="J57" s="76"/>
      <c r="K57" s="664"/>
      <c r="L57" s="21">
        <f t="shared" si="2"/>
        <v>0</v>
      </c>
      <c r="M57" s="70"/>
      <c r="N57" s="60"/>
      <c r="O57" s="61"/>
      <c r="P57" s="824">
        <f t="shared" si="1"/>
        <v>0</v>
      </c>
      <c r="Q57" s="908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3"/>
        <v>0</v>
      </c>
      <c r="G58" s="33"/>
      <c r="H58" s="660"/>
      <c r="I58" s="809"/>
      <c r="J58" s="76"/>
      <c r="K58" s="664"/>
      <c r="L58" s="21">
        <f t="shared" si="2"/>
        <v>0</v>
      </c>
      <c r="M58" s="70"/>
      <c r="N58" s="60"/>
      <c r="O58" s="61"/>
      <c r="P58" s="824">
        <f t="shared" si="1"/>
        <v>0</v>
      </c>
      <c r="Q58" s="908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9"/>
      <c r="J59" s="76"/>
      <c r="K59" s="664"/>
      <c r="L59" s="21">
        <f t="shared" si="2"/>
        <v>0</v>
      </c>
      <c r="M59" s="70"/>
      <c r="N59" s="60"/>
      <c r="O59" s="61"/>
      <c r="P59" s="824">
        <f t="shared" si="1"/>
        <v>0</v>
      </c>
      <c r="Q59" s="908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3"/>
        <v>0</v>
      </c>
      <c r="G60" s="33"/>
      <c r="H60" s="660"/>
      <c r="I60" s="809"/>
      <c r="J60" s="76"/>
      <c r="K60" s="664"/>
      <c r="L60" s="21">
        <f t="shared" si="2"/>
        <v>0</v>
      </c>
      <c r="M60" s="70"/>
      <c r="N60" s="60"/>
      <c r="O60" s="61"/>
      <c r="P60" s="824">
        <f t="shared" si="1"/>
        <v>0</v>
      </c>
      <c r="Q60" s="908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3"/>
        <v>0</v>
      </c>
      <c r="G61" s="33"/>
      <c r="H61" s="660"/>
      <c r="I61" s="809"/>
      <c r="J61" s="76"/>
      <c r="K61" s="664"/>
      <c r="L61" s="21">
        <f t="shared" si="2"/>
        <v>0</v>
      </c>
      <c r="M61" s="70"/>
      <c r="N61" s="60"/>
      <c r="O61" s="61"/>
      <c r="P61" s="824">
        <f t="shared" si="1"/>
        <v>0</v>
      </c>
      <c r="Q61" s="908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9"/>
      <c r="J62" s="76"/>
      <c r="K62" s="664"/>
      <c r="L62" s="21">
        <f t="shared" si="2"/>
        <v>0</v>
      </c>
      <c r="M62" s="70"/>
      <c r="N62" s="60"/>
      <c r="O62" s="61"/>
      <c r="P62" s="824">
        <f t="shared" si="1"/>
        <v>0</v>
      </c>
      <c r="Q62" s="908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3"/>
        <v>0</v>
      </c>
      <c r="G63" s="33"/>
      <c r="H63" s="660"/>
      <c r="I63" s="809"/>
      <c r="J63" s="76"/>
      <c r="K63" s="664"/>
      <c r="L63" s="21">
        <f t="shared" si="2"/>
        <v>0</v>
      </c>
      <c r="M63" s="70"/>
      <c r="N63" s="60"/>
      <c r="O63" s="61"/>
      <c r="P63" s="824">
        <f t="shared" si="1"/>
        <v>0</v>
      </c>
      <c r="Q63" s="908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3"/>
        <v>0</v>
      </c>
      <c r="G64" s="33"/>
      <c r="H64" s="660"/>
      <c r="I64" s="809"/>
      <c r="J64" s="76"/>
      <c r="K64" s="664"/>
      <c r="L64" s="21">
        <f t="shared" si="2"/>
        <v>0</v>
      </c>
      <c r="M64" s="70"/>
      <c r="N64" s="60"/>
      <c r="O64" s="61"/>
      <c r="P64" s="824">
        <f t="shared" si="1"/>
        <v>0</v>
      </c>
      <c r="Q64" s="908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9"/>
      <c r="J65" s="76"/>
      <c r="K65" s="664"/>
      <c r="L65" s="21">
        <f t="shared" si="2"/>
        <v>0</v>
      </c>
      <c r="M65" s="70"/>
      <c r="N65" s="60"/>
      <c r="O65" s="61"/>
      <c r="P65" s="824">
        <f t="shared" si="1"/>
        <v>0</v>
      </c>
      <c r="Q65" s="908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3"/>
        <v>0</v>
      </c>
      <c r="G66" s="105"/>
      <c r="H66" s="661"/>
      <c r="I66" s="810"/>
      <c r="J66" s="107"/>
      <c r="K66" s="669"/>
      <c r="L66" s="21">
        <f t="shared" si="2"/>
        <v>0</v>
      </c>
      <c r="M66" s="108"/>
      <c r="N66" s="109"/>
      <c r="O66" s="110"/>
      <c r="P66" s="824">
        <f t="shared" si="1"/>
        <v>0</v>
      </c>
      <c r="Q66" s="910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3">
      <c r="B67" s="115" t="s">
        <v>155</v>
      </c>
      <c r="C67" s="115" t="s">
        <v>156</v>
      </c>
      <c r="D67" s="651">
        <v>11646</v>
      </c>
      <c r="E67" s="115"/>
      <c r="F67" s="115"/>
      <c r="G67" s="653">
        <v>1</v>
      </c>
      <c r="H67" s="662">
        <v>296.39999999999998</v>
      </c>
      <c r="I67" s="811">
        <v>45324</v>
      </c>
      <c r="J67" s="949">
        <v>45427</v>
      </c>
      <c r="K67" s="662">
        <v>296.39999999999998</v>
      </c>
      <c r="L67" s="21">
        <f t="shared" si="2"/>
        <v>0</v>
      </c>
      <c r="M67" s="117">
        <v>50</v>
      </c>
      <c r="N67" s="118"/>
      <c r="O67" s="119"/>
      <c r="P67" s="825">
        <f t="shared" si="1"/>
        <v>14819.999999999998</v>
      </c>
      <c r="Q67" s="911" t="s">
        <v>97</v>
      </c>
      <c r="R67" s="122">
        <v>45344</v>
      </c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24.75" customHeight="1" thickBot="1" x14ac:dyDescent="0.35">
      <c r="B68" s="692" t="s">
        <v>155</v>
      </c>
      <c r="C68" s="692" t="s">
        <v>156</v>
      </c>
      <c r="D68" s="638">
        <v>11647</v>
      </c>
      <c r="E68" s="637"/>
      <c r="F68" s="637"/>
      <c r="G68" s="637">
        <v>36</v>
      </c>
      <c r="H68" s="656">
        <v>163</v>
      </c>
      <c r="I68" s="812">
        <v>45325</v>
      </c>
      <c r="J68" s="712">
        <v>45448</v>
      </c>
      <c r="K68" s="656">
        <v>163</v>
      </c>
      <c r="L68" s="639">
        <f>K68-H68</f>
        <v>0</v>
      </c>
      <c r="M68" s="117">
        <v>50</v>
      </c>
      <c r="N68" s="118"/>
      <c r="O68" s="119"/>
      <c r="P68" s="825">
        <f t="shared" si="1"/>
        <v>8150</v>
      </c>
      <c r="Q68" s="911" t="s">
        <v>97</v>
      </c>
      <c r="R68" s="122">
        <v>45344</v>
      </c>
      <c r="S68" s="129"/>
      <c r="T68" s="123"/>
      <c r="U68" s="130"/>
      <c r="V68" s="130"/>
      <c r="W68" s="28"/>
      <c r="X68" s="131"/>
      <c r="Y68" s="937"/>
      <c r="Z68" s="745"/>
      <c r="AA68" s="132"/>
    </row>
    <row r="69" spans="2:27" ht="55.5" customHeight="1" thickBot="1" x14ac:dyDescent="0.3">
      <c r="B69" s="839" t="s">
        <v>72</v>
      </c>
      <c r="C69" s="115" t="s">
        <v>112</v>
      </c>
      <c r="D69" s="682">
        <v>11650</v>
      </c>
      <c r="E69" s="115"/>
      <c r="F69" s="115"/>
      <c r="G69" s="653"/>
      <c r="H69" s="662">
        <v>4182.3</v>
      </c>
      <c r="I69" s="840">
        <v>45327</v>
      </c>
      <c r="J69" s="842" t="s">
        <v>142</v>
      </c>
      <c r="K69" s="662">
        <v>4182.3</v>
      </c>
      <c r="L69" s="134">
        <f t="shared" ref="L69:L74" si="4">K69-H69</f>
        <v>0</v>
      </c>
      <c r="M69" s="117">
        <v>102</v>
      </c>
      <c r="N69" s="802">
        <f>200000+226594.6</f>
        <v>426594.6</v>
      </c>
      <c r="O69" s="803" t="s">
        <v>127</v>
      </c>
      <c r="P69" s="826">
        <f t="shared" ref="P69:P72" si="5">M69*K69</f>
        <v>426594.60000000003</v>
      </c>
      <c r="Q69" s="942" t="s">
        <v>143</v>
      </c>
      <c r="R69" s="843" t="s">
        <v>144</v>
      </c>
      <c r="S69" s="133"/>
      <c r="T69" s="123"/>
      <c r="U69" s="125"/>
      <c r="V69" s="125"/>
      <c r="W69" s="28" t="s">
        <v>225</v>
      </c>
      <c r="X69" s="962">
        <v>3248</v>
      </c>
      <c r="Y69" s="939" t="s">
        <v>199</v>
      </c>
      <c r="Z69" s="941">
        <v>4176</v>
      </c>
      <c r="AA69" s="933"/>
    </row>
    <row r="70" spans="2:27" ht="30.75" customHeight="1" thickBot="1" x14ac:dyDescent="0.35">
      <c r="B70" s="680" t="s">
        <v>155</v>
      </c>
      <c r="C70" s="115" t="s">
        <v>170</v>
      </c>
      <c r="D70" s="878">
        <v>11684</v>
      </c>
      <c r="E70" s="115"/>
      <c r="F70" s="115"/>
      <c r="G70" s="653"/>
      <c r="H70" s="662">
        <v>1021</v>
      </c>
      <c r="I70" s="879">
        <v>45328</v>
      </c>
      <c r="J70" s="950">
        <v>45468</v>
      </c>
      <c r="K70" s="662">
        <v>1021</v>
      </c>
      <c r="L70" s="134">
        <f t="shared" si="4"/>
        <v>0</v>
      </c>
      <c r="M70" s="117">
        <v>50</v>
      </c>
      <c r="N70" s="781"/>
      <c r="O70" s="137"/>
      <c r="P70" s="827">
        <f t="shared" si="5"/>
        <v>51050</v>
      </c>
      <c r="Q70" s="911" t="s">
        <v>97</v>
      </c>
      <c r="R70" s="844" t="s">
        <v>219</v>
      </c>
      <c r="S70" s="133"/>
      <c r="T70" s="123"/>
      <c r="U70" s="125"/>
      <c r="V70" s="125"/>
      <c r="W70" s="28"/>
      <c r="X70" s="131"/>
      <c r="Y70" s="932"/>
      <c r="Z70" s="936"/>
      <c r="AA70" s="132"/>
    </row>
    <row r="71" spans="2:27" ht="32.25" customHeight="1" thickTop="1" x14ac:dyDescent="0.25">
      <c r="B71" s="1020" t="s">
        <v>201</v>
      </c>
      <c r="C71" s="681" t="s">
        <v>168</v>
      </c>
      <c r="D71" s="1058">
        <v>11677</v>
      </c>
      <c r="E71" s="678"/>
      <c r="F71" s="115"/>
      <c r="G71" s="653">
        <v>80</v>
      </c>
      <c r="H71" s="684">
        <v>2055.9299999999998</v>
      </c>
      <c r="I71" s="1060">
        <v>45329</v>
      </c>
      <c r="J71" s="1062">
        <v>21338</v>
      </c>
      <c r="K71" s="737">
        <v>2055.9299999999998</v>
      </c>
      <c r="L71" s="134">
        <f t="shared" si="4"/>
        <v>0</v>
      </c>
      <c r="M71" s="117">
        <v>50</v>
      </c>
      <c r="N71" s="118"/>
      <c r="O71" s="157"/>
      <c r="P71" s="845">
        <f t="shared" si="5"/>
        <v>102796.49999999999</v>
      </c>
      <c r="Q71" s="1074" t="s">
        <v>81</v>
      </c>
      <c r="R71" s="1041">
        <v>45344</v>
      </c>
      <c r="S71" s="687"/>
      <c r="T71" s="123"/>
      <c r="U71" s="125"/>
      <c r="V71" s="125"/>
      <c r="W71" s="28"/>
      <c r="X71" s="131"/>
      <c r="Y71" s="938"/>
      <c r="Z71" s="940"/>
      <c r="AA71" s="132"/>
    </row>
    <row r="72" spans="2:27" ht="32.25" customHeight="1" thickBot="1" x14ac:dyDescent="0.3">
      <c r="B72" s="1057"/>
      <c r="C72" s="681" t="s">
        <v>169</v>
      </c>
      <c r="D72" s="1059"/>
      <c r="E72" s="678"/>
      <c r="F72" s="115"/>
      <c r="G72" s="653">
        <v>44</v>
      </c>
      <c r="H72" s="684">
        <v>1009.97</v>
      </c>
      <c r="I72" s="1061"/>
      <c r="J72" s="1063"/>
      <c r="K72" s="737">
        <v>1009.97</v>
      </c>
      <c r="L72" s="134">
        <f t="shared" si="4"/>
        <v>0</v>
      </c>
      <c r="M72" s="117">
        <v>46.5</v>
      </c>
      <c r="N72" s="118"/>
      <c r="O72" s="157"/>
      <c r="P72" s="845">
        <f t="shared" si="5"/>
        <v>46963.605000000003</v>
      </c>
      <c r="Q72" s="1075"/>
      <c r="R72" s="1042"/>
      <c r="S72" s="687"/>
      <c r="T72" s="123"/>
      <c r="U72" s="125"/>
      <c r="V72" s="125"/>
      <c r="W72" s="28"/>
      <c r="X72" s="131"/>
      <c r="Y72" s="931"/>
      <c r="Z72" s="935"/>
      <c r="AA72" s="132"/>
    </row>
    <row r="73" spans="2:27" ht="30.75" customHeight="1" x14ac:dyDescent="0.3">
      <c r="B73" s="1015" t="s">
        <v>72</v>
      </c>
      <c r="C73" s="681" t="s">
        <v>112</v>
      </c>
      <c r="D73" s="1003">
        <v>11679</v>
      </c>
      <c r="E73" s="678"/>
      <c r="F73" s="115"/>
      <c r="G73" s="653"/>
      <c r="H73" s="684">
        <v>4244.1000000000004</v>
      </c>
      <c r="I73" s="1051">
        <v>45330</v>
      </c>
      <c r="J73" s="1054" t="s">
        <v>165</v>
      </c>
      <c r="K73" s="737">
        <v>4244.1000000000004</v>
      </c>
      <c r="L73" s="134">
        <f t="shared" si="4"/>
        <v>0</v>
      </c>
      <c r="M73" s="117">
        <v>102</v>
      </c>
      <c r="N73" s="118"/>
      <c r="O73" s="119"/>
      <c r="P73" s="827">
        <f t="shared" ref="P73:P118" si="6">M73*K73</f>
        <v>432898.2</v>
      </c>
      <c r="Q73" s="1066">
        <f>250000+334828.5</f>
        <v>584828.5</v>
      </c>
      <c r="R73" s="1079" t="s">
        <v>187</v>
      </c>
      <c r="S73" s="687"/>
      <c r="T73" s="123"/>
      <c r="U73" s="130"/>
      <c r="V73" s="130"/>
      <c r="W73" s="28"/>
      <c r="X73" s="929"/>
      <c r="Y73" s="1068" t="s">
        <v>199</v>
      </c>
      <c r="Z73" s="1071">
        <v>4176</v>
      </c>
      <c r="AA73" s="933"/>
    </row>
    <row r="74" spans="2:27" ht="30.75" customHeight="1" x14ac:dyDescent="0.3">
      <c r="B74" s="1016"/>
      <c r="C74" s="681" t="s">
        <v>156</v>
      </c>
      <c r="D74" s="1018"/>
      <c r="E74" s="678"/>
      <c r="F74" s="115"/>
      <c r="G74" s="653"/>
      <c r="H74" s="684">
        <v>336.5</v>
      </c>
      <c r="I74" s="1052"/>
      <c r="J74" s="1055"/>
      <c r="K74" s="737">
        <v>336.5</v>
      </c>
      <c r="L74" s="134">
        <f t="shared" si="4"/>
        <v>0</v>
      </c>
      <c r="M74" s="117">
        <v>145</v>
      </c>
      <c r="N74" s="118"/>
      <c r="O74" s="119"/>
      <c r="P74" s="827">
        <f t="shared" si="6"/>
        <v>48792.5</v>
      </c>
      <c r="Q74" s="1066"/>
      <c r="R74" s="1079"/>
      <c r="S74" s="687"/>
      <c r="T74" s="123"/>
      <c r="U74" s="130"/>
      <c r="V74" s="130"/>
      <c r="W74" s="28"/>
      <c r="X74" s="929"/>
      <c r="Y74" s="1069"/>
      <c r="Z74" s="1072"/>
      <c r="AA74" s="933"/>
    </row>
    <row r="75" spans="2:27" s="127" customFormat="1" ht="30.75" customHeight="1" x14ac:dyDescent="0.35">
      <c r="B75" s="1016"/>
      <c r="C75" s="681" t="s">
        <v>166</v>
      </c>
      <c r="D75" s="1018"/>
      <c r="E75" s="678"/>
      <c r="F75" s="115"/>
      <c r="G75" s="653"/>
      <c r="H75" s="684">
        <v>295.39999999999998</v>
      </c>
      <c r="I75" s="1052"/>
      <c r="J75" s="1055"/>
      <c r="K75" s="737">
        <v>295.39999999999998</v>
      </c>
      <c r="L75" s="134">
        <f t="shared" si="2"/>
        <v>0</v>
      </c>
      <c r="M75" s="117">
        <v>118</v>
      </c>
      <c r="N75" s="136"/>
      <c r="O75" s="137"/>
      <c r="P75" s="827">
        <f t="shared" si="6"/>
        <v>34857.199999999997</v>
      </c>
      <c r="Q75" s="1066"/>
      <c r="R75" s="1079"/>
      <c r="S75" s="687"/>
      <c r="T75" s="123"/>
      <c r="U75" s="130"/>
      <c r="V75" s="130"/>
      <c r="W75" s="28"/>
      <c r="X75" s="930"/>
      <c r="Y75" s="1069"/>
      <c r="Z75" s="1072"/>
      <c r="AA75" s="934"/>
    </row>
    <row r="76" spans="2:27" ht="52.5" customHeight="1" thickBot="1" x14ac:dyDescent="0.4">
      <c r="B76" s="1017"/>
      <c r="C76" s="681" t="s">
        <v>167</v>
      </c>
      <c r="D76" s="1004"/>
      <c r="E76" s="678"/>
      <c r="F76" s="115"/>
      <c r="G76" s="653"/>
      <c r="H76" s="684">
        <v>734.2</v>
      </c>
      <c r="I76" s="1053"/>
      <c r="J76" s="1056"/>
      <c r="K76" s="737">
        <v>734.2</v>
      </c>
      <c r="L76" s="134">
        <f t="shared" si="2"/>
        <v>0</v>
      </c>
      <c r="M76" s="117">
        <v>93</v>
      </c>
      <c r="N76" s="136"/>
      <c r="O76" s="137"/>
      <c r="P76" s="827">
        <f t="shared" si="6"/>
        <v>68280.600000000006</v>
      </c>
      <c r="Q76" s="1067"/>
      <c r="R76" s="1042"/>
      <c r="S76" s="687"/>
      <c r="T76" s="123"/>
      <c r="U76" s="125"/>
      <c r="V76" s="125"/>
      <c r="W76" s="28"/>
      <c r="X76" s="929"/>
      <c r="Y76" s="1070"/>
      <c r="Z76" s="1073"/>
      <c r="AA76" s="933"/>
    </row>
    <row r="77" spans="2:27" ht="30.75" customHeight="1" x14ac:dyDescent="0.3">
      <c r="B77" s="1064" t="s">
        <v>72</v>
      </c>
      <c r="C77" s="877" t="s">
        <v>112</v>
      </c>
      <c r="D77" s="1003">
        <v>11696</v>
      </c>
      <c r="E77" s="678"/>
      <c r="F77" s="115"/>
      <c r="G77" s="653"/>
      <c r="H77" s="684">
        <v>4336.6000000000004</v>
      </c>
      <c r="I77" s="1051">
        <v>45336</v>
      </c>
      <c r="J77" s="1007" t="s">
        <v>174</v>
      </c>
      <c r="K77" s="737">
        <v>4336.6000000000004</v>
      </c>
      <c r="L77" s="134">
        <f t="shared" si="2"/>
        <v>0</v>
      </c>
      <c r="M77" s="117">
        <v>102</v>
      </c>
      <c r="N77" s="781"/>
      <c r="O77" s="137"/>
      <c r="P77" s="827">
        <f t="shared" si="6"/>
        <v>442333.2</v>
      </c>
      <c r="Q77" s="1080">
        <f>300000+265264.2</f>
        <v>565264.19999999995</v>
      </c>
      <c r="R77" s="1082" t="s">
        <v>210</v>
      </c>
      <c r="S77" s="133"/>
      <c r="T77" s="123"/>
      <c r="U77" s="125"/>
      <c r="V77" s="125"/>
      <c r="W77" s="28"/>
      <c r="X77" s="131"/>
      <c r="Y77" s="141"/>
      <c r="Z77" s="142"/>
      <c r="AA77" s="132"/>
    </row>
    <row r="78" spans="2:27" ht="30.75" customHeight="1" thickBot="1" x14ac:dyDescent="0.35">
      <c r="B78" s="1065"/>
      <c r="C78" s="877" t="s">
        <v>175</v>
      </c>
      <c r="D78" s="1004"/>
      <c r="E78" s="678"/>
      <c r="F78" s="115"/>
      <c r="G78" s="653"/>
      <c r="H78" s="684">
        <v>847.8</v>
      </c>
      <c r="I78" s="1053"/>
      <c r="J78" s="1008"/>
      <c r="K78" s="737">
        <v>847.8</v>
      </c>
      <c r="L78" s="134">
        <f t="shared" si="2"/>
        <v>0</v>
      </c>
      <c r="M78" s="117">
        <v>145</v>
      </c>
      <c r="N78" s="781"/>
      <c r="O78" s="117"/>
      <c r="P78" s="827">
        <f t="shared" si="6"/>
        <v>122931</v>
      </c>
      <c r="Q78" s="1081"/>
      <c r="R78" s="1083"/>
      <c r="S78" s="133"/>
      <c r="T78" s="123"/>
      <c r="U78" s="125" t="s">
        <v>22</v>
      </c>
      <c r="V78" s="125"/>
      <c r="W78" s="28"/>
      <c r="X78" s="131"/>
      <c r="Y78" s="141"/>
      <c r="Z78" s="142"/>
      <c r="AA78" s="132"/>
    </row>
    <row r="79" spans="2:27" ht="26.25" customHeight="1" thickBot="1" x14ac:dyDescent="0.35">
      <c r="B79" s="115" t="s">
        <v>194</v>
      </c>
      <c r="C79" s="115"/>
      <c r="D79" s="683"/>
      <c r="E79" s="115"/>
      <c r="F79" s="115"/>
      <c r="G79" s="653"/>
      <c r="H79" s="662"/>
      <c r="I79" s="841"/>
      <c r="J79" s="954"/>
      <c r="K79" s="662"/>
      <c r="L79" s="134">
        <f t="shared" si="2"/>
        <v>0</v>
      </c>
      <c r="M79" s="117"/>
      <c r="N79" s="781"/>
      <c r="O79" s="117"/>
      <c r="P79" s="828">
        <f t="shared" si="6"/>
        <v>0</v>
      </c>
      <c r="Q79" s="911"/>
      <c r="R79" s="587"/>
      <c r="S79" s="133"/>
      <c r="T79" s="123"/>
      <c r="U79" s="125"/>
      <c r="V79" s="125"/>
      <c r="W79" s="28"/>
      <c r="X79" s="131"/>
      <c r="Y79" s="141"/>
      <c r="Z79" s="142"/>
      <c r="AA79" s="132"/>
    </row>
    <row r="80" spans="2:27" s="127" customFormat="1" ht="32.25" customHeight="1" thickTop="1" thickBot="1" x14ac:dyDescent="0.35">
      <c r="B80" s="839" t="s">
        <v>194</v>
      </c>
      <c r="C80" s="115"/>
      <c r="D80" s="682"/>
      <c r="E80" s="115"/>
      <c r="F80" s="115"/>
      <c r="G80" s="653"/>
      <c r="H80" s="662"/>
      <c r="I80" s="840"/>
      <c r="J80" s="951"/>
      <c r="K80" s="662"/>
      <c r="L80" s="134">
        <f t="shared" ref="L80:L114" si="7">K80-H80</f>
        <v>0</v>
      </c>
      <c r="M80" s="117"/>
      <c r="N80" s="147"/>
      <c r="O80" s="117"/>
      <c r="P80" s="829">
        <f t="shared" si="6"/>
        <v>0</v>
      </c>
      <c r="Q80" s="911"/>
      <c r="R80" s="122"/>
      <c r="S80" s="133"/>
      <c r="T80" s="123"/>
      <c r="U80" s="745"/>
      <c r="V80" s="745"/>
      <c r="W80" s="28"/>
      <c r="X80" s="138"/>
      <c r="Y80" s="139"/>
      <c r="Z80" s="140"/>
      <c r="AA80" s="126"/>
    </row>
    <row r="81" spans="2:27" ht="33.75" customHeight="1" thickTop="1" x14ac:dyDescent="0.3">
      <c r="B81" s="1097" t="s">
        <v>72</v>
      </c>
      <c r="C81" s="681" t="s">
        <v>112</v>
      </c>
      <c r="D81" s="1099">
        <v>11711</v>
      </c>
      <c r="E81" s="678"/>
      <c r="F81" s="115"/>
      <c r="G81" s="653"/>
      <c r="H81" s="684">
        <v>4153.5</v>
      </c>
      <c r="I81" s="1101">
        <v>45343</v>
      </c>
      <c r="J81" s="1103" t="s">
        <v>209</v>
      </c>
      <c r="K81" s="737">
        <v>4153.5</v>
      </c>
      <c r="L81" s="134">
        <f t="shared" si="7"/>
        <v>0</v>
      </c>
      <c r="M81" s="117">
        <v>102</v>
      </c>
      <c r="N81" s="118"/>
      <c r="O81" s="157"/>
      <c r="P81" s="827">
        <f t="shared" si="6"/>
        <v>423657</v>
      </c>
      <c r="Q81" s="1105">
        <f>300000+293611.5</f>
        <v>593611.5</v>
      </c>
      <c r="R81" s="1084" t="s">
        <v>215</v>
      </c>
      <c r="S81" s="133"/>
      <c r="T81" s="743"/>
      <c r="U81" s="1115">
        <v>28000</v>
      </c>
      <c r="V81" s="1095" t="s">
        <v>207</v>
      </c>
      <c r="W81" s="744"/>
      <c r="X81" s="131"/>
      <c r="Y81" s="149"/>
      <c r="Z81" s="150"/>
      <c r="AA81" s="132"/>
    </row>
    <row r="82" spans="2:27" ht="33.75" customHeight="1" thickBot="1" x14ac:dyDescent="0.4">
      <c r="B82" s="1098"/>
      <c r="C82" s="681" t="s">
        <v>208</v>
      </c>
      <c r="D82" s="1100"/>
      <c r="E82" s="678"/>
      <c r="F82" s="115"/>
      <c r="G82" s="653"/>
      <c r="H82" s="684">
        <v>1172.0999999999999</v>
      </c>
      <c r="I82" s="1102"/>
      <c r="J82" s="1104"/>
      <c r="K82" s="737">
        <v>1172.0999999999999</v>
      </c>
      <c r="L82" s="21">
        <f t="shared" si="7"/>
        <v>0</v>
      </c>
      <c r="M82" s="117">
        <v>145</v>
      </c>
      <c r="N82" s="136"/>
      <c r="O82" s="137"/>
      <c r="P82" s="824">
        <f t="shared" si="6"/>
        <v>169954.5</v>
      </c>
      <c r="Q82" s="1106"/>
      <c r="R82" s="1085"/>
      <c r="S82" s="38"/>
      <c r="T82" s="943"/>
      <c r="U82" s="1116"/>
      <c r="V82" s="1096"/>
      <c r="W82" s="744"/>
      <c r="X82" s="42"/>
      <c r="Y82" s="52"/>
      <c r="Z82" s="584"/>
      <c r="AA82" s="132"/>
    </row>
    <row r="83" spans="2:27" ht="46.5" customHeight="1" thickTop="1" x14ac:dyDescent="0.35">
      <c r="B83" s="1007" t="s">
        <v>201</v>
      </c>
      <c r="C83" s="681" t="s">
        <v>168</v>
      </c>
      <c r="D83" s="1003">
        <v>11709</v>
      </c>
      <c r="E83" s="678"/>
      <c r="F83" s="115"/>
      <c r="G83" s="653"/>
      <c r="H83" s="684">
        <v>2035.99</v>
      </c>
      <c r="I83" s="1051">
        <v>45342</v>
      </c>
      <c r="J83" s="1086">
        <v>21375</v>
      </c>
      <c r="K83" s="737">
        <v>2035.99</v>
      </c>
      <c r="L83" s="21">
        <f t="shared" si="7"/>
        <v>0</v>
      </c>
      <c r="M83" s="117">
        <v>51</v>
      </c>
      <c r="N83" s="136"/>
      <c r="O83" s="137"/>
      <c r="P83" s="824">
        <f t="shared" si="6"/>
        <v>103835.49</v>
      </c>
      <c r="Q83" s="1089" t="s">
        <v>224</v>
      </c>
      <c r="R83" s="1092">
        <v>45350</v>
      </c>
      <c r="S83" s="956"/>
      <c r="T83" s="588"/>
      <c r="U83" s="944"/>
      <c r="V83" s="945"/>
      <c r="W83" s="28"/>
      <c r="X83" s="42"/>
      <c r="Y83" s="52"/>
      <c r="Z83" s="584"/>
      <c r="AA83" s="132"/>
    </row>
    <row r="84" spans="2:27" ht="42" customHeight="1" x14ac:dyDescent="0.35">
      <c r="B84" s="1117"/>
      <c r="C84" s="681" t="s">
        <v>202</v>
      </c>
      <c r="D84" s="1018"/>
      <c r="E84" s="678"/>
      <c r="F84" s="115"/>
      <c r="G84" s="653"/>
      <c r="H84" s="684">
        <v>1015.75</v>
      </c>
      <c r="I84" s="1052"/>
      <c r="J84" s="1087"/>
      <c r="K84" s="737">
        <v>1015.74</v>
      </c>
      <c r="L84" s="21">
        <f t="shared" si="7"/>
        <v>-9.9999999999909051E-3</v>
      </c>
      <c r="M84" s="35">
        <v>65</v>
      </c>
      <c r="N84" s="60"/>
      <c r="O84" s="61"/>
      <c r="P84" s="824">
        <f t="shared" si="6"/>
        <v>66023.100000000006</v>
      </c>
      <c r="Q84" s="1090"/>
      <c r="R84" s="1093"/>
      <c r="S84" s="956"/>
      <c r="T84" s="588"/>
      <c r="U84" s="182"/>
      <c r="V84" s="165"/>
      <c r="W84" s="28"/>
      <c r="X84" s="42"/>
      <c r="Y84" s="55"/>
      <c r="Z84" s="585"/>
      <c r="AA84" s="132"/>
    </row>
    <row r="85" spans="2:27" ht="31.5" customHeight="1" thickBot="1" x14ac:dyDescent="0.35">
      <c r="B85" s="1008"/>
      <c r="C85" s="681" t="s">
        <v>169</v>
      </c>
      <c r="D85" s="1004"/>
      <c r="E85" s="678"/>
      <c r="F85" s="115"/>
      <c r="G85" s="653"/>
      <c r="H85" s="684">
        <v>1013.11</v>
      </c>
      <c r="I85" s="1053"/>
      <c r="J85" s="1088"/>
      <c r="K85" s="737">
        <v>1013.11</v>
      </c>
      <c r="L85" s="134">
        <f t="shared" si="7"/>
        <v>0</v>
      </c>
      <c r="M85" s="117">
        <v>48</v>
      </c>
      <c r="N85" s="118"/>
      <c r="O85" s="119"/>
      <c r="P85" s="827">
        <f t="shared" si="6"/>
        <v>48629.279999999999</v>
      </c>
      <c r="Q85" s="1091"/>
      <c r="R85" s="1094"/>
      <c r="S85" s="687"/>
      <c r="T85" s="123"/>
      <c r="U85" s="40"/>
      <c r="V85" s="40"/>
      <c r="W85" s="28"/>
      <c r="X85" s="42"/>
      <c r="Y85" s="153"/>
      <c r="Z85" s="154"/>
      <c r="AA85" s="132"/>
    </row>
    <row r="86" spans="2:27" ht="25.5" customHeight="1" x14ac:dyDescent="0.3">
      <c r="B86" s="1107" t="s">
        <v>155</v>
      </c>
      <c r="C86" s="681" t="s">
        <v>66</v>
      </c>
      <c r="D86" s="1109">
        <v>11721</v>
      </c>
      <c r="E86" s="678"/>
      <c r="F86" s="115"/>
      <c r="G86" s="653"/>
      <c r="H86" s="684">
        <v>1025.5</v>
      </c>
      <c r="I86" s="1111">
        <v>45347</v>
      </c>
      <c r="J86" s="1113"/>
      <c r="K86" s="737">
        <v>1025.5</v>
      </c>
      <c r="L86" s="134">
        <f t="shared" si="7"/>
        <v>0</v>
      </c>
      <c r="M86" s="155">
        <v>73</v>
      </c>
      <c r="N86" s="118"/>
      <c r="O86" s="119"/>
      <c r="P86" s="827">
        <f t="shared" si="6"/>
        <v>74861.5</v>
      </c>
      <c r="Q86" s="955"/>
      <c r="R86" s="741"/>
      <c r="S86" s="133"/>
      <c r="T86" s="123"/>
      <c r="U86" s="40"/>
      <c r="V86" s="40"/>
      <c r="W86" s="28"/>
      <c r="X86" s="42"/>
      <c r="Y86" s="153"/>
      <c r="Z86" s="154"/>
      <c r="AA86" s="132"/>
    </row>
    <row r="87" spans="2:27" ht="18.75" customHeight="1" thickBot="1" x14ac:dyDescent="0.35">
      <c r="B87" s="1108"/>
      <c r="C87" s="681" t="s">
        <v>241</v>
      </c>
      <c r="D87" s="1110"/>
      <c r="E87" s="678"/>
      <c r="F87" s="115"/>
      <c r="G87" s="653"/>
      <c r="H87" s="684">
        <v>1669</v>
      </c>
      <c r="I87" s="1112"/>
      <c r="J87" s="1114"/>
      <c r="K87" s="737">
        <v>1669</v>
      </c>
      <c r="L87" s="134">
        <f t="shared" si="7"/>
        <v>0</v>
      </c>
      <c r="M87" s="117">
        <v>22</v>
      </c>
      <c r="N87" s="118"/>
      <c r="O87" s="117"/>
      <c r="P87" s="827">
        <f t="shared" si="6"/>
        <v>36718</v>
      </c>
      <c r="Q87" s="912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18.75" customHeight="1" x14ac:dyDescent="0.3">
      <c r="B88" s="680"/>
      <c r="C88" s="115"/>
      <c r="D88" s="683"/>
      <c r="E88" s="115"/>
      <c r="F88" s="115"/>
      <c r="G88" s="653"/>
      <c r="H88" s="662"/>
      <c r="I88" s="841"/>
      <c r="J88" s="963"/>
      <c r="K88" s="662"/>
      <c r="L88" s="134">
        <f t="shared" si="7"/>
        <v>0</v>
      </c>
      <c r="M88" s="117"/>
      <c r="N88" s="118"/>
      <c r="O88" s="157"/>
      <c r="P88" s="827">
        <f t="shared" si="6"/>
        <v>0</v>
      </c>
      <c r="Q88" s="912"/>
      <c r="R88" s="122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18.75" customHeight="1" x14ac:dyDescent="0.3">
      <c r="B89" s="115"/>
      <c r="C89" s="115"/>
      <c r="D89" s="651"/>
      <c r="E89" s="115"/>
      <c r="F89" s="115"/>
      <c r="G89" s="653"/>
      <c r="H89" s="662"/>
      <c r="I89" s="811"/>
      <c r="J89" s="653"/>
      <c r="K89" s="662"/>
      <c r="L89" s="134">
        <f t="shared" si="7"/>
        <v>0</v>
      </c>
      <c r="M89" s="117"/>
      <c r="N89" s="143"/>
      <c r="O89" s="157"/>
      <c r="P89" s="827">
        <f t="shared" si="6"/>
        <v>0</v>
      </c>
      <c r="Q89" s="912"/>
      <c r="R89" s="122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.75" customHeight="1" x14ac:dyDescent="0.3">
      <c r="B90" s="31"/>
      <c r="C90" s="694"/>
      <c r="D90" s="629"/>
      <c r="E90" s="145"/>
      <c r="F90" s="145"/>
      <c r="G90" s="146"/>
      <c r="H90" s="663"/>
      <c r="I90" s="813"/>
      <c r="J90" s="159"/>
      <c r="K90" s="670"/>
      <c r="L90" s="134">
        <f t="shared" si="7"/>
        <v>0</v>
      </c>
      <c r="M90" s="117"/>
      <c r="N90" s="160"/>
      <c r="O90" s="117"/>
      <c r="P90" s="827">
        <f t="shared" si="6"/>
        <v>0</v>
      </c>
      <c r="Q90" s="912"/>
      <c r="R90" s="161"/>
      <c r="S90" s="133"/>
      <c r="T90" s="123"/>
      <c r="U90" s="40"/>
      <c r="V90" s="40"/>
      <c r="W90" s="28"/>
      <c r="X90" s="42"/>
      <c r="Y90" s="149"/>
      <c r="Z90" s="156"/>
      <c r="AA90" s="132"/>
    </row>
    <row r="91" spans="2:27" ht="51.75" customHeight="1" x14ac:dyDescent="0.3">
      <c r="B91" s="47"/>
      <c r="C91" s="694"/>
      <c r="D91" s="630"/>
      <c r="E91" s="145"/>
      <c r="F91" s="145"/>
      <c r="G91" s="146"/>
      <c r="H91" s="663"/>
      <c r="I91" s="813"/>
      <c r="J91" s="159"/>
      <c r="K91" s="670"/>
      <c r="L91" s="134">
        <f t="shared" si="7"/>
        <v>0</v>
      </c>
      <c r="M91" s="117"/>
      <c r="N91" s="160"/>
      <c r="O91" s="117"/>
      <c r="P91" s="827">
        <f t="shared" si="6"/>
        <v>0</v>
      </c>
      <c r="Q91" s="912"/>
      <c r="R91" s="161"/>
      <c r="S91" s="133"/>
      <c r="T91" s="123"/>
      <c r="U91" s="40"/>
      <c r="V91" s="40"/>
      <c r="W91" s="28"/>
      <c r="X91" s="42"/>
      <c r="Y91" s="149"/>
      <c r="Z91" s="156"/>
      <c r="AA91" s="132"/>
    </row>
    <row r="92" spans="2:27" ht="30" customHeight="1" x14ac:dyDescent="0.3">
      <c r="B92" s="162"/>
      <c r="C92" s="694"/>
      <c r="D92" s="631"/>
      <c r="E92" s="145"/>
      <c r="F92" s="145"/>
      <c r="G92" s="163"/>
      <c r="H92" s="663"/>
      <c r="I92" s="814"/>
      <c r="J92" s="49"/>
      <c r="K92" s="670"/>
      <c r="L92" s="134">
        <f t="shared" si="7"/>
        <v>0</v>
      </c>
      <c r="M92" s="117"/>
      <c r="N92" s="164"/>
      <c r="O92" s="117"/>
      <c r="P92" s="827">
        <f t="shared" si="6"/>
        <v>0</v>
      </c>
      <c r="Q92" s="912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21" x14ac:dyDescent="0.35">
      <c r="B93" s="162"/>
      <c r="C93" s="694"/>
      <c r="D93" s="631"/>
      <c r="E93" s="145"/>
      <c r="F93" s="145"/>
      <c r="G93" s="163"/>
      <c r="H93" s="663"/>
      <c r="I93" s="814"/>
      <c r="J93" s="49"/>
      <c r="K93" s="670"/>
      <c r="L93" s="134">
        <f t="shared" si="7"/>
        <v>0</v>
      </c>
      <c r="M93" s="117"/>
      <c r="N93" s="164"/>
      <c r="O93" s="166"/>
      <c r="P93" s="827">
        <f t="shared" si="6"/>
        <v>0</v>
      </c>
      <c r="Q93" s="912"/>
      <c r="R93" s="122"/>
      <c r="S93" s="133"/>
      <c r="T93" s="123"/>
      <c r="U93" s="165"/>
      <c r="V93" s="165"/>
      <c r="W93" s="28"/>
      <c r="X93" s="42"/>
      <c r="Y93" s="153"/>
      <c r="Z93" s="154"/>
      <c r="AA93" s="132"/>
    </row>
    <row r="94" spans="2:27" ht="19.5" customHeight="1" x14ac:dyDescent="0.3">
      <c r="B94" s="162"/>
      <c r="C94" s="694"/>
      <c r="D94" s="631"/>
      <c r="E94" s="145"/>
      <c r="F94" s="145"/>
      <c r="G94" s="163"/>
      <c r="H94" s="663"/>
      <c r="I94" s="814"/>
      <c r="J94" s="49"/>
      <c r="K94" s="670"/>
      <c r="L94" s="134">
        <f t="shared" si="7"/>
        <v>0</v>
      </c>
      <c r="M94" s="117"/>
      <c r="N94" s="164"/>
      <c r="O94" s="155"/>
      <c r="P94" s="827">
        <f t="shared" si="6"/>
        <v>0</v>
      </c>
      <c r="Q94" s="912"/>
      <c r="R94" s="122"/>
      <c r="S94" s="133"/>
      <c r="T94" s="123"/>
      <c r="U94" s="165"/>
      <c r="V94" s="165"/>
      <c r="W94" s="28"/>
      <c r="X94" s="42"/>
      <c r="Y94" s="153"/>
      <c r="Z94" s="154"/>
      <c r="AA94" s="132"/>
    </row>
    <row r="95" spans="2:27" ht="19.5" x14ac:dyDescent="0.3">
      <c r="B95" s="162"/>
      <c r="C95" s="694"/>
      <c r="D95" s="631"/>
      <c r="E95" s="145"/>
      <c r="F95" s="145"/>
      <c r="G95" s="163"/>
      <c r="H95" s="663"/>
      <c r="I95" s="814"/>
      <c r="J95" s="49"/>
      <c r="K95" s="670"/>
      <c r="L95" s="134">
        <f t="shared" si="7"/>
        <v>0</v>
      </c>
      <c r="M95" s="117"/>
      <c r="N95" s="160"/>
      <c r="O95" s="117"/>
      <c r="P95" s="827">
        <f t="shared" si="6"/>
        <v>0</v>
      </c>
      <c r="Q95" s="912"/>
      <c r="R95" s="122"/>
      <c r="S95" s="133"/>
      <c r="T95" s="39"/>
      <c r="U95" s="165"/>
      <c r="V95" s="165"/>
      <c r="W95" s="41"/>
      <c r="X95" s="42"/>
      <c r="Y95" s="153"/>
      <c r="Z95" s="154"/>
      <c r="AA95" s="132"/>
    </row>
    <row r="96" spans="2:27" ht="53.25" customHeight="1" x14ac:dyDescent="0.3">
      <c r="B96" s="167"/>
      <c r="C96" s="694"/>
      <c r="D96" s="632"/>
      <c r="E96" s="145"/>
      <c r="F96" s="145"/>
      <c r="G96" s="163"/>
      <c r="H96" s="663"/>
      <c r="I96" s="815"/>
      <c r="J96" s="159"/>
      <c r="K96" s="670"/>
      <c r="L96" s="134">
        <f t="shared" si="7"/>
        <v>0</v>
      </c>
      <c r="M96" s="117"/>
      <c r="N96" s="160"/>
      <c r="O96" s="117"/>
      <c r="P96" s="827">
        <f t="shared" si="6"/>
        <v>0</v>
      </c>
      <c r="Q96" s="911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42" customHeight="1" x14ac:dyDescent="0.3">
      <c r="B97" s="170"/>
      <c r="C97" s="694"/>
      <c r="D97" s="632"/>
      <c r="E97" s="145"/>
      <c r="F97" s="145"/>
      <c r="G97" s="163"/>
      <c r="H97" s="663"/>
      <c r="I97" s="815"/>
      <c r="J97" s="159"/>
      <c r="K97" s="670"/>
      <c r="L97" s="134">
        <f t="shared" si="7"/>
        <v>0</v>
      </c>
      <c r="M97" s="117"/>
      <c r="N97" s="160"/>
      <c r="O97" s="117"/>
      <c r="P97" s="827">
        <f t="shared" si="6"/>
        <v>0</v>
      </c>
      <c r="Q97" s="911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79"/>
      <c r="C98" s="694"/>
      <c r="D98" s="629"/>
      <c r="E98" s="145"/>
      <c r="F98" s="145"/>
      <c r="G98" s="163"/>
      <c r="H98" s="663"/>
      <c r="I98" s="815"/>
      <c r="J98" s="159"/>
      <c r="K98" s="670"/>
      <c r="L98" s="21">
        <f t="shared" si="7"/>
        <v>0</v>
      </c>
      <c r="M98" s="117"/>
      <c r="N98" s="171"/>
      <c r="O98" s="117"/>
      <c r="P98" s="827">
        <f t="shared" si="6"/>
        <v>0</v>
      </c>
      <c r="Q98" s="911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19.5" x14ac:dyDescent="0.3">
      <c r="B99" s="79"/>
      <c r="C99" s="694"/>
      <c r="D99" s="629"/>
      <c r="E99" s="145"/>
      <c r="F99" s="145"/>
      <c r="G99" s="163"/>
      <c r="H99" s="663"/>
      <c r="I99" s="815"/>
      <c r="J99" s="159"/>
      <c r="K99" s="670"/>
      <c r="L99" s="21">
        <f t="shared" si="7"/>
        <v>0</v>
      </c>
      <c r="M99" s="117"/>
      <c r="N99" s="171"/>
      <c r="O99" s="117"/>
      <c r="P99" s="827">
        <f t="shared" si="6"/>
        <v>0</v>
      </c>
      <c r="Q99" s="911"/>
      <c r="R99" s="161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19.5" x14ac:dyDescent="0.3">
      <c r="B100" s="162"/>
      <c r="C100" s="694"/>
      <c r="D100" s="632"/>
      <c r="E100" s="145"/>
      <c r="F100" s="145"/>
      <c r="G100" s="163"/>
      <c r="H100" s="663"/>
      <c r="I100" s="815"/>
      <c r="J100" s="159"/>
      <c r="K100" s="670"/>
      <c r="L100" s="21">
        <f t="shared" si="7"/>
        <v>0</v>
      </c>
      <c r="M100" s="117"/>
      <c r="N100" s="171"/>
      <c r="O100" s="117"/>
      <c r="P100" s="827">
        <f t="shared" si="6"/>
        <v>0</v>
      </c>
      <c r="Q100" s="911"/>
      <c r="R100" s="161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5.25" customHeight="1" x14ac:dyDescent="0.3">
      <c r="B101" s="115"/>
      <c r="C101" s="694"/>
      <c r="D101" s="633"/>
      <c r="E101" s="145"/>
      <c r="F101" s="145"/>
      <c r="G101" s="163"/>
      <c r="H101" s="663"/>
      <c r="I101" s="816"/>
      <c r="J101" s="34"/>
      <c r="K101" s="670"/>
      <c r="L101" s="21">
        <f t="shared" si="7"/>
        <v>0</v>
      </c>
      <c r="M101" s="117"/>
      <c r="N101" s="172"/>
      <c r="O101" s="173"/>
      <c r="P101" s="827">
        <f t="shared" si="6"/>
        <v>0</v>
      </c>
      <c r="Q101" s="913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816"/>
      <c r="J102" s="34"/>
      <c r="K102" s="670"/>
      <c r="L102" s="21">
        <f t="shared" si="7"/>
        <v>0</v>
      </c>
      <c r="M102" s="117"/>
      <c r="N102" s="172"/>
      <c r="O102" s="173"/>
      <c r="P102" s="827">
        <f t="shared" si="6"/>
        <v>0</v>
      </c>
      <c r="Q102" s="913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39.75" customHeight="1" x14ac:dyDescent="0.3">
      <c r="B103" s="115"/>
      <c r="C103" s="694"/>
      <c r="D103" s="633"/>
      <c r="E103" s="145"/>
      <c r="F103" s="145"/>
      <c r="G103" s="163"/>
      <c r="H103" s="663"/>
      <c r="I103" s="816"/>
      <c r="J103" s="34"/>
      <c r="K103" s="670"/>
      <c r="L103" s="21">
        <f t="shared" si="7"/>
        <v>0</v>
      </c>
      <c r="M103" s="117"/>
      <c r="N103" s="172"/>
      <c r="O103" s="173"/>
      <c r="P103" s="827">
        <f t="shared" si="6"/>
        <v>0</v>
      </c>
      <c r="Q103" s="913"/>
      <c r="R103" s="175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ht="32.25" customHeight="1" x14ac:dyDescent="0.3">
      <c r="B104" s="115"/>
      <c r="C104" s="694"/>
      <c r="D104" s="633"/>
      <c r="E104" s="145"/>
      <c r="F104" s="145"/>
      <c r="G104" s="163"/>
      <c r="H104" s="663"/>
      <c r="I104" s="816"/>
      <c r="J104" s="34"/>
      <c r="K104" s="670"/>
      <c r="L104" s="21">
        <f t="shared" si="7"/>
        <v>0</v>
      </c>
      <c r="M104" s="117"/>
      <c r="N104" s="172"/>
      <c r="O104" s="173"/>
      <c r="P104" s="827">
        <f t="shared" si="6"/>
        <v>0</v>
      </c>
      <c r="Q104" s="913"/>
      <c r="R104" s="175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46.5" customHeight="1" x14ac:dyDescent="0.35">
      <c r="B105" s="162"/>
      <c r="C105" s="694"/>
      <c r="D105" s="632"/>
      <c r="E105" s="145"/>
      <c r="F105" s="145"/>
      <c r="G105" s="163"/>
      <c r="H105" s="663"/>
      <c r="I105" s="817"/>
      <c r="J105" s="177"/>
      <c r="K105" s="670"/>
      <c r="L105" s="21">
        <f t="shared" si="7"/>
        <v>0</v>
      </c>
      <c r="M105" s="117"/>
      <c r="N105" s="178"/>
      <c r="O105" s="117"/>
      <c r="P105" s="825">
        <f t="shared" si="6"/>
        <v>0</v>
      </c>
      <c r="Q105" s="911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x14ac:dyDescent="0.35">
      <c r="B106" s="162"/>
      <c r="C106" s="694"/>
      <c r="D106" s="632"/>
      <c r="E106" s="145"/>
      <c r="F106" s="145"/>
      <c r="G106" s="163"/>
      <c r="H106" s="663"/>
      <c r="I106" s="817"/>
      <c r="J106" s="159"/>
      <c r="K106" s="670"/>
      <c r="L106" s="21">
        <f t="shared" si="7"/>
        <v>0</v>
      </c>
      <c r="M106" s="117"/>
      <c r="N106" s="178"/>
      <c r="O106" s="117"/>
      <c r="P106" s="825">
        <f t="shared" si="6"/>
        <v>0</v>
      </c>
      <c r="Q106" s="911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32.25" customHeight="1" x14ac:dyDescent="0.35">
      <c r="B107" s="162"/>
      <c r="C107" s="694"/>
      <c r="D107" s="632"/>
      <c r="E107" s="145"/>
      <c r="F107" s="145"/>
      <c r="G107" s="163"/>
      <c r="H107" s="663"/>
      <c r="I107" s="817"/>
      <c r="J107" s="159"/>
      <c r="K107" s="670"/>
      <c r="L107" s="21">
        <f t="shared" si="7"/>
        <v>0</v>
      </c>
      <c r="M107" s="117"/>
      <c r="N107" s="178"/>
      <c r="O107" s="117"/>
      <c r="P107" s="825">
        <f t="shared" si="6"/>
        <v>0</v>
      </c>
      <c r="Q107" s="911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4" customHeight="1" x14ac:dyDescent="0.35">
      <c r="B108" s="162"/>
      <c r="C108" s="694"/>
      <c r="D108" s="632"/>
      <c r="E108" s="145"/>
      <c r="F108" s="145"/>
      <c r="G108" s="163"/>
      <c r="H108" s="663"/>
      <c r="I108" s="817"/>
      <c r="J108" s="159"/>
      <c r="K108" s="670"/>
      <c r="L108" s="21">
        <f t="shared" si="7"/>
        <v>0</v>
      </c>
      <c r="M108" s="117"/>
      <c r="N108" s="178"/>
      <c r="O108" s="117"/>
      <c r="P108" s="825">
        <f t="shared" si="6"/>
        <v>0</v>
      </c>
      <c r="Q108" s="911"/>
      <c r="R108" s="161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ht="21" x14ac:dyDescent="0.3">
      <c r="B109" s="162"/>
      <c r="C109" s="694"/>
      <c r="D109" s="632"/>
      <c r="E109" s="145"/>
      <c r="F109" s="145"/>
      <c r="G109" s="163"/>
      <c r="H109" s="663"/>
      <c r="I109" s="818"/>
      <c r="J109" s="177"/>
      <c r="K109" s="670"/>
      <c r="L109" s="21">
        <f t="shared" si="7"/>
        <v>0</v>
      </c>
      <c r="M109" s="117"/>
      <c r="N109" s="180"/>
      <c r="O109" s="117"/>
      <c r="P109" s="825">
        <f t="shared" si="6"/>
        <v>0</v>
      </c>
      <c r="Q109" s="914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ht="23.25" customHeight="1" x14ac:dyDescent="0.3">
      <c r="B110" s="162"/>
      <c r="C110" s="694"/>
      <c r="D110" s="634"/>
      <c r="E110" s="145"/>
      <c r="F110" s="145"/>
      <c r="G110" s="163"/>
      <c r="H110" s="663"/>
      <c r="I110" s="817"/>
      <c r="J110" s="49"/>
      <c r="K110" s="670"/>
      <c r="L110" s="21">
        <f t="shared" si="7"/>
        <v>0</v>
      </c>
      <c r="M110" s="117"/>
      <c r="N110" s="180"/>
      <c r="O110" s="181"/>
      <c r="P110" s="825">
        <f t="shared" si="6"/>
        <v>0</v>
      </c>
      <c r="Q110" s="911"/>
      <c r="R110" s="122"/>
      <c r="S110" s="133"/>
      <c r="T110" s="39"/>
      <c r="U110" s="182"/>
      <c r="V110" s="183"/>
      <c r="W110" s="41"/>
      <c r="X110" s="42"/>
      <c r="Y110" s="149"/>
      <c r="Z110" s="156"/>
      <c r="AA110" s="132"/>
    </row>
    <row r="111" spans="2:27" ht="23.25" customHeight="1" thickBot="1" x14ac:dyDescent="0.35">
      <c r="B111" s="162"/>
      <c r="C111" s="694"/>
      <c r="D111" s="634"/>
      <c r="E111" s="145"/>
      <c r="F111" s="145"/>
      <c r="G111" s="163"/>
      <c r="H111" s="663"/>
      <c r="I111" s="817"/>
      <c r="J111" s="49"/>
      <c r="K111" s="670"/>
      <c r="L111" s="21">
        <f t="shared" si="7"/>
        <v>0</v>
      </c>
      <c r="M111" s="117"/>
      <c r="N111" s="180"/>
      <c r="O111" s="181"/>
      <c r="P111" s="825">
        <f t="shared" si="6"/>
        <v>0</v>
      </c>
      <c r="Q111" s="911"/>
      <c r="R111" s="122"/>
      <c r="S111" s="133"/>
      <c r="T111" s="39"/>
      <c r="U111" s="182"/>
      <c r="V111" s="183"/>
      <c r="W111" s="41"/>
      <c r="X111" s="42"/>
      <c r="Y111" s="149"/>
      <c r="Z111" s="156"/>
      <c r="AA111" s="132"/>
    </row>
    <row r="112" spans="2:27" ht="24.75" thickTop="1" thickBot="1" x14ac:dyDescent="0.4">
      <c r="B112" s="696"/>
      <c r="C112" s="202"/>
      <c r="F112" s="187">
        <f t="shared" ref="F112:F118" si="8">E112*H112</f>
        <v>0</v>
      </c>
      <c r="G112" s="204"/>
      <c r="J112" s="713"/>
      <c r="K112" s="215">
        <v>0</v>
      </c>
      <c r="L112" s="21">
        <f t="shared" si="7"/>
        <v>0</v>
      </c>
      <c r="M112" s="206"/>
      <c r="O112" s="206"/>
      <c r="P112" s="824">
        <f t="shared" si="6"/>
        <v>0</v>
      </c>
      <c r="Q112" s="915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4">
      <c r="B113" s="696"/>
      <c r="C113" s="202"/>
      <c r="F113" s="187">
        <f t="shared" si="8"/>
        <v>0</v>
      </c>
      <c r="G113" s="204"/>
      <c r="K113" s="215">
        <v>0</v>
      </c>
      <c r="L113" s="21">
        <f t="shared" si="7"/>
        <v>0</v>
      </c>
      <c r="M113" s="206"/>
      <c r="O113" s="206"/>
      <c r="P113" s="824">
        <f t="shared" si="6"/>
        <v>0</v>
      </c>
      <c r="Q113" s="915"/>
      <c r="R113" s="39"/>
      <c r="S113" s="190"/>
      <c r="T113" s="198"/>
      <c r="U113" s="199"/>
      <c r="V113" s="200"/>
      <c r="W113" s="41"/>
      <c r="X113" s="42"/>
    </row>
    <row r="114" spans="2:24" ht="24.75" thickTop="1" thickBot="1" x14ac:dyDescent="0.4">
      <c r="B114" s="696"/>
      <c r="C114" s="202"/>
      <c r="F114" s="187">
        <f t="shared" si="8"/>
        <v>0</v>
      </c>
      <c r="G114" s="204"/>
      <c r="K114" s="540">
        <v>0</v>
      </c>
      <c r="L114" s="21">
        <f t="shared" si="7"/>
        <v>0</v>
      </c>
      <c r="M114" s="206"/>
      <c r="O114" s="206"/>
      <c r="P114" s="824">
        <f t="shared" si="6"/>
        <v>0</v>
      </c>
      <c r="Q114" s="915"/>
      <c r="R114" s="39"/>
      <c r="S114" s="190"/>
      <c r="T114" s="198"/>
      <c r="U114" s="199"/>
      <c r="V114" s="200"/>
      <c r="W114" s="41"/>
      <c r="X114" s="42"/>
    </row>
    <row r="115" spans="2:24" ht="24.75" thickTop="1" thickBot="1" x14ac:dyDescent="0.35">
      <c r="B115" s="696"/>
      <c r="C115" s="202"/>
      <c r="F115" s="187" t="e">
        <f t="shared" si="8"/>
        <v>#VALUE!</v>
      </c>
      <c r="G115" s="204"/>
      <c r="H115" s="997" t="s">
        <v>23</v>
      </c>
      <c r="I115" s="997"/>
      <c r="J115" s="998"/>
      <c r="K115" s="671">
        <f>SUM(K8:K114)</f>
        <v>244058.63999999996</v>
      </c>
      <c r="L115" s="207"/>
      <c r="M115" s="206"/>
      <c r="N115" s="208"/>
      <c r="O115" s="206"/>
      <c r="P115" s="824">
        <f t="shared" si="6"/>
        <v>0</v>
      </c>
      <c r="Q115" s="915"/>
      <c r="R115" s="39"/>
      <c r="S115" s="190"/>
      <c r="T115" s="198"/>
      <c r="U115" s="209"/>
      <c r="V115" s="192"/>
      <c r="W115" s="193"/>
      <c r="X115" s="42"/>
    </row>
    <row r="116" spans="2:24" ht="24.75" thickTop="1" thickBot="1" x14ac:dyDescent="0.35">
      <c r="B116" s="697"/>
      <c r="C116" s="202"/>
      <c r="F116" s="187">
        <f t="shared" si="8"/>
        <v>0</v>
      </c>
      <c r="G116" s="204"/>
      <c r="K116" s="672"/>
      <c r="L116" s="207"/>
      <c r="M116" s="206"/>
      <c r="N116" s="208"/>
      <c r="O116" s="206"/>
      <c r="P116" s="824">
        <f t="shared" si="6"/>
        <v>0</v>
      </c>
      <c r="Q116" s="916"/>
      <c r="S116" s="13"/>
      <c r="T116" s="211"/>
      <c r="U116" s="212"/>
      <c r="V116" s="213"/>
      <c r="X116" s="16"/>
    </row>
    <row r="117" spans="2:24" ht="24.75" thickTop="1" thickBot="1" x14ac:dyDescent="0.4">
      <c r="B117" s="696"/>
      <c r="C117" s="202"/>
      <c r="F117" s="187">
        <f t="shared" si="8"/>
        <v>0</v>
      </c>
      <c r="G117" s="204"/>
      <c r="L117" s="215"/>
      <c r="M117" s="206"/>
      <c r="O117" s="206"/>
      <c r="P117" s="824">
        <f t="shared" si="6"/>
        <v>0</v>
      </c>
      <c r="Q117" s="916"/>
      <c r="S117" s="13"/>
      <c r="T117" s="211"/>
      <c r="U117" s="212"/>
      <c r="V117" s="213"/>
      <c r="X117" s="16"/>
    </row>
    <row r="118" spans="2:24" ht="24.75" thickTop="1" thickBot="1" x14ac:dyDescent="0.4">
      <c r="B118" s="696"/>
      <c r="C118" s="202"/>
      <c r="F118" s="187">
        <f t="shared" si="8"/>
        <v>0</v>
      </c>
      <c r="G118" s="204"/>
      <c r="L118" s="215"/>
      <c r="M118" s="216"/>
      <c r="P118" s="824">
        <f t="shared" si="6"/>
        <v>0</v>
      </c>
      <c r="S118" s="13"/>
      <c r="T118" s="211"/>
      <c r="U118" s="212"/>
      <c r="V118" s="218"/>
      <c r="X118" s="16"/>
    </row>
    <row r="119" spans="2:24" ht="24.75" thickTop="1" thickBot="1" x14ac:dyDescent="0.4">
      <c r="B119" s="696"/>
      <c r="J119" s="715"/>
      <c r="K119" s="673" t="s">
        <v>24</v>
      </c>
      <c r="L119" s="221"/>
      <c r="M119" s="221"/>
      <c r="N119" s="222">
        <f>SUM(N112:N118)</f>
        <v>0</v>
      </c>
      <c r="O119" s="223"/>
      <c r="P119" s="830">
        <f>SUM(P8:P118)</f>
        <v>10330396.524999997</v>
      </c>
      <c r="Q119" s="918"/>
      <c r="S119" s="226">
        <f>SUM(S8:S118)</f>
        <v>94760</v>
      </c>
      <c r="T119" s="188"/>
      <c r="U119" s="227">
        <f>SUM(U30:U118)</f>
        <v>28000</v>
      </c>
      <c r="V119" s="228"/>
      <c r="W119" s="229"/>
      <c r="X119" s="230">
        <f>SUM(X112:X118)</f>
        <v>0</v>
      </c>
    </row>
    <row r="120" spans="2:24" x14ac:dyDescent="0.35">
      <c r="B120" s="696"/>
      <c r="J120" s="715"/>
      <c r="K120" s="674"/>
      <c r="L120" s="231"/>
      <c r="M120" s="232"/>
      <c r="O120" s="232"/>
      <c r="P120" s="831"/>
      <c r="Q120" s="918"/>
      <c r="T120" s="211"/>
      <c r="U120" s="234"/>
      <c r="W120" s="236"/>
      <c r="X120"/>
    </row>
    <row r="121" spans="2:24" ht="24" thickBot="1" x14ac:dyDescent="0.4">
      <c r="B121" s="696"/>
      <c r="J121" s="715"/>
      <c r="K121" s="674"/>
      <c r="L121" s="231"/>
      <c r="M121" s="232"/>
      <c r="O121" s="232"/>
      <c r="P121" s="831"/>
      <c r="Q121" s="918"/>
      <c r="T121" s="211"/>
      <c r="U121" s="234"/>
      <c r="W121" s="236"/>
      <c r="X121"/>
    </row>
    <row r="122" spans="2:24" ht="24" thickTop="1" x14ac:dyDescent="0.25">
      <c r="B122" s="696"/>
      <c r="K122" s="675" t="s">
        <v>25</v>
      </c>
      <c r="L122" s="237"/>
      <c r="M122" s="237"/>
      <c r="N122" s="238"/>
      <c r="O122" s="239"/>
      <c r="P122" s="832">
        <f>X119+U119+S119+P119+N119</f>
        <v>10453156.524999997</v>
      </c>
      <c r="Q122" s="919"/>
      <c r="T122" s="211"/>
      <c r="U122" s="234"/>
      <c r="W122" s="236"/>
      <c r="X122"/>
    </row>
    <row r="123" spans="2:24" ht="24" thickBot="1" x14ac:dyDescent="0.3">
      <c r="B123" s="696"/>
      <c r="K123" s="676"/>
      <c r="L123" s="242"/>
      <c r="M123" s="242"/>
      <c r="N123" s="243"/>
      <c r="O123" s="244"/>
      <c r="P123" s="833"/>
      <c r="Q123" s="920"/>
      <c r="T123" s="211"/>
      <c r="U123" s="234"/>
      <c r="W123" s="236"/>
      <c r="X123"/>
    </row>
    <row r="124" spans="2:24" ht="24" thickTop="1" x14ac:dyDescent="0.35">
      <c r="B124" s="696"/>
      <c r="K124" s="674"/>
      <c r="L124" s="231"/>
      <c r="M124" s="232"/>
      <c r="O124" s="232"/>
      <c r="P124" s="831"/>
      <c r="Q124" s="918"/>
      <c r="T124" s="211"/>
      <c r="U124" s="234"/>
      <c r="W124" s="236"/>
      <c r="X124"/>
    </row>
    <row r="125" spans="2:24" x14ac:dyDescent="0.35">
      <c r="B125" s="696"/>
      <c r="K125" s="674"/>
      <c r="L125" s="231"/>
      <c r="M125" s="232"/>
      <c r="O125" s="232"/>
      <c r="P125" s="831"/>
      <c r="Q125" s="918"/>
      <c r="T125" s="211"/>
      <c r="U125" s="234"/>
      <c r="W125" s="236"/>
      <c r="X125"/>
    </row>
    <row r="126" spans="2:24" x14ac:dyDescent="0.35">
      <c r="B126" s="696"/>
      <c r="K126" s="674"/>
      <c r="L126" s="247"/>
      <c r="M126" s="232"/>
      <c r="O126" s="232"/>
      <c r="P126" s="831"/>
      <c r="Q126" s="918"/>
      <c r="T126" s="211"/>
      <c r="U126" s="234"/>
      <c r="W126" s="236"/>
      <c r="X126"/>
    </row>
    <row r="127" spans="2:24" x14ac:dyDescent="0.35">
      <c r="B127" s="696"/>
      <c r="P127" s="831"/>
      <c r="T127" s="211"/>
      <c r="U127" s="234"/>
      <c r="W127" s="236"/>
      <c r="X127"/>
    </row>
    <row r="128" spans="2:24" x14ac:dyDescent="0.35">
      <c r="B128" s="696"/>
      <c r="U128" s="234"/>
      <c r="W128" s="236"/>
      <c r="X128"/>
    </row>
    <row r="129" spans="2:24" x14ac:dyDescent="0.35">
      <c r="B129" s="696"/>
      <c r="C129" s="202"/>
      <c r="P129" s="831"/>
      <c r="Q129" s="918"/>
      <c r="U129" s="234"/>
      <c r="W129" s="236"/>
      <c r="X129"/>
    </row>
    <row r="130" spans="2:24" x14ac:dyDescent="0.35">
      <c r="B130" s="696"/>
      <c r="C130" s="202"/>
      <c r="P130" s="831"/>
      <c r="Q130" s="918"/>
      <c r="U130" s="234"/>
      <c r="W130" s="236"/>
      <c r="X130"/>
    </row>
    <row r="131" spans="2:24" x14ac:dyDescent="0.35">
      <c r="B131" s="696"/>
      <c r="C131" s="202"/>
      <c r="K131" s="674"/>
      <c r="L131" s="231"/>
      <c r="M131" s="232"/>
      <c r="O131" s="232"/>
      <c r="P131" s="831"/>
      <c r="Q131" s="918"/>
      <c r="U131" s="234"/>
      <c r="W131" s="236"/>
      <c r="X131"/>
    </row>
    <row r="132" spans="2:24" x14ac:dyDescent="0.35">
      <c r="B132" s="696"/>
      <c r="C132" s="202"/>
      <c r="K132" s="674"/>
      <c r="L132" s="231"/>
      <c r="M132" s="232"/>
      <c r="O132" s="232"/>
      <c r="P132" s="831"/>
      <c r="Q132" s="918"/>
      <c r="U132" s="234"/>
      <c r="W132" s="236"/>
      <c r="X132"/>
    </row>
    <row r="133" spans="2:24" x14ac:dyDescent="0.35">
      <c r="B133" s="696"/>
      <c r="C133" s="202"/>
      <c r="L133" s="229"/>
      <c r="M133" s="229"/>
      <c r="P133" s="831"/>
      <c r="Q133" s="918"/>
      <c r="U133" s="234"/>
      <c r="W133" s="236"/>
      <c r="X133"/>
    </row>
    <row r="134" spans="2:24" x14ac:dyDescent="0.35">
      <c r="B134" s="696"/>
      <c r="U134" s="234"/>
      <c r="W134" s="236"/>
      <c r="X134"/>
    </row>
    <row r="135" spans="2:24" x14ac:dyDescent="0.35">
      <c r="B135" s="696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820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820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696"/>
      <c r="C138" s="251"/>
      <c r="D138" s="636"/>
      <c r="E138" s="251"/>
      <c r="F138" s="253"/>
      <c r="G138" s="254"/>
      <c r="H138" s="665"/>
      <c r="I138" s="820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6"/>
      <c r="C139" s="251"/>
      <c r="D139" s="636"/>
      <c r="E139" s="251"/>
      <c r="F139" s="253"/>
      <c r="G139" s="254"/>
      <c r="H139" s="665"/>
      <c r="I139" s="820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395"/>
      <c r="C140" s="251"/>
      <c r="D140" s="636"/>
      <c r="E140" s="251"/>
      <c r="F140" s="253"/>
      <c r="G140" s="254"/>
      <c r="H140" s="665"/>
      <c r="I140" s="820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7"/>
      <c r="C141" s="251"/>
      <c r="D141" s="636"/>
      <c r="E141" s="251"/>
      <c r="F141" s="253"/>
      <c r="G141" s="254"/>
      <c r="H141" s="665"/>
      <c r="I141" s="820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820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820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820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820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20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636"/>
      <c r="E147" s="251"/>
      <c r="F147" s="253"/>
      <c r="G147" s="254"/>
      <c r="H147" s="665"/>
      <c r="I147" s="820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636"/>
      <c r="E148" s="251"/>
      <c r="F148" s="253"/>
      <c r="G148" s="254"/>
      <c r="H148" s="665"/>
      <c r="I148" s="820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</sheetData>
  <mergeCells count="55">
    <mergeCell ref="I86:I87"/>
    <mergeCell ref="J86:J87"/>
    <mergeCell ref="U81:U82"/>
    <mergeCell ref="B83:B85"/>
    <mergeCell ref="D83:D85"/>
    <mergeCell ref="V81:V82"/>
    <mergeCell ref="B81:B82"/>
    <mergeCell ref="D81:D82"/>
    <mergeCell ref="I81:I82"/>
    <mergeCell ref="J81:J82"/>
    <mergeCell ref="Q81:Q82"/>
    <mergeCell ref="N14:O14"/>
    <mergeCell ref="N15:O15"/>
    <mergeCell ref="I83:I85"/>
    <mergeCell ref="R73:R76"/>
    <mergeCell ref="N16:O16"/>
    <mergeCell ref="Q77:Q78"/>
    <mergeCell ref="R77:R78"/>
    <mergeCell ref="R81:R82"/>
    <mergeCell ref="J83:J85"/>
    <mergeCell ref="Q83:Q85"/>
    <mergeCell ref="R83:R85"/>
    <mergeCell ref="N18:O18"/>
    <mergeCell ref="B1:L2"/>
    <mergeCell ref="U1:V2"/>
    <mergeCell ref="Y1:Z1"/>
    <mergeCell ref="Q3:R3"/>
    <mergeCell ref="Q73:Q76"/>
    <mergeCell ref="Y73:Y76"/>
    <mergeCell ref="Z73:Z76"/>
    <mergeCell ref="Q71:Q72"/>
    <mergeCell ref="R71:R72"/>
    <mergeCell ref="D15:D16"/>
    <mergeCell ref="N11:O11"/>
    <mergeCell ref="N12:O12"/>
    <mergeCell ref="N10:O10"/>
    <mergeCell ref="N13:O13"/>
    <mergeCell ref="N9:O9"/>
    <mergeCell ref="N17:O17"/>
    <mergeCell ref="H115:J115"/>
    <mergeCell ref="D4:D5"/>
    <mergeCell ref="B73:B76"/>
    <mergeCell ref="D73:D76"/>
    <mergeCell ref="I73:I76"/>
    <mergeCell ref="J73:J76"/>
    <mergeCell ref="B71:B72"/>
    <mergeCell ref="D71:D72"/>
    <mergeCell ref="I71:I72"/>
    <mergeCell ref="J71:J72"/>
    <mergeCell ref="B77:B78"/>
    <mergeCell ref="D77:D78"/>
    <mergeCell ref="I77:I78"/>
    <mergeCell ref="J77:J78"/>
    <mergeCell ref="B86:B87"/>
    <mergeCell ref="D86:D8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C52"/>
  <sheetViews>
    <sheetView tabSelected="1" topLeftCell="G1" workbookViewId="0">
      <selection activeCell="Q11" sqref="Q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6" bestFit="1" customWidth="1"/>
    <col min="7" max="7" width="7.28515625" style="99" customWidth="1"/>
    <col min="8" max="8" width="14.7109375" style="766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57</v>
      </c>
      <c r="C1" s="261"/>
      <c r="D1" s="262"/>
      <c r="E1" s="263"/>
      <c r="F1" s="759"/>
      <c r="G1" s="264"/>
      <c r="H1" s="759"/>
      <c r="I1" s="265"/>
      <c r="J1" s="266"/>
      <c r="K1" s="1118" t="s">
        <v>26</v>
      </c>
      <c r="L1" s="267"/>
      <c r="M1" s="1120" t="s">
        <v>27</v>
      </c>
      <c r="N1" s="268"/>
      <c r="P1" s="887" t="s">
        <v>28</v>
      </c>
      <c r="Q1" s="1122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60" t="s">
        <v>32</v>
      </c>
      <c r="G2" s="277" t="s">
        <v>33</v>
      </c>
      <c r="H2" s="767" t="s">
        <v>34</v>
      </c>
      <c r="I2" s="278" t="s">
        <v>35</v>
      </c>
      <c r="J2" s="279"/>
      <c r="K2" s="1119"/>
      <c r="L2" s="885" t="s">
        <v>36</v>
      </c>
      <c r="M2" s="1121"/>
      <c r="N2" s="886" t="s">
        <v>36</v>
      </c>
      <c r="O2" s="282" t="s">
        <v>12</v>
      </c>
      <c r="P2" s="888" t="s">
        <v>37</v>
      </c>
      <c r="Q2" s="1123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1"/>
      <c r="G3" s="99"/>
      <c r="H3" s="768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 O M B O S  FEBRERO  2 0 2 4'!B4</f>
        <v>SAM FARMS</v>
      </c>
      <c r="C4" s="294" t="str">
        <f>'  C O M B O S  FEBRERO  2 0 2 4'!C4</f>
        <v xml:space="preserve">I B P </v>
      </c>
      <c r="D4" s="295" t="str">
        <f>'  C O M B O S  FEBRERO  2 0 2 4'!M5</f>
        <v>PED. 109299650</v>
      </c>
      <c r="E4" s="296">
        <f>'  C O M B O S  FEBRERO  2 0 2 4'!N5</f>
        <v>45325</v>
      </c>
      <c r="F4" s="762">
        <f>'  C O M B O S  FEBRERO  2 0 2 4'!O5</f>
        <v>18753.18</v>
      </c>
      <c r="G4" s="196">
        <f>'  C O M B O S  FEBRERO  2 0 2 4'!P5</f>
        <v>20</v>
      </c>
      <c r="H4" s="769">
        <f>'  C O M B O S  FEBRERO  2 0 2 4'!Q5</f>
        <v>18798.57</v>
      </c>
      <c r="I4" s="297">
        <f>H4-F4</f>
        <v>45.389999999999418</v>
      </c>
      <c r="J4" s="790">
        <f>'  C O M B O S  FEBRERO  2 0 2 4'!K6</f>
        <v>12040</v>
      </c>
      <c r="K4" s="299">
        <v>10451</v>
      </c>
      <c r="L4" s="300" t="s">
        <v>188</v>
      </c>
      <c r="M4" s="301">
        <v>35840</v>
      </c>
      <c r="N4" s="889" t="s">
        <v>178</v>
      </c>
      <c r="O4" s="783">
        <v>12465</v>
      </c>
      <c r="P4" s="304"/>
      <c r="Q4" s="786">
        <f>34585.85*17.134</f>
        <v>592593.95389999996</v>
      </c>
      <c r="R4" s="784" t="s">
        <v>178</v>
      </c>
      <c r="S4" s="292">
        <f>Q4</f>
        <v>592593.95389999996</v>
      </c>
      <c r="T4" s="292">
        <f>S4/H4</f>
        <v>31.523352781621153</v>
      </c>
      <c r="U4" s="306"/>
    </row>
    <row r="5" spans="1:29" s="236" customFormat="1" ht="40.5" customHeight="1" x14ac:dyDescent="0.3">
      <c r="A5" s="214">
        <v>2</v>
      </c>
      <c r="B5" s="307" t="str">
        <f>'  C O M B O S  FEBRERO  2 0 2 4'!U5</f>
        <v>SEABOARD FOODS</v>
      </c>
      <c r="C5" s="308" t="str">
        <f>'  C O M B O S  FEBRERO  2 0 2 4'!V5</f>
        <v>Seaboard</v>
      </c>
      <c r="D5" s="295" t="str">
        <f>'  C O M B O S  FEBRERO  2 0 2 4'!W5</f>
        <v>PED. 109423239</v>
      </c>
      <c r="E5" s="296">
        <f>'  C O M B O S  FEBRERO  2 0 2 4'!X5</f>
        <v>45330</v>
      </c>
      <c r="F5" s="763">
        <f>'  C O M B O S  FEBRERO  2 0 2 4'!Y5</f>
        <v>18874.650000000001</v>
      </c>
      <c r="G5" s="309">
        <f>'  C O M B O S  FEBRERO  2 0 2 4'!Z5</f>
        <v>21</v>
      </c>
      <c r="H5" s="770">
        <f>'  C O M B O S  FEBRERO  2 0 2 4'!AA5</f>
        <v>18893.2</v>
      </c>
      <c r="I5" s="297">
        <f t="shared" ref="I5:I35" si="1">H5-F5</f>
        <v>18.549999999999272</v>
      </c>
      <c r="J5" s="791" t="str">
        <f>'  C O M B O S  FEBRERO  2 0 2 4'!U6</f>
        <v>CICSE24-05</v>
      </c>
      <c r="K5" s="311">
        <v>10451</v>
      </c>
      <c r="L5" s="312" t="s">
        <v>189</v>
      </c>
      <c r="M5" s="301">
        <v>35840</v>
      </c>
      <c r="N5" s="782" t="s">
        <v>190</v>
      </c>
      <c r="O5" s="785">
        <v>2272320</v>
      </c>
      <c r="P5" s="304"/>
      <c r="Q5" s="883">
        <f>35733.25*17.152</f>
        <v>612896.70400000003</v>
      </c>
      <c r="R5" s="884" t="s">
        <v>177</v>
      </c>
      <c r="S5" s="292">
        <f>Q5+M5+K5+P5</f>
        <v>659187.70400000003</v>
      </c>
      <c r="T5" s="292">
        <f>S5/H5+0.1</f>
        <v>34.9902093875045</v>
      </c>
      <c r="U5" s="313"/>
    </row>
    <row r="6" spans="1:29" s="236" customFormat="1" ht="30" customHeight="1" x14ac:dyDescent="0.3">
      <c r="A6" s="214">
        <v>3</v>
      </c>
      <c r="B6" s="307" t="str">
        <f>'  C O M B O S  FEBRERO  2 0 2 4'!AE5</f>
        <v xml:space="preserve">SAM FARMS </v>
      </c>
      <c r="C6" s="308" t="str">
        <f>'  C O M B O S  FEBRERO  2 0 2 4'!AF5</f>
        <v xml:space="preserve">I B P </v>
      </c>
      <c r="D6" s="295" t="str">
        <f>'  C O M B O S  FEBRERO  2 0 2 4'!AG5</f>
        <v xml:space="preserve">PED. </v>
      </c>
      <c r="E6" s="296">
        <f>'  C O M B O S  FEBRERO  2 0 2 4'!AH5</f>
        <v>45334</v>
      </c>
      <c r="F6" s="763">
        <f>'  C O M B O S  FEBRERO  2 0 2 4'!AI5</f>
        <v>18352.580000000002</v>
      </c>
      <c r="G6" s="309">
        <f>'  C O M B O S  FEBRERO  2 0 2 4'!AJ5</f>
        <v>20</v>
      </c>
      <c r="H6" s="770">
        <f>'  C O M B O S  FEBRERO  2 0 2 4'!AK5</f>
        <v>18383.11</v>
      </c>
      <c r="I6" s="310">
        <f t="shared" si="1"/>
        <v>30.529999999998836</v>
      </c>
      <c r="J6" s="792">
        <f>'  C O M B O S  FEBRERO  2 0 2 4'!AE6</f>
        <v>12171</v>
      </c>
      <c r="K6" s="299">
        <v>12751</v>
      </c>
      <c r="L6" s="300" t="s">
        <v>191</v>
      </c>
      <c r="M6" s="301">
        <v>43680</v>
      </c>
      <c r="N6" s="782" t="s">
        <v>192</v>
      </c>
      <c r="O6" s="928">
        <v>12486</v>
      </c>
      <c r="P6" s="304"/>
      <c r="Q6" s="81">
        <f>34586.6*17.117</f>
        <v>592018.83220000006</v>
      </c>
      <c r="R6" s="787" t="s">
        <v>198</v>
      </c>
      <c r="S6" s="292">
        <f t="shared" si="0"/>
        <v>648449.83220000006</v>
      </c>
      <c r="T6" s="292">
        <f>S6/H6+0</f>
        <v>35.274218138280197</v>
      </c>
      <c r="U6" s="306"/>
    </row>
    <row r="7" spans="1:29" s="236" customFormat="1" ht="34.5" customHeight="1" x14ac:dyDescent="0.35">
      <c r="A7" s="214">
        <v>4</v>
      </c>
      <c r="B7" s="307" t="str">
        <f>'  C O M B O S  FEBRERO  2 0 2 4'!AO5</f>
        <v>SEABOARD FOODS</v>
      </c>
      <c r="C7" s="308" t="str">
        <f>'  C O M B O S  FEBRERO  2 0 2 4'!AP5</f>
        <v>Seaboard</v>
      </c>
      <c r="D7" s="295" t="str">
        <f>'  C O M B O S  FEBRERO  2 0 2 4'!AQ5</f>
        <v>PED. 109642961</v>
      </c>
      <c r="E7" s="296">
        <f>'  C O M B O S  FEBRERO  2 0 2 4'!AR5</f>
        <v>45335</v>
      </c>
      <c r="F7" s="763">
        <f>'  C O M B O S  FEBRERO  2 0 2 4'!AS5</f>
        <v>18982.18</v>
      </c>
      <c r="G7" s="309">
        <f>'  C O M B O S  FEBRERO  2 0 2 4'!AT5</f>
        <v>21</v>
      </c>
      <c r="H7" s="770">
        <f>'  C O M B O S  FEBRERO  2 0 2 4'!AU5</f>
        <v>19011.7</v>
      </c>
      <c r="I7" s="310">
        <f t="shared" si="1"/>
        <v>29.520000000000437</v>
      </c>
      <c r="J7" s="793" t="str">
        <f>'  C O M B O S  FEBRERO  2 0 2 4'!AO6</f>
        <v>CICSE24-06</v>
      </c>
      <c r="K7" s="299">
        <v>12601</v>
      </c>
      <c r="L7" s="300" t="s">
        <v>192</v>
      </c>
      <c r="M7" s="301">
        <v>35840</v>
      </c>
      <c r="N7" s="782" t="s">
        <v>193</v>
      </c>
      <c r="O7" s="783">
        <v>2274646</v>
      </c>
      <c r="P7" s="304"/>
      <c r="Q7" s="81">
        <f>37630.39*17.083</f>
        <v>642839.95236999996</v>
      </c>
      <c r="R7" s="784" t="s">
        <v>182</v>
      </c>
      <c r="S7" s="292">
        <f t="shared" si="0"/>
        <v>691280.95236999996</v>
      </c>
      <c r="T7" s="292">
        <f t="shared" ref="T7:T35" si="2">S7/H7+0.1</f>
        <v>36.460817410857523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  C O M B O S  FEBRERO  2 0 2 4'!AY5</f>
        <v xml:space="preserve">SAM FARMS </v>
      </c>
      <c r="C8" s="320" t="str">
        <f>'  C O M B O S  FEBRERO  2 0 2 4'!AZ5</f>
        <v xml:space="preserve">I B P </v>
      </c>
      <c r="D8" s="295" t="str">
        <f>'  C O M B O S  FEBRERO  2 0 2 4'!BA5</f>
        <v xml:space="preserve">PED. </v>
      </c>
      <c r="E8" s="296">
        <f>'  C O M B O S  FEBRERO  2 0 2 4'!BB5</f>
        <v>45338</v>
      </c>
      <c r="F8" s="763">
        <f>'  C O M B O S  FEBRERO  2 0 2 4'!BC5</f>
        <v>18531.03</v>
      </c>
      <c r="G8" s="309">
        <f>'  C O M B O S  FEBRERO  2 0 2 4'!BD5</f>
        <v>20</v>
      </c>
      <c r="H8" s="770">
        <f>'  C O M B O S  FEBRERO  2 0 2 4'!BE5</f>
        <v>18618.47</v>
      </c>
      <c r="I8" s="310">
        <f t="shared" si="1"/>
        <v>87.440000000002328</v>
      </c>
      <c r="J8" s="794">
        <f>'  C O M B O S  FEBRERO  2 0 2 4'!AY6</f>
        <v>12174</v>
      </c>
      <c r="K8" s="299">
        <v>12751</v>
      </c>
      <c r="L8" s="322" t="s">
        <v>211</v>
      </c>
      <c r="M8" s="301">
        <v>35840</v>
      </c>
      <c r="N8" s="782" t="s">
        <v>212</v>
      </c>
      <c r="O8" s="788">
        <v>12506</v>
      </c>
      <c r="P8" s="304"/>
      <c r="Q8" s="81">
        <f>35948.96*17.088</f>
        <v>614295.82848000003</v>
      </c>
      <c r="R8" s="784" t="s">
        <v>211</v>
      </c>
      <c r="S8" s="292">
        <f t="shared" si="0"/>
        <v>662886.82848000003</v>
      </c>
      <c r="T8" s="292">
        <f t="shared" si="2"/>
        <v>35.703721921296435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  C O M B O S  FEBRERO  2 0 2 4'!BI5</f>
        <v>SEABOARD FOODS</v>
      </c>
      <c r="C9" s="308" t="str">
        <f>'  C O M B O S  FEBRERO  2 0 2 4'!BJ5</f>
        <v>Seaboard</v>
      </c>
      <c r="D9" s="295" t="str">
        <f>'  C O M B O S  FEBRERO  2 0 2 4'!BK5</f>
        <v>PED. 109976095</v>
      </c>
      <c r="E9" s="296">
        <f>'  C O M B O S  FEBRERO  2 0 2 4'!BL5</f>
        <v>45342</v>
      </c>
      <c r="F9" s="763">
        <f>'  C O M B O S  FEBRERO  2 0 2 4'!BM5</f>
        <v>19023.34</v>
      </c>
      <c r="G9" s="309">
        <f>'  C O M B O S  FEBRERO  2 0 2 4'!BN5</f>
        <v>21</v>
      </c>
      <c r="H9" s="770">
        <f>'  C O M B O S  FEBRERO  2 0 2 4'!BO5</f>
        <v>19032.3</v>
      </c>
      <c r="I9" s="310">
        <f t="shared" si="1"/>
        <v>8.9599999999991269</v>
      </c>
      <c r="J9" s="794" t="str">
        <f>'  C O M B O S  FEBRERO  2 0 2 4'!BI6</f>
        <v>CICSE24-07</v>
      </c>
      <c r="K9" s="299">
        <v>12601</v>
      </c>
      <c r="L9" s="323" t="s">
        <v>213</v>
      </c>
      <c r="M9" s="301">
        <v>35840</v>
      </c>
      <c r="N9" s="789" t="s">
        <v>206</v>
      </c>
      <c r="O9" s="783">
        <v>2278022</v>
      </c>
      <c r="P9" s="304"/>
      <c r="Q9" s="86">
        <f>40170.59*17.083</f>
        <v>686234.1889699999</v>
      </c>
      <c r="R9" s="787" t="s">
        <v>204</v>
      </c>
      <c r="S9" s="292">
        <f>Q9+M9+K9</f>
        <v>734675.1889699999</v>
      </c>
      <c r="T9" s="292">
        <f t="shared" si="2"/>
        <v>38.701492671405973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 O M B O S  FEBRERO  2 0 2 4'!BT5</f>
        <v xml:space="preserve">I B P </v>
      </c>
      <c r="D10" s="295" t="str">
        <f>'  C O M B O S  FEBRERO  2 0 2 4'!BU5</f>
        <v xml:space="preserve">PED. </v>
      </c>
      <c r="E10" s="296">
        <f>'  C O M B O S  FEBRERO  2 0 2 4'!BV5</f>
        <v>45345</v>
      </c>
      <c r="F10" s="763">
        <f>'  C O M B O S  FEBRERO  2 0 2 4'!BW5</f>
        <v>18270.87</v>
      </c>
      <c r="G10" s="309">
        <f>'  C O M B O S  FEBRERO  2 0 2 4'!BX5</f>
        <v>20</v>
      </c>
      <c r="H10" s="770">
        <f>'  C O M B O S  FEBRERO  2 0 2 4'!BY5</f>
        <v>18376.73</v>
      </c>
      <c r="I10" s="310">
        <f t="shared" si="1"/>
        <v>105.86000000000058</v>
      </c>
      <c r="J10" s="794">
        <f>'  C O M B O S  FEBRERO  2 0 2 4'!BS6</f>
        <v>12177</v>
      </c>
      <c r="K10" s="299">
        <v>10451</v>
      </c>
      <c r="L10" s="323" t="s">
        <v>227</v>
      </c>
      <c r="M10" s="301">
        <v>35840</v>
      </c>
      <c r="N10" s="789" t="s">
        <v>228</v>
      </c>
      <c r="O10" s="783">
        <v>12526</v>
      </c>
      <c r="P10" s="304"/>
      <c r="Q10" s="786">
        <f>40238.5*17.111</f>
        <v>688520.97350000008</v>
      </c>
      <c r="R10" s="787" t="s">
        <v>226</v>
      </c>
      <c r="S10" s="292">
        <f>Q10+M10+K10</f>
        <v>734811.97350000008</v>
      </c>
      <c r="T10" s="292">
        <f t="shared" si="2"/>
        <v>40.086002596762327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20" t="str">
        <f>'  C O M B O S  FEBRERO  2 0 2 4'!CC5</f>
        <v>SEABOARD FOODS</v>
      </c>
      <c r="C11" s="308" t="str">
        <f>'  C O M B O S  FEBRERO  2 0 2 4'!CD5</f>
        <v>Seaboard</v>
      </c>
      <c r="D11" s="295" t="str">
        <f>'  C O M B O S  FEBRERO  2 0 2 4'!CE5</f>
        <v>PED. 110306192</v>
      </c>
      <c r="E11" s="296">
        <f>'  C O M B O S  FEBRERO  2 0 2 4'!CF5</f>
        <v>45349</v>
      </c>
      <c r="F11" s="763">
        <f>'  C O M B O S  FEBRERO  2 0 2 4'!CG5</f>
        <v>18735.830000000002</v>
      </c>
      <c r="G11" s="309">
        <f>'  C O M B O S  FEBRERO  2 0 2 4'!CH5</f>
        <v>21</v>
      </c>
      <c r="H11" s="770">
        <f>'  C O M B O S  FEBRERO  2 0 2 4'!CI5</f>
        <v>18799.599999999999</v>
      </c>
      <c r="I11" s="310">
        <f t="shared" si="1"/>
        <v>63.769999999996799</v>
      </c>
      <c r="J11" s="794" t="str">
        <f>'  C O M B O S  FEBRERO  2 0 2 4'!CC6</f>
        <v>CICSE24-08</v>
      </c>
      <c r="K11" s="299">
        <v>12601</v>
      </c>
      <c r="L11" s="323" t="s">
        <v>242</v>
      </c>
      <c r="M11" s="301">
        <v>35840</v>
      </c>
      <c r="N11" s="789" t="s">
        <v>243</v>
      </c>
      <c r="O11" s="788">
        <v>2280422</v>
      </c>
      <c r="P11" s="304"/>
      <c r="Q11" s="786">
        <f>41193.18*17.073</f>
        <v>703291.16214000003</v>
      </c>
      <c r="R11" s="787" t="s">
        <v>244</v>
      </c>
      <c r="S11" s="292">
        <f t="shared" si="0"/>
        <v>751732.16214000003</v>
      </c>
      <c r="T11" s="292">
        <f t="shared" si="2"/>
        <v>40.086604084129455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3"/>
      <c r="G12" s="309"/>
      <c r="H12" s="770"/>
      <c r="I12" s="297">
        <f t="shared" si="1"/>
        <v>0</v>
      </c>
      <c r="J12" s="795"/>
      <c r="K12" s="299"/>
      <c r="L12" s="300"/>
      <c r="M12" s="301"/>
      <c r="N12" s="789"/>
      <c r="O12" s="788"/>
      <c r="P12" s="304"/>
      <c r="Q12" s="304"/>
      <c r="R12" s="787"/>
      <c r="S12" s="292">
        <f>Q12+M12+K12</f>
        <v>0</v>
      </c>
      <c r="T12" s="292" t="e">
        <f t="shared" si="2"/>
        <v>#DIV/0!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3"/>
      <c r="G13" s="309"/>
      <c r="H13" s="770"/>
      <c r="I13" s="297">
        <f t="shared" si="1"/>
        <v>0</v>
      </c>
      <c r="J13" s="796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3"/>
      <c r="G14" s="309"/>
      <c r="H14" s="770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3"/>
      <c r="G15" s="309"/>
      <c r="H15" s="770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3"/>
      <c r="G16" s="309"/>
      <c r="H16" s="770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3"/>
      <c r="G17" s="309"/>
      <c r="H17" s="770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3"/>
      <c r="G18" s="309"/>
      <c r="H18" s="770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4"/>
      <c r="G19" s="139"/>
      <c r="H19" s="771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4"/>
      <c r="G20" s="139"/>
      <c r="H20" s="771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4"/>
      <c r="G21" s="139"/>
      <c r="H21" s="771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4"/>
      <c r="G22" s="139"/>
      <c r="H22" s="771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4"/>
      <c r="G23" s="139"/>
      <c r="H23" s="771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4"/>
      <c r="G24" s="139"/>
      <c r="H24" s="771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4"/>
      <c r="G25" s="139"/>
      <c r="H25" s="771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4"/>
      <c r="G26" s="359"/>
      <c r="H26" s="771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4"/>
      <c r="G27" s="359"/>
      <c r="H27" s="771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4"/>
      <c r="G28" s="359"/>
      <c r="H28" s="771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4"/>
      <c r="G29" s="359"/>
      <c r="H29" s="771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3"/>
      <c r="G30" s="366"/>
      <c r="H30" s="770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3"/>
      <c r="G31" s="366"/>
      <c r="H31" s="770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3"/>
      <c r="G32" s="366"/>
      <c r="H32" s="770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2"/>
      <c r="G33" s="374"/>
      <c r="H33" s="769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2"/>
      <c r="G34" s="374"/>
      <c r="H34" s="769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2"/>
      <c r="G35" s="196"/>
      <c r="H35" s="769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1"/>
      <c r="G36" s="382"/>
      <c r="H36" s="768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1"/>
      <c r="G37" s="382"/>
      <c r="H37" s="768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1"/>
      <c r="G38" s="99"/>
      <c r="H38" s="768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1"/>
      <c r="G39" s="99"/>
      <c r="H39" s="768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1"/>
      <c r="G40" s="99"/>
      <c r="H40" s="768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1"/>
      <c r="G41" s="99"/>
      <c r="H41" s="768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1"/>
      <c r="G42" s="99"/>
      <c r="H42" s="768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1"/>
      <c r="G43" s="99"/>
      <c r="H43" s="768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1"/>
      <c r="G44" s="99"/>
      <c r="H44" s="768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1"/>
      <c r="G45" s="99"/>
      <c r="H45" s="768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1"/>
      <c r="G46" s="99"/>
      <c r="H46" s="768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1"/>
      <c r="G47" s="99"/>
      <c r="H47" s="768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1"/>
      <c r="G48" s="99"/>
      <c r="H48" s="768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1"/>
      <c r="G49" s="99"/>
      <c r="H49" s="768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1"/>
      <c r="G50" s="99"/>
      <c r="H50" s="768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5" t="s">
        <v>38</v>
      </c>
      <c r="G51" s="405">
        <f>SUM(G5:G50)</f>
        <v>144</v>
      </c>
      <c r="H51" s="772">
        <f>SUM(H3:H50)</f>
        <v>149913.68000000002</v>
      </c>
      <c r="I51" s="406">
        <f>[1]PIERNA!I37</f>
        <v>0</v>
      </c>
      <c r="J51" s="407"/>
      <c r="K51" s="408">
        <f>SUM(K5:K50)</f>
        <v>84207</v>
      </c>
      <c r="L51" s="409"/>
      <c r="M51" s="408">
        <f>SUM(M5:M50)</f>
        <v>258720</v>
      </c>
      <c r="N51" s="410"/>
      <c r="O51" s="411"/>
      <c r="P51" s="412"/>
      <c r="Q51" s="413">
        <f>SUM(Q5:Q50)</f>
        <v>4540097.6416600002</v>
      </c>
      <c r="R51" s="730"/>
      <c r="S51" s="414">
        <f>Q51+M51+K51</f>
        <v>4883024.6416600002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6"/>
      <c r="G52" s="99"/>
      <c r="H52" s="766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HA43"/>
  <sheetViews>
    <sheetView topLeftCell="BZ1" workbookViewId="0">
      <selection activeCell="CC10" sqref="CC10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6.42578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6" width="11.42578125" style="283"/>
    <col min="27" max="27" width="13.5703125" style="283" customWidth="1"/>
    <col min="28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6.42578125" style="283" bestFit="1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050" t="s">
        <v>154</v>
      </c>
      <c r="L1" s="1050"/>
      <c r="M1" s="1050"/>
      <c r="N1" s="1050"/>
      <c r="O1" s="1050"/>
      <c r="P1" s="1050"/>
      <c r="Q1" s="1050"/>
      <c r="R1" s="423">
        <f>I1+1</f>
        <v>1</v>
      </c>
      <c r="S1" s="423"/>
      <c r="U1" s="1049" t="str">
        <f>K1</f>
        <v>ENTRADAS DEL MES DE    FEBRERO     2024</v>
      </c>
      <c r="V1" s="1049"/>
      <c r="W1" s="1049"/>
      <c r="X1" s="1049"/>
      <c r="Y1" s="1049"/>
      <c r="Z1" s="1049"/>
      <c r="AA1" s="1049"/>
      <c r="AB1" s="423">
        <f>R1+1</f>
        <v>2</v>
      </c>
      <c r="AC1" s="424"/>
      <c r="AE1" s="1049" t="str">
        <f>U1</f>
        <v>ENTRADAS DEL MES DE    FEBRERO     2024</v>
      </c>
      <c r="AF1" s="1049"/>
      <c r="AG1" s="1049"/>
      <c r="AH1" s="1049"/>
      <c r="AI1" s="1049"/>
      <c r="AJ1" s="1049"/>
      <c r="AK1" s="1049"/>
      <c r="AL1" s="423">
        <f>AB1+1</f>
        <v>3</v>
      </c>
      <c r="AM1" s="423"/>
      <c r="AO1" s="1049" t="str">
        <f>AE1</f>
        <v>ENTRADAS DEL MES DE    FEBRERO     2024</v>
      </c>
      <c r="AP1" s="1049"/>
      <c r="AQ1" s="1049"/>
      <c r="AR1" s="1049"/>
      <c r="AS1" s="1049"/>
      <c r="AT1" s="1049"/>
      <c r="AU1" s="1049"/>
      <c r="AV1" s="423">
        <f>AL1+1</f>
        <v>4</v>
      </c>
      <c r="AW1" s="424"/>
      <c r="AY1" s="1049" t="str">
        <f>AO1</f>
        <v>ENTRADAS DEL MES DE    FEBRERO     2024</v>
      </c>
      <c r="AZ1" s="1049"/>
      <c r="BA1" s="1049"/>
      <c r="BB1" s="1049"/>
      <c r="BC1" s="1049"/>
      <c r="BD1" s="1049"/>
      <c r="BE1" s="1049"/>
      <c r="BF1" s="423">
        <f>AV1+1</f>
        <v>5</v>
      </c>
      <c r="BG1" s="424"/>
      <c r="BI1" s="1049" t="str">
        <f>AY1</f>
        <v>ENTRADAS DEL MES DE    FEBRERO     2024</v>
      </c>
      <c r="BJ1" s="1049"/>
      <c r="BK1" s="1049"/>
      <c r="BL1" s="1049"/>
      <c r="BM1" s="1049"/>
      <c r="BN1" s="1049"/>
      <c r="BO1" s="1049"/>
      <c r="BP1" s="423">
        <f>BF1+1</f>
        <v>6</v>
      </c>
      <c r="BQ1" s="424"/>
      <c r="BS1" s="1049" t="str">
        <f>BI1</f>
        <v>ENTRADAS DEL MES DE    FEBRERO     2024</v>
      </c>
      <c r="BT1" s="1049"/>
      <c r="BU1" s="1049"/>
      <c r="BV1" s="1049"/>
      <c r="BW1" s="1049"/>
      <c r="BX1" s="1049"/>
      <c r="BY1" s="1049"/>
      <c r="BZ1" s="423">
        <f>BP1+1</f>
        <v>7</v>
      </c>
      <c r="CA1" s="425"/>
      <c r="CC1" s="1049" t="str">
        <f>BS1</f>
        <v>ENTRADAS DEL MES DE    FEBRERO     2024</v>
      </c>
      <c r="CD1" s="1049"/>
      <c r="CE1" s="1049"/>
      <c r="CF1" s="1049"/>
      <c r="CG1" s="1049"/>
      <c r="CH1" s="1049"/>
      <c r="CI1" s="1049"/>
      <c r="CJ1" s="423">
        <f>BZ1+1</f>
        <v>8</v>
      </c>
      <c r="CK1" s="425"/>
      <c r="CM1" s="1049" t="str">
        <f>CC1</f>
        <v>ENTRADAS DEL MES DE    FEBRERO     2024</v>
      </c>
      <c r="CN1" s="1049"/>
      <c r="CO1" s="1049"/>
      <c r="CP1" s="1049"/>
      <c r="CQ1" s="1049"/>
      <c r="CR1" s="1049"/>
      <c r="CS1" s="1049"/>
      <c r="CT1" s="423">
        <f>CJ1+1</f>
        <v>9</v>
      </c>
      <c r="CU1" s="424"/>
      <c r="CW1" s="1049" t="str">
        <f>CM1</f>
        <v>ENTRADAS DEL MES DE    FEBRERO     2024</v>
      </c>
      <c r="CX1" s="1049"/>
      <c r="CY1" s="1049"/>
      <c r="CZ1" s="1049"/>
      <c r="DA1" s="1049"/>
      <c r="DB1" s="1049"/>
      <c r="DC1" s="1049"/>
      <c r="DD1" s="423">
        <f>CT1+1</f>
        <v>10</v>
      </c>
      <c r="DE1" s="424"/>
      <c r="DG1" s="1049" t="str">
        <f>CW1</f>
        <v>ENTRADAS DEL MES DE    FEBRERO     2024</v>
      </c>
      <c r="DH1" s="1049"/>
      <c r="DI1" s="1049"/>
      <c r="DJ1" s="1049"/>
      <c r="DK1" s="1049"/>
      <c r="DL1" s="1049"/>
      <c r="DM1" s="1049"/>
      <c r="DN1" s="423">
        <f>DD1+1</f>
        <v>11</v>
      </c>
      <c r="DO1" s="424"/>
      <c r="DQ1" s="1049" t="str">
        <f>DG1</f>
        <v>ENTRADAS DEL MES DE    FEBRERO     2024</v>
      </c>
      <c r="DR1" s="1049"/>
      <c r="DS1" s="1049"/>
      <c r="DT1" s="1049"/>
      <c r="DU1" s="1049"/>
      <c r="DV1" s="1049"/>
      <c r="DW1" s="1049"/>
      <c r="DX1" s="423">
        <f>DN1+1</f>
        <v>12</v>
      </c>
      <c r="DY1" s="425"/>
      <c r="EA1" s="1049" t="str">
        <f>DQ1</f>
        <v>ENTRADAS DEL MES DE    FEBRERO     2024</v>
      </c>
      <c r="EB1" s="1049"/>
      <c r="EC1" s="1049"/>
      <c r="ED1" s="1049"/>
      <c r="EE1" s="1049"/>
      <c r="EF1" s="1049"/>
      <c r="EG1" s="1049"/>
      <c r="EH1" s="423">
        <f>DX1+1</f>
        <v>13</v>
      </c>
      <c r="EI1" s="424"/>
      <c r="EK1" s="1049" t="str">
        <f>EA1</f>
        <v>ENTRADAS DEL MES DE    FEBRERO     2024</v>
      </c>
      <c r="EL1" s="1049"/>
      <c r="EM1" s="1049"/>
      <c r="EN1" s="1049"/>
      <c r="EO1" s="1049"/>
      <c r="EP1" s="1049"/>
      <c r="EQ1" s="1049"/>
      <c r="ER1" s="423">
        <f>EH1+1</f>
        <v>14</v>
      </c>
      <c r="ES1" s="424"/>
      <c r="EU1" s="1049" t="str">
        <f>EK1</f>
        <v>ENTRADAS DEL MES DE    FEBRERO     2024</v>
      </c>
      <c r="EV1" s="1049"/>
      <c r="EW1" s="1049"/>
      <c r="EX1" s="1049"/>
      <c r="EY1" s="1049"/>
      <c r="EZ1" s="1049"/>
      <c r="FA1" s="1049"/>
      <c r="FB1" s="423">
        <f>ER1+1</f>
        <v>15</v>
      </c>
      <c r="FC1" s="424"/>
      <c r="FE1" s="1049" t="str">
        <f>EU1</f>
        <v>ENTRADAS DEL MES DE    FEBRERO     2024</v>
      </c>
      <c r="FF1" s="1049"/>
      <c r="FG1" s="1049"/>
      <c r="FH1" s="1049"/>
      <c r="FI1" s="1049"/>
      <c r="FJ1" s="1049"/>
      <c r="FK1" s="1049"/>
      <c r="FL1" s="423">
        <f>FB1+1</f>
        <v>16</v>
      </c>
      <c r="FM1" s="424"/>
      <c r="FO1" s="1049" t="str">
        <f>FE1</f>
        <v>ENTRADAS DEL MES DE    FEBRERO     2024</v>
      </c>
      <c r="FP1" s="1049"/>
      <c r="FQ1" s="1049"/>
      <c r="FR1" s="1049"/>
      <c r="FS1" s="1049"/>
      <c r="FT1" s="1049"/>
      <c r="FU1" s="1049"/>
      <c r="FV1" s="423">
        <f>FL1+1</f>
        <v>17</v>
      </c>
      <c r="FW1" s="424"/>
      <c r="FY1" s="1049" t="str">
        <f>FO1</f>
        <v>ENTRADAS DEL MES DE    FEBRERO     2024</v>
      </c>
      <c r="FZ1" s="1049"/>
      <c r="GA1" s="1049"/>
      <c r="GB1" s="1049"/>
      <c r="GC1" s="1049"/>
      <c r="GD1" s="1049"/>
      <c r="GE1" s="1049"/>
      <c r="GF1" s="423">
        <f>FV1+1</f>
        <v>18</v>
      </c>
      <c r="GG1" s="424"/>
      <c r="GH1" s="283" t="s">
        <v>41</v>
      </c>
      <c r="GI1" s="1049" t="str">
        <f>FY1</f>
        <v>ENTRADAS DEL MES DE    FEBRERO     2024</v>
      </c>
      <c r="GJ1" s="1049"/>
      <c r="GK1" s="1049"/>
      <c r="GL1" s="1049"/>
      <c r="GM1" s="1049"/>
      <c r="GN1" s="1049"/>
      <c r="GO1" s="1049"/>
      <c r="GP1" s="423">
        <f>GF1+1</f>
        <v>19</v>
      </c>
      <c r="GQ1" s="424"/>
      <c r="GS1" s="1049" t="str">
        <f>GI1</f>
        <v>ENTRADAS DEL MES DE    FEBRERO     2024</v>
      </c>
      <c r="GT1" s="1049"/>
      <c r="GU1" s="1049"/>
      <c r="GV1" s="1049"/>
      <c r="GW1" s="1049"/>
      <c r="GX1" s="1049"/>
      <c r="GY1" s="1049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AD2" s="283">
        <v>0</v>
      </c>
      <c r="CC2" s="283" t="s">
        <v>22</v>
      </c>
    </row>
    <row r="3" spans="1:209" s="847" customFormat="1" ht="28.5" customHeight="1" thickTop="1" thickBot="1" x14ac:dyDescent="0.3">
      <c r="A3" s="846"/>
      <c r="D3" s="848"/>
      <c r="E3" s="849"/>
      <c r="F3" s="850"/>
      <c r="G3" s="846"/>
      <c r="H3" s="851"/>
      <c r="I3" s="852">
        <v>0</v>
      </c>
      <c r="K3" s="853" t="s">
        <v>4</v>
      </c>
      <c r="L3" s="853" t="s">
        <v>5</v>
      </c>
      <c r="M3" s="853"/>
      <c r="N3" s="853" t="s">
        <v>11</v>
      </c>
      <c r="O3" s="853" t="s">
        <v>32</v>
      </c>
      <c r="P3" s="853" t="s">
        <v>9</v>
      </c>
      <c r="Q3" s="853" t="s">
        <v>43</v>
      </c>
      <c r="R3" s="854" t="s">
        <v>35</v>
      </c>
      <c r="S3" s="846"/>
      <c r="U3" s="853" t="s">
        <v>41</v>
      </c>
      <c r="V3" s="853" t="s">
        <v>5</v>
      </c>
      <c r="W3" s="853"/>
      <c r="X3" s="853" t="s">
        <v>11</v>
      </c>
      <c r="Y3" s="853" t="s">
        <v>32</v>
      </c>
      <c r="Z3" s="853" t="s">
        <v>9</v>
      </c>
      <c r="AA3" s="858" t="s">
        <v>43</v>
      </c>
      <c r="AB3" s="854" t="s">
        <v>35</v>
      </c>
      <c r="AC3" s="855"/>
      <c r="AE3" s="853" t="s">
        <v>4</v>
      </c>
      <c r="AF3" s="853" t="s">
        <v>5</v>
      </c>
      <c r="AG3" s="853"/>
      <c r="AH3" s="853" t="s">
        <v>11</v>
      </c>
      <c r="AI3" s="853" t="s">
        <v>32</v>
      </c>
      <c r="AJ3" s="853" t="s">
        <v>9</v>
      </c>
      <c r="AK3" s="858" t="s">
        <v>43</v>
      </c>
      <c r="AL3" s="854" t="s">
        <v>35</v>
      </c>
      <c r="AM3" s="846"/>
      <c r="AO3" s="853" t="s">
        <v>4</v>
      </c>
      <c r="AP3" s="853" t="s">
        <v>5</v>
      </c>
      <c r="AQ3" s="853"/>
      <c r="AR3" s="853" t="s">
        <v>11</v>
      </c>
      <c r="AS3" s="853" t="s">
        <v>32</v>
      </c>
      <c r="AT3" s="853" t="s">
        <v>9</v>
      </c>
      <c r="AU3" s="853" t="s">
        <v>43</v>
      </c>
      <c r="AV3" s="854" t="s">
        <v>35</v>
      </c>
      <c r="AW3" s="855"/>
      <c r="AY3" s="853" t="s">
        <v>4</v>
      </c>
      <c r="AZ3" s="856" t="s">
        <v>5</v>
      </c>
      <c r="BA3" s="853"/>
      <c r="BB3" s="853" t="s">
        <v>11</v>
      </c>
      <c r="BC3" s="853" t="s">
        <v>32</v>
      </c>
      <c r="BD3" s="853" t="s">
        <v>9</v>
      </c>
      <c r="BE3" s="853" t="s">
        <v>43</v>
      </c>
      <c r="BF3" s="854" t="s">
        <v>35</v>
      </c>
      <c r="BG3" s="855"/>
      <c r="BI3" s="853" t="s">
        <v>4</v>
      </c>
      <c r="BJ3" s="853" t="s">
        <v>5</v>
      </c>
      <c r="BK3" s="853"/>
      <c r="BL3" s="853" t="s">
        <v>11</v>
      </c>
      <c r="BM3" s="853" t="s">
        <v>32</v>
      </c>
      <c r="BN3" s="853" t="s">
        <v>9</v>
      </c>
      <c r="BO3" s="853" t="s">
        <v>43</v>
      </c>
      <c r="BP3" s="854" t="s">
        <v>35</v>
      </c>
      <c r="BQ3" s="855"/>
      <c r="BS3" s="853" t="s">
        <v>4</v>
      </c>
      <c r="BT3" s="853" t="s">
        <v>5</v>
      </c>
      <c r="BU3" s="853"/>
      <c r="BV3" s="853" t="s">
        <v>11</v>
      </c>
      <c r="BW3" s="853" t="s">
        <v>32</v>
      </c>
      <c r="BX3" s="853" t="s">
        <v>9</v>
      </c>
      <c r="BY3" s="853" t="s">
        <v>43</v>
      </c>
      <c r="BZ3" s="854" t="s">
        <v>35</v>
      </c>
      <c r="CA3" s="857"/>
      <c r="CB3" s="857"/>
      <c r="CC3" s="853" t="s">
        <v>4</v>
      </c>
      <c r="CD3" s="853" t="s">
        <v>5</v>
      </c>
      <c r="CE3" s="853"/>
      <c r="CF3" s="853" t="s">
        <v>11</v>
      </c>
      <c r="CG3" s="853" t="s">
        <v>32</v>
      </c>
      <c r="CH3" s="853" t="s">
        <v>9</v>
      </c>
      <c r="CI3" s="853" t="s">
        <v>43</v>
      </c>
      <c r="CJ3" s="854" t="s">
        <v>35</v>
      </c>
      <c r="CK3" s="857"/>
      <c r="CL3" s="857"/>
      <c r="CM3" s="853" t="s">
        <v>4</v>
      </c>
      <c r="CN3" s="853" t="s">
        <v>5</v>
      </c>
      <c r="CO3" s="853"/>
      <c r="CP3" s="853" t="s">
        <v>11</v>
      </c>
      <c r="CQ3" s="853" t="s">
        <v>32</v>
      </c>
      <c r="CR3" s="853" t="s">
        <v>9</v>
      </c>
      <c r="CS3" s="853" t="s">
        <v>43</v>
      </c>
      <c r="CT3" s="854" t="s">
        <v>35</v>
      </c>
      <c r="CU3" s="855"/>
      <c r="CW3" s="853" t="s">
        <v>4</v>
      </c>
      <c r="CX3" s="853" t="s">
        <v>5</v>
      </c>
      <c r="CY3" s="853"/>
      <c r="CZ3" s="853" t="s">
        <v>11</v>
      </c>
      <c r="DA3" s="853" t="s">
        <v>32</v>
      </c>
      <c r="DB3" s="853" t="s">
        <v>9</v>
      </c>
      <c r="DC3" s="853" t="s">
        <v>43</v>
      </c>
      <c r="DD3" s="854" t="s">
        <v>35</v>
      </c>
      <c r="DE3" s="855"/>
      <c r="DG3" s="853" t="s">
        <v>4</v>
      </c>
      <c r="DH3" s="853" t="s">
        <v>5</v>
      </c>
      <c r="DI3" s="853"/>
      <c r="DJ3" s="853" t="s">
        <v>11</v>
      </c>
      <c r="DK3" s="853" t="s">
        <v>32</v>
      </c>
      <c r="DL3" s="853" t="s">
        <v>9</v>
      </c>
      <c r="DM3" s="853" t="s">
        <v>43</v>
      </c>
      <c r="DN3" s="854" t="s">
        <v>35</v>
      </c>
      <c r="DO3" s="855"/>
      <c r="DQ3" s="853" t="s">
        <v>4</v>
      </c>
      <c r="DR3" s="853" t="s">
        <v>5</v>
      </c>
      <c r="DS3" s="853"/>
      <c r="DT3" s="853" t="s">
        <v>11</v>
      </c>
      <c r="DU3" s="853" t="s">
        <v>32</v>
      </c>
      <c r="DV3" s="853" t="s">
        <v>9</v>
      </c>
      <c r="DW3" s="853" t="s">
        <v>43</v>
      </c>
      <c r="DX3" s="854" t="s">
        <v>35</v>
      </c>
      <c r="DY3" s="857"/>
      <c r="EA3" s="853" t="s">
        <v>4</v>
      </c>
      <c r="EB3" s="853" t="s">
        <v>5</v>
      </c>
      <c r="EC3" s="853"/>
      <c r="ED3" s="853" t="s">
        <v>11</v>
      </c>
      <c r="EE3" s="853" t="s">
        <v>32</v>
      </c>
      <c r="EF3" s="853" t="s">
        <v>9</v>
      </c>
      <c r="EG3" s="853" t="s">
        <v>43</v>
      </c>
      <c r="EH3" s="854" t="s">
        <v>35</v>
      </c>
      <c r="EI3" s="855"/>
      <c r="EK3" s="853" t="s">
        <v>4</v>
      </c>
      <c r="EL3" s="853" t="s">
        <v>5</v>
      </c>
      <c r="EM3" s="853"/>
      <c r="EN3" s="853" t="s">
        <v>11</v>
      </c>
      <c r="EO3" s="853" t="s">
        <v>32</v>
      </c>
      <c r="EP3" s="853" t="s">
        <v>9</v>
      </c>
      <c r="EQ3" s="853" t="s">
        <v>43</v>
      </c>
      <c r="ER3" s="854" t="s">
        <v>35</v>
      </c>
      <c r="ES3" s="855"/>
      <c r="EU3" s="853" t="s">
        <v>4</v>
      </c>
      <c r="EV3" s="853" t="s">
        <v>5</v>
      </c>
      <c r="EW3" s="853"/>
      <c r="EX3" s="853" t="s">
        <v>11</v>
      </c>
      <c r="EY3" s="853" t="s">
        <v>32</v>
      </c>
      <c r="EZ3" s="853" t="s">
        <v>9</v>
      </c>
      <c r="FA3" s="853" t="s">
        <v>43</v>
      </c>
      <c r="FB3" s="854" t="s">
        <v>35</v>
      </c>
      <c r="FC3" s="855"/>
      <c r="FE3" s="853" t="s">
        <v>4</v>
      </c>
      <c r="FF3" s="853" t="s">
        <v>5</v>
      </c>
      <c r="FG3" s="853"/>
      <c r="FH3" s="853" t="s">
        <v>11</v>
      </c>
      <c r="FI3" s="853" t="s">
        <v>32</v>
      </c>
      <c r="FJ3" s="853" t="s">
        <v>9</v>
      </c>
      <c r="FK3" s="853" t="s">
        <v>43</v>
      </c>
      <c r="FL3" s="854" t="s">
        <v>35</v>
      </c>
      <c r="FM3" s="855"/>
      <c r="FO3" s="853" t="s">
        <v>4</v>
      </c>
      <c r="FP3" s="853" t="s">
        <v>5</v>
      </c>
      <c r="FQ3" s="853"/>
      <c r="FR3" s="853" t="s">
        <v>11</v>
      </c>
      <c r="FS3" s="853" t="s">
        <v>32</v>
      </c>
      <c r="FT3" s="853" t="s">
        <v>9</v>
      </c>
      <c r="FU3" s="853" t="s">
        <v>43</v>
      </c>
      <c r="FV3" s="854" t="s">
        <v>35</v>
      </c>
      <c r="FW3" s="855"/>
      <c r="FY3" s="853" t="s">
        <v>4</v>
      </c>
      <c r="FZ3" s="853" t="s">
        <v>5</v>
      </c>
      <c r="GA3" s="853"/>
      <c r="GB3" s="853" t="s">
        <v>11</v>
      </c>
      <c r="GC3" s="853" t="s">
        <v>32</v>
      </c>
      <c r="GD3" s="853" t="s">
        <v>9</v>
      </c>
      <c r="GE3" s="853" t="s">
        <v>43</v>
      </c>
      <c r="GF3" s="854" t="s">
        <v>35</v>
      </c>
      <c r="GG3" s="855"/>
      <c r="GI3" s="853" t="s">
        <v>4</v>
      </c>
      <c r="GJ3" s="853" t="s">
        <v>5</v>
      </c>
      <c r="GK3" s="853"/>
      <c r="GL3" s="853" t="s">
        <v>11</v>
      </c>
      <c r="GM3" s="853" t="s">
        <v>32</v>
      </c>
      <c r="GN3" s="853" t="s">
        <v>9</v>
      </c>
      <c r="GO3" s="853" t="s">
        <v>43</v>
      </c>
      <c r="GP3" s="854" t="s">
        <v>35</v>
      </c>
      <c r="GQ3" s="855"/>
      <c r="GS3" s="853" t="s">
        <v>4</v>
      </c>
      <c r="GT3" s="853" t="s">
        <v>5</v>
      </c>
      <c r="GU3" s="853"/>
      <c r="GV3" s="853" t="s">
        <v>11</v>
      </c>
      <c r="GW3" s="853" t="s">
        <v>32</v>
      </c>
      <c r="GX3" s="853" t="s">
        <v>9</v>
      </c>
      <c r="GY3" s="853" t="s">
        <v>43</v>
      </c>
      <c r="GZ3" s="854" t="s">
        <v>35</v>
      </c>
      <c r="HA3" s="855"/>
    </row>
    <row r="4" spans="1:209" ht="22.5" customHeight="1" thickTop="1" thickBot="1" x14ac:dyDescent="0.3">
      <c r="A4" s="417">
        <v>1</v>
      </c>
      <c r="B4" s="444" t="str">
        <f t="shared" ref="B4:I4" si="0">K5</f>
        <v>SAM FARMS</v>
      </c>
      <c r="C4" s="444" t="str">
        <f t="shared" si="0"/>
        <v xml:space="preserve">I B P </v>
      </c>
      <c r="D4" s="797" t="str">
        <f t="shared" si="0"/>
        <v>PED. 109299650</v>
      </c>
      <c r="E4" s="469">
        <f t="shared" si="0"/>
        <v>45325</v>
      </c>
      <c r="F4" s="447">
        <f t="shared" si="0"/>
        <v>18753.18</v>
      </c>
      <c r="G4" s="448">
        <f t="shared" si="0"/>
        <v>20</v>
      </c>
      <c r="H4" s="449">
        <f t="shared" si="0"/>
        <v>18798.57</v>
      </c>
      <c r="I4" s="798">
        <f t="shared" si="0"/>
        <v>-45.389999999999418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444" t="str">
        <f t="shared" ref="B5:H5" si="1">U5</f>
        <v>SEABOARD FOODS</v>
      </c>
      <c r="C5" s="444" t="str">
        <f t="shared" si="1"/>
        <v>Seaboard</v>
      </c>
      <c r="D5" s="797" t="str">
        <f t="shared" si="1"/>
        <v>PED. 109423239</v>
      </c>
      <c r="E5" s="469">
        <f t="shared" si="1"/>
        <v>45330</v>
      </c>
      <c r="F5" s="447">
        <f t="shared" si="1"/>
        <v>18874.650000000001</v>
      </c>
      <c r="G5" s="448">
        <f t="shared" si="1"/>
        <v>21</v>
      </c>
      <c r="H5" s="449">
        <f t="shared" si="1"/>
        <v>18893.2</v>
      </c>
      <c r="I5" s="798">
        <f>AB5</f>
        <v>-18.549999999999272</v>
      </c>
      <c r="K5" s="459" t="s">
        <v>159</v>
      </c>
      <c r="L5" s="643" t="s">
        <v>63</v>
      </c>
      <c r="M5" s="454" t="s">
        <v>160</v>
      </c>
      <c r="N5" s="446">
        <v>45325</v>
      </c>
      <c r="O5" s="447">
        <v>18753.18</v>
      </c>
      <c r="P5" s="448">
        <v>20</v>
      </c>
      <c r="Q5" s="449">
        <v>18798.57</v>
      </c>
      <c r="R5" s="450">
        <f>O5-Q5</f>
        <v>-45.389999999999418</v>
      </c>
      <c r="S5" s="451"/>
      <c r="U5" s="459" t="s">
        <v>69</v>
      </c>
      <c r="V5" s="677" t="s">
        <v>70</v>
      </c>
      <c r="W5" s="454" t="s">
        <v>163</v>
      </c>
      <c r="X5" s="460">
        <v>45330</v>
      </c>
      <c r="Y5" s="456">
        <v>18874.650000000001</v>
      </c>
      <c r="Z5" s="457">
        <v>21</v>
      </c>
      <c r="AA5" s="458">
        <v>18893.2</v>
      </c>
      <c r="AB5" s="450">
        <f>Y5-AA5</f>
        <v>-18.549999999999272</v>
      </c>
      <c r="AC5" s="451"/>
      <c r="AE5" s="459" t="s">
        <v>62</v>
      </c>
      <c r="AF5" s="700" t="s">
        <v>63</v>
      </c>
      <c r="AG5" s="454" t="s">
        <v>172</v>
      </c>
      <c r="AH5" s="455">
        <v>45334</v>
      </c>
      <c r="AI5" s="456">
        <v>18352.580000000002</v>
      </c>
      <c r="AJ5" s="457">
        <v>20</v>
      </c>
      <c r="AK5" s="458">
        <v>18383.11</v>
      </c>
      <c r="AL5" s="450">
        <f>AI5-AK5</f>
        <v>-30.529999999998836</v>
      </c>
      <c r="AM5" s="450"/>
      <c r="AO5" s="466" t="s">
        <v>69</v>
      </c>
      <c r="AP5" s="890" t="s">
        <v>70</v>
      </c>
      <c r="AQ5" s="454" t="s">
        <v>180</v>
      </c>
      <c r="AR5" s="460">
        <v>45335</v>
      </c>
      <c r="AS5" s="456">
        <v>18982.18</v>
      </c>
      <c r="AT5" s="457">
        <v>21</v>
      </c>
      <c r="AU5" s="458">
        <v>19011.7</v>
      </c>
      <c r="AV5" s="742">
        <f>AS5-AU5</f>
        <v>-29.520000000000437</v>
      </c>
      <c r="AW5" s="756"/>
      <c r="AY5" s="459" t="s">
        <v>62</v>
      </c>
      <c r="AZ5" s="700" t="s">
        <v>63</v>
      </c>
      <c r="BA5" s="454" t="s">
        <v>172</v>
      </c>
      <c r="BB5" s="455">
        <v>45338</v>
      </c>
      <c r="BC5" s="456">
        <v>18531.03</v>
      </c>
      <c r="BD5" s="457">
        <v>20</v>
      </c>
      <c r="BE5" s="458">
        <v>18618.47</v>
      </c>
      <c r="BF5" s="450">
        <f>BC5-BE5</f>
        <v>-87.440000000002328</v>
      </c>
      <c r="BG5" s="450"/>
      <c r="BI5" s="444" t="s">
        <v>69</v>
      </c>
      <c r="BJ5" s="736" t="s">
        <v>70</v>
      </c>
      <c r="BK5" s="452" t="s">
        <v>200</v>
      </c>
      <c r="BL5" s="446">
        <v>45342</v>
      </c>
      <c r="BM5" s="447">
        <v>19023.34</v>
      </c>
      <c r="BN5" s="448">
        <v>21</v>
      </c>
      <c r="BO5" s="449">
        <v>19032.3</v>
      </c>
      <c r="BP5" s="450">
        <f>BM5-BO5</f>
        <v>-8.9599999999991269</v>
      </c>
      <c r="BQ5" s="451"/>
      <c r="BS5" s="461" t="s">
        <v>62</v>
      </c>
      <c r="BT5" s="734" t="s">
        <v>63</v>
      </c>
      <c r="BU5" s="454" t="s">
        <v>172</v>
      </c>
      <c r="BV5" s="460">
        <v>45345</v>
      </c>
      <c r="BW5" s="456">
        <v>18270.87</v>
      </c>
      <c r="BX5" s="457">
        <v>20</v>
      </c>
      <c r="BY5" s="458">
        <v>18376.73</v>
      </c>
      <c r="BZ5" s="742">
        <f>BW5-BY5</f>
        <v>-105.86000000000058</v>
      </c>
      <c r="CA5" s="451"/>
      <c r="CB5" s="462"/>
      <c r="CC5" s="755" t="s">
        <v>69</v>
      </c>
      <c r="CD5" s="890" t="s">
        <v>70</v>
      </c>
      <c r="CE5" s="454" t="s">
        <v>239</v>
      </c>
      <c r="CF5" s="460">
        <v>45349</v>
      </c>
      <c r="CG5" s="456">
        <v>18735.830000000002</v>
      </c>
      <c r="CH5" s="457">
        <v>21</v>
      </c>
      <c r="CI5" s="458">
        <v>18799.599999999999</v>
      </c>
      <c r="CJ5" s="742">
        <f>CG5-CI5</f>
        <v>-63.769999999996799</v>
      </c>
      <c r="CK5" s="756"/>
      <c r="CL5" s="462"/>
      <c r="CM5" s="465"/>
      <c r="CN5" s="464"/>
      <c r="CO5" s="445"/>
      <c r="CP5" s="446"/>
      <c r="CQ5" s="447"/>
      <c r="CR5" s="448"/>
      <c r="CS5" s="449"/>
      <c r="CT5" s="450">
        <f>CQ5-CS5</f>
        <v>0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444" t="str">
        <f t="shared" ref="B6:H6" si="2">AE5</f>
        <v xml:space="preserve">SAM FARMS </v>
      </c>
      <c r="C6" s="444" t="str">
        <f t="shared" si="2"/>
        <v xml:space="preserve">I B P </v>
      </c>
      <c r="D6" s="797" t="str">
        <f t="shared" si="2"/>
        <v xml:space="preserve">PED. </v>
      </c>
      <c r="E6" s="469">
        <f t="shared" si="2"/>
        <v>45334</v>
      </c>
      <c r="F6" s="447">
        <f t="shared" si="2"/>
        <v>18352.580000000002</v>
      </c>
      <c r="G6" s="448">
        <f t="shared" si="2"/>
        <v>20</v>
      </c>
      <c r="H6" s="449">
        <f t="shared" si="2"/>
        <v>18383.11</v>
      </c>
      <c r="I6" s="798">
        <f>AL5</f>
        <v>-30.529999999998836</v>
      </c>
      <c r="K6" s="471">
        <v>12040</v>
      </c>
      <c r="L6" s="472"/>
      <c r="M6" s="444"/>
      <c r="N6" s="444"/>
      <c r="O6" s="444"/>
      <c r="P6" s="444"/>
      <c r="Q6" s="448"/>
      <c r="S6" s="5"/>
      <c r="U6" s="471" t="s">
        <v>164</v>
      </c>
      <c r="V6" s="472"/>
      <c r="W6" s="444"/>
      <c r="X6" s="444"/>
      <c r="Y6" s="444"/>
      <c r="Z6" s="444"/>
      <c r="AA6" s="448"/>
      <c r="AE6" s="473">
        <v>12171</v>
      </c>
      <c r="AF6" s="472"/>
      <c r="AG6" s="444"/>
      <c r="AH6" s="444"/>
      <c r="AI6" s="444"/>
      <c r="AJ6" s="444"/>
      <c r="AK6" s="448"/>
      <c r="AO6" s="896" t="s">
        <v>181</v>
      </c>
      <c r="AP6" s="472"/>
      <c r="AQ6" s="444"/>
      <c r="AR6" s="444"/>
      <c r="AS6" s="444"/>
      <c r="AT6" s="444"/>
      <c r="AU6" s="448"/>
      <c r="AW6" s="462"/>
      <c r="AY6" s="473">
        <v>12174</v>
      </c>
      <c r="AZ6" s="474"/>
      <c r="BA6" s="453"/>
      <c r="BB6" s="453"/>
      <c r="BC6" s="453"/>
      <c r="BD6" s="453"/>
      <c r="BE6" s="457"/>
      <c r="BG6" s="283"/>
      <c r="BI6" s="953" t="s">
        <v>203</v>
      </c>
      <c r="BJ6" s="472"/>
      <c r="BK6" s="444"/>
      <c r="BL6" s="444"/>
      <c r="BM6" s="444"/>
      <c r="BN6" s="444"/>
      <c r="BO6" s="448"/>
      <c r="BQ6" s="462"/>
      <c r="BS6" s="773">
        <v>12177</v>
      </c>
      <c r="BT6" s="472"/>
      <c r="BU6" s="444"/>
      <c r="BV6" s="444"/>
      <c r="BW6" s="444"/>
      <c r="BX6" s="444"/>
      <c r="BY6" s="448"/>
      <c r="CA6" s="462"/>
      <c r="CB6" s="462"/>
      <c r="CC6" s="757" t="s">
        <v>240</v>
      </c>
      <c r="CD6" s="444"/>
      <c r="CE6" s="444"/>
      <c r="CF6" s="444"/>
      <c r="CG6" s="444"/>
      <c r="CH6" s="444"/>
      <c r="CI6" s="448"/>
      <c r="CK6" s="462"/>
      <c r="CL6" s="462"/>
      <c r="CM6" s="476"/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s="871" customFormat="1" ht="22.5" customHeight="1" thickTop="1" thickBot="1" x14ac:dyDescent="0.3">
      <c r="A7" s="846">
        <v>4</v>
      </c>
      <c r="B7" s="866" t="str">
        <f>AO5</f>
        <v>SEABOARD FOODS</v>
      </c>
      <c r="C7" s="860" t="str">
        <f t="shared" ref="C7:I7" si="3">AP5</f>
        <v>Seaboard</v>
      </c>
      <c r="D7" s="859" t="str">
        <f t="shared" si="3"/>
        <v>PED. 109642961</v>
      </c>
      <c r="E7" s="867">
        <f t="shared" si="3"/>
        <v>45335</v>
      </c>
      <c r="F7" s="868">
        <f t="shared" si="3"/>
        <v>18982.18</v>
      </c>
      <c r="G7" s="860">
        <f t="shared" si="3"/>
        <v>21</v>
      </c>
      <c r="H7" s="869">
        <f t="shared" si="3"/>
        <v>19011.7</v>
      </c>
      <c r="I7" s="870">
        <f t="shared" si="3"/>
        <v>-29.520000000000437</v>
      </c>
      <c r="L7" s="872" t="s">
        <v>49</v>
      </c>
      <c r="M7" s="861" t="s">
        <v>33</v>
      </c>
      <c r="N7" s="862" t="s">
        <v>50</v>
      </c>
      <c r="O7" s="863" t="s">
        <v>11</v>
      </c>
      <c r="P7" s="864" t="s">
        <v>51</v>
      </c>
      <c r="Q7" s="865" t="s">
        <v>52</v>
      </c>
      <c r="R7" s="873"/>
      <c r="S7" s="874"/>
      <c r="V7" s="872" t="s">
        <v>49</v>
      </c>
      <c r="W7" s="861" t="s">
        <v>33</v>
      </c>
      <c r="X7" s="862" t="s">
        <v>50</v>
      </c>
      <c r="Y7" s="863" t="s">
        <v>11</v>
      </c>
      <c r="Z7" s="864" t="s">
        <v>51</v>
      </c>
      <c r="AA7" s="865" t="s">
        <v>52</v>
      </c>
      <c r="AB7" s="873"/>
      <c r="AC7" s="874"/>
      <c r="AF7" s="872" t="s">
        <v>49</v>
      </c>
      <c r="AG7" s="861" t="s">
        <v>33</v>
      </c>
      <c r="AH7" s="862" t="s">
        <v>50</v>
      </c>
      <c r="AI7" s="863" t="s">
        <v>11</v>
      </c>
      <c r="AJ7" s="864" t="s">
        <v>51</v>
      </c>
      <c r="AK7" s="865" t="s">
        <v>52</v>
      </c>
      <c r="AL7" s="873"/>
      <c r="AO7" s="283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487"/>
      <c r="AZ7" s="872" t="s">
        <v>49</v>
      </c>
      <c r="BA7" s="861" t="s">
        <v>33</v>
      </c>
      <c r="BB7" s="862" t="s">
        <v>50</v>
      </c>
      <c r="BC7" s="863" t="s">
        <v>11</v>
      </c>
      <c r="BD7" s="864" t="s">
        <v>51</v>
      </c>
      <c r="BE7" s="865" t="s">
        <v>52</v>
      </c>
      <c r="BF7" s="873"/>
      <c r="BJ7" s="872" t="s">
        <v>49</v>
      </c>
      <c r="BK7" s="861" t="s">
        <v>33</v>
      </c>
      <c r="BL7" s="862" t="s">
        <v>50</v>
      </c>
      <c r="BM7" s="863" t="s">
        <v>11</v>
      </c>
      <c r="BN7" s="864" t="s">
        <v>51</v>
      </c>
      <c r="BO7" s="865" t="s">
        <v>52</v>
      </c>
      <c r="BP7" s="873"/>
      <c r="BQ7" s="874"/>
      <c r="BR7" s="875"/>
      <c r="BT7" s="872" t="s">
        <v>49</v>
      </c>
      <c r="BU7" s="861" t="s">
        <v>33</v>
      </c>
      <c r="BV7" s="862" t="s">
        <v>50</v>
      </c>
      <c r="BW7" s="863" t="s">
        <v>11</v>
      </c>
      <c r="BX7" s="864" t="s">
        <v>51</v>
      </c>
      <c r="BY7" s="865" t="s">
        <v>52</v>
      </c>
      <c r="BZ7" s="873"/>
      <c r="CA7" s="875"/>
      <c r="CB7" s="875"/>
      <c r="CD7" s="876" t="s">
        <v>49</v>
      </c>
      <c r="CE7" s="861" t="s">
        <v>33</v>
      </c>
      <c r="CF7" s="862" t="s">
        <v>50</v>
      </c>
      <c r="CG7" s="863" t="s">
        <v>11</v>
      </c>
      <c r="CH7" s="864" t="s">
        <v>141</v>
      </c>
      <c r="CI7" s="865" t="s">
        <v>52</v>
      </c>
      <c r="CJ7" s="873"/>
      <c r="CK7" s="874"/>
      <c r="CL7" s="875"/>
      <c r="CN7" s="872" t="s">
        <v>49</v>
      </c>
      <c r="CO7" s="861" t="s">
        <v>33</v>
      </c>
      <c r="CP7" s="862" t="s">
        <v>50</v>
      </c>
      <c r="CQ7" s="863" t="s">
        <v>11</v>
      </c>
      <c r="CR7" s="864" t="s">
        <v>51</v>
      </c>
      <c r="CS7" s="865" t="s">
        <v>52</v>
      </c>
      <c r="CT7" s="873"/>
      <c r="CU7" s="874"/>
      <c r="CX7" s="872" t="s">
        <v>49</v>
      </c>
      <c r="CY7" s="861" t="s">
        <v>33</v>
      </c>
      <c r="CZ7" s="862" t="s">
        <v>50</v>
      </c>
      <c r="DA7" s="863" t="s">
        <v>11</v>
      </c>
      <c r="DB7" s="864" t="s">
        <v>51</v>
      </c>
      <c r="DC7" s="865" t="s">
        <v>52</v>
      </c>
      <c r="DD7" s="873"/>
      <c r="DE7" s="874"/>
      <c r="DH7" s="872" t="s">
        <v>49</v>
      </c>
      <c r="DI7" s="861" t="s">
        <v>33</v>
      </c>
      <c r="DJ7" s="862" t="s">
        <v>50</v>
      </c>
      <c r="DK7" s="863" t="s">
        <v>11</v>
      </c>
      <c r="DL7" s="864" t="s">
        <v>51</v>
      </c>
      <c r="DM7" s="865" t="s">
        <v>52</v>
      </c>
      <c r="DN7" s="873"/>
      <c r="DO7" s="874"/>
      <c r="DR7" s="872" t="s">
        <v>49</v>
      </c>
      <c r="DS7" s="861" t="s">
        <v>33</v>
      </c>
      <c r="DT7" s="862" t="s">
        <v>50</v>
      </c>
      <c r="DU7" s="863" t="s">
        <v>11</v>
      </c>
      <c r="DV7" s="864" t="s">
        <v>51</v>
      </c>
      <c r="DW7" s="865" t="s">
        <v>52</v>
      </c>
      <c r="DX7" s="873"/>
      <c r="DY7" s="875"/>
      <c r="EB7" s="872" t="s">
        <v>49</v>
      </c>
      <c r="EC7" s="861" t="s">
        <v>33</v>
      </c>
      <c r="ED7" s="862" t="s">
        <v>50</v>
      </c>
      <c r="EE7" s="863" t="s">
        <v>11</v>
      </c>
      <c r="EF7" s="864" t="s">
        <v>51</v>
      </c>
      <c r="EG7" s="865" t="s">
        <v>52</v>
      </c>
      <c r="EH7" s="873"/>
      <c r="EI7" s="874"/>
      <c r="EL7" s="872" t="s">
        <v>49</v>
      </c>
      <c r="EM7" s="861" t="s">
        <v>33</v>
      </c>
      <c r="EN7" s="862" t="s">
        <v>50</v>
      </c>
      <c r="EO7" s="863" t="s">
        <v>11</v>
      </c>
      <c r="EP7" s="864" t="s">
        <v>51</v>
      </c>
      <c r="EQ7" s="865" t="s">
        <v>52</v>
      </c>
      <c r="ER7" s="873"/>
      <c r="ES7" s="874"/>
      <c r="EV7" s="872" t="s">
        <v>49</v>
      </c>
      <c r="EW7" s="861" t="s">
        <v>33</v>
      </c>
      <c r="EX7" s="862" t="s">
        <v>50</v>
      </c>
      <c r="EY7" s="863" t="s">
        <v>11</v>
      </c>
      <c r="EZ7" s="864" t="s">
        <v>51</v>
      </c>
      <c r="FA7" s="865" t="s">
        <v>52</v>
      </c>
      <c r="FB7" s="873"/>
      <c r="FC7" s="874"/>
      <c r="FF7" s="872" t="s">
        <v>49</v>
      </c>
      <c r="FG7" s="861" t="s">
        <v>33</v>
      </c>
      <c r="FH7" s="862" t="s">
        <v>50</v>
      </c>
      <c r="FI7" s="863" t="s">
        <v>11</v>
      </c>
      <c r="FJ7" s="864" t="s">
        <v>51</v>
      </c>
      <c r="FK7" s="865" t="s">
        <v>52</v>
      </c>
      <c r="FL7" s="873"/>
      <c r="FM7" s="874"/>
      <c r="FP7" s="872" t="s">
        <v>49</v>
      </c>
      <c r="FQ7" s="861" t="s">
        <v>33</v>
      </c>
      <c r="FR7" s="862" t="s">
        <v>50</v>
      </c>
      <c r="FS7" s="863" t="s">
        <v>11</v>
      </c>
      <c r="FT7" s="864" t="s">
        <v>51</v>
      </c>
      <c r="FU7" s="865" t="s">
        <v>52</v>
      </c>
      <c r="FV7" s="873"/>
      <c r="FW7" s="874"/>
      <c r="FZ7" s="872" t="s">
        <v>49</v>
      </c>
      <c r="GA7" s="861" t="s">
        <v>33</v>
      </c>
      <c r="GB7" s="862" t="s">
        <v>50</v>
      </c>
      <c r="GC7" s="863" t="s">
        <v>11</v>
      </c>
      <c r="GD7" s="864" t="s">
        <v>51</v>
      </c>
      <c r="GE7" s="865" t="s">
        <v>52</v>
      </c>
      <c r="GF7" s="873"/>
      <c r="GG7" s="874"/>
      <c r="GJ7" s="872" t="s">
        <v>49</v>
      </c>
      <c r="GK7" s="861" t="s">
        <v>33</v>
      </c>
      <c r="GL7" s="862" t="s">
        <v>50</v>
      </c>
      <c r="GM7" s="863" t="s">
        <v>11</v>
      </c>
      <c r="GN7" s="864" t="s">
        <v>51</v>
      </c>
      <c r="GO7" s="865" t="s">
        <v>52</v>
      </c>
      <c r="GP7" s="873"/>
      <c r="GQ7" s="874"/>
      <c r="GT7" s="872" t="s">
        <v>49</v>
      </c>
      <c r="GU7" s="861" t="s">
        <v>33</v>
      </c>
      <c r="GV7" s="862" t="s">
        <v>50</v>
      </c>
      <c r="GW7" s="863" t="s">
        <v>11</v>
      </c>
      <c r="GX7" s="864" t="s">
        <v>51</v>
      </c>
      <c r="GY7" s="865" t="s">
        <v>52</v>
      </c>
      <c r="GZ7" s="873"/>
      <c r="HA7" s="874"/>
    </row>
    <row r="8" spans="1:209" ht="22.5" customHeight="1" thickTop="1" x14ac:dyDescent="0.25">
      <c r="A8" s="417">
        <v>5</v>
      </c>
      <c r="B8" s="444" t="str">
        <f>AY5</f>
        <v xml:space="preserve">SAM FARMS </v>
      </c>
      <c r="C8" s="444" t="str">
        <f t="shared" ref="C8:I8" si="4">AZ5</f>
        <v xml:space="preserve">I B P </v>
      </c>
      <c r="D8" s="797" t="str">
        <f t="shared" si="4"/>
        <v xml:space="preserve">PED. </v>
      </c>
      <c r="E8" s="469">
        <f t="shared" si="4"/>
        <v>45338</v>
      </c>
      <c r="F8" s="447">
        <f t="shared" si="4"/>
        <v>18531.03</v>
      </c>
      <c r="G8" s="448">
        <f t="shared" si="4"/>
        <v>20</v>
      </c>
      <c r="H8" s="449">
        <f t="shared" si="4"/>
        <v>18618.47</v>
      </c>
      <c r="I8" s="798">
        <f t="shared" si="4"/>
        <v>-87.440000000002328</v>
      </c>
      <c r="K8" s="258"/>
      <c r="L8" s="488"/>
      <c r="M8" s="517">
        <v>1</v>
      </c>
      <c r="N8" s="490">
        <v>926.23</v>
      </c>
      <c r="O8" s="491"/>
      <c r="P8" s="492"/>
      <c r="Q8" s="493"/>
      <c r="R8" s="494"/>
      <c r="S8" s="495">
        <f>R8*P8</f>
        <v>0</v>
      </c>
      <c r="U8" s="258"/>
      <c r="V8" s="496"/>
      <c r="W8" s="836">
        <v>1</v>
      </c>
      <c r="X8" s="497">
        <v>930.3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958.89</v>
      </c>
      <c r="AI8" s="502"/>
      <c r="AJ8" s="501"/>
      <c r="AK8" s="399"/>
      <c r="AL8" s="391"/>
      <c r="AM8" s="391">
        <f>AL8*AJ8</f>
        <v>0</v>
      </c>
      <c r="AO8" s="258"/>
      <c r="AP8" s="515"/>
      <c r="AQ8" s="489">
        <v>1</v>
      </c>
      <c r="AR8" s="497">
        <v>891.8</v>
      </c>
      <c r="AS8" s="498"/>
      <c r="AT8" s="497"/>
      <c r="AU8" s="499"/>
      <c r="AV8" s="500"/>
      <c r="AW8" s="5">
        <f>AV8*AT8</f>
        <v>0</v>
      </c>
      <c r="AY8" s="258"/>
      <c r="AZ8" s="488"/>
      <c r="BA8" s="489">
        <v>1</v>
      </c>
      <c r="BB8" s="880">
        <v>916.25</v>
      </c>
      <c r="BC8" s="502"/>
      <c r="BD8" s="490"/>
      <c r="BE8" s="399"/>
      <c r="BF8" s="391"/>
      <c r="BG8" s="391">
        <f>BF8*BD8</f>
        <v>0</v>
      </c>
      <c r="BI8" s="258"/>
      <c r="BJ8" s="488"/>
      <c r="BK8" s="489">
        <v>1</v>
      </c>
      <c r="BL8" s="490">
        <v>913.5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914.44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886.8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/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444" t="str">
        <f>BI5</f>
        <v>SEABOARD FOODS</v>
      </c>
      <c r="C9" s="444" t="str">
        <f t="shared" ref="C9:H9" si="7">BJ5</f>
        <v>Seaboard</v>
      </c>
      <c r="D9" s="797" t="str">
        <f t="shared" si="7"/>
        <v>PED. 109976095</v>
      </c>
      <c r="E9" s="469">
        <f t="shared" si="7"/>
        <v>45342</v>
      </c>
      <c r="F9" s="447">
        <f t="shared" si="7"/>
        <v>19023.34</v>
      </c>
      <c r="G9" s="448">
        <f t="shared" si="7"/>
        <v>21</v>
      </c>
      <c r="H9" s="449">
        <f t="shared" si="7"/>
        <v>19032.3</v>
      </c>
      <c r="I9" s="798">
        <f>BP5</f>
        <v>-8.9599999999991269</v>
      </c>
      <c r="L9" s="515"/>
      <c r="M9" s="517">
        <v>2</v>
      </c>
      <c r="N9" s="490">
        <v>949.82</v>
      </c>
      <c r="O9" s="491"/>
      <c r="P9" s="492"/>
      <c r="Q9" s="493"/>
      <c r="R9" s="494"/>
      <c r="S9" s="520">
        <f t="shared" ref="S9:S29" si="8">R9*P9</f>
        <v>0</v>
      </c>
      <c r="V9" s="496"/>
      <c r="W9" s="836">
        <v>2</v>
      </c>
      <c r="X9" s="497">
        <v>889.5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916.25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7">
        <v>888.1</v>
      </c>
      <c r="AS9" s="498"/>
      <c r="AT9" s="497"/>
      <c r="AU9" s="499"/>
      <c r="AV9" s="500"/>
      <c r="AW9" s="5">
        <f t="shared" ref="AW9:AW31" si="11">AV9*AT9</f>
        <v>0</v>
      </c>
      <c r="AZ9" s="515"/>
      <c r="BA9" s="489">
        <v>2</v>
      </c>
      <c r="BB9" s="880">
        <v>938.93</v>
      </c>
      <c r="BC9" s="502"/>
      <c r="BD9" s="490"/>
      <c r="BE9" s="399"/>
      <c r="BF9" s="391"/>
      <c r="BG9" s="391">
        <f t="shared" ref="BG9:BG28" si="12">BF9*BD9</f>
        <v>0</v>
      </c>
      <c r="BJ9" s="515"/>
      <c r="BK9" s="489">
        <v>2</v>
      </c>
      <c r="BL9" s="490">
        <v>895.8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907.18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877.7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/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 xml:space="preserve">PED. </v>
      </c>
      <c r="E10" s="432">
        <f t="shared" si="25"/>
        <v>45345</v>
      </c>
      <c r="F10" s="215">
        <f t="shared" si="25"/>
        <v>18270.87</v>
      </c>
      <c r="G10" s="6">
        <f t="shared" si="25"/>
        <v>20</v>
      </c>
      <c r="H10" s="233">
        <f t="shared" si="25"/>
        <v>18376.73</v>
      </c>
      <c r="I10" s="433">
        <f t="shared" si="25"/>
        <v>-105.86000000000058</v>
      </c>
      <c r="L10" s="515"/>
      <c r="M10" s="517">
        <v>3</v>
      </c>
      <c r="N10" s="490">
        <v>934.4</v>
      </c>
      <c r="O10" s="502"/>
      <c r="P10" s="490"/>
      <c r="Q10" s="399"/>
      <c r="R10" s="391"/>
      <c r="S10" s="462">
        <f t="shared" si="8"/>
        <v>0</v>
      </c>
      <c r="V10" s="496"/>
      <c r="W10" s="836">
        <v>3</v>
      </c>
      <c r="X10" s="497">
        <v>926.7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895.39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7">
        <v>938.5</v>
      </c>
      <c r="AS10" s="498"/>
      <c r="AT10" s="497"/>
      <c r="AU10" s="499"/>
      <c r="AV10" s="500"/>
      <c r="AW10" s="5">
        <f t="shared" si="11"/>
        <v>0</v>
      </c>
      <c r="AZ10" s="515"/>
      <c r="BA10" s="489">
        <v>3</v>
      </c>
      <c r="BB10" s="880">
        <v>938.02</v>
      </c>
      <c r="BC10" s="502"/>
      <c r="BD10" s="490"/>
      <c r="BE10" s="399"/>
      <c r="BF10" s="391"/>
      <c r="BG10" s="391">
        <f t="shared" si="12"/>
        <v>0</v>
      </c>
      <c r="BJ10" s="515"/>
      <c r="BK10" s="489">
        <v>3</v>
      </c>
      <c r="BL10" s="490">
        <v>909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890.85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896.3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/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110306192</v>
      </c>
      <c r="E11" s="432">
        <f t="shared" si="27"/>
        <v>45349</v>
      </c>
      <c r="F11" s="215">
        <f t="shared" si="27"/>
        <v>18735.830000000002</v>
      </c>
      <c r="G11" s="6">
        <f t="shared" si="27"/>
        <v>21</v>
      </c>
      <c r="H11" s="233">
        <f t="shared" si="27"/>
        <v>18799.599999999999</v>
      </c>
      <c r="I11" s="433">
        <f t="shared" si="27"/>
        <v>-63.769999999996799</v>
      </c>
      <c r="K11" s="258"/>
      <c r="L11" s="488"/>
      <c r="M11" s="517">
        <v>4</v>
      </c>
      <c r="N11" s="490">
        <v>961.61400000000003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836">
        <v>4</v>
      </c>
      <c r="X11" s="497">
        <v>867.3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918.07</v>
      </c>
      <c r="AI11" s="502"/>
      <c r="AJ11" s="521"/>
      <c r="AK11" s="399"/>
      <c r="AL11" s="391"/>
      <c r="AM11" s="391">
        <f t="shared" si="10"/>
        <v>0</v>
      </c>
      <c r="AO11" s="258"/>
      <c r="AP11" s="515"/>
      <c r="AQ11" s="489">
        <v>4</v>
      </c>
      <c r="AR11" s="497">
        <v>900.8</v>
      </c>
      <c r="AS11" s="498"/>
      <c r="AT11" s="497"/>
      <c r="AU11" s="499"/>
      <c r="AV11" s="500"/>
      <c r="AW11" s="5">
        <f t="shared" si="11"/>
        <v>0</v>
      </c>
      <c r="AY11" s="258"/>
      <c r="AZ11" s="488"/>
      <c r="BA11" s="489">
        <v>4</v>
      </c>
      <c r="BB11" s="880">
        <v>930.72</v>
      </c>
      <c r="BC11" s="502"/>
      <c r="BD11" s="490"/>
      <c r="BE11" s="399"/>
      <c r="BF11" s="391"/>
      <c r="BG11" s="391">
        <f t="shared" si="12"/>
        <v>0</v>
      </c>
      <c r="BI11" s="258"/>
      <c r="BJ11" s="488"/>
      <c r="BK11" s="489">
        <v>4</v>
      </c>
      <c r="BL11" s="490">
        <v>912.2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927.14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916.7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/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25">
      <c r="A12" s="417">
        <v>9</v>
      </c>
      <c r="B12" s="283">
        <f t="shared" ref="B12:I12" si="28">CM5</f>
        <v>0</v>
      </c>
      <c r="C12" s="283">
        <f t="shared" si="28"/>
        <v>0</v>
      </c>
      <c r="D12" s="431">
        <f t="shared" si="28"/>
        <v>0</v>
      </c>
      <c r="E12" s="432">
        <f t="shared" si="28"/>
        <v>0</v>
      </c>
      <c r="F12" s="215">
        <f t="shared" si="28"/>
        <v>0</v>
      </c>
      <c r="G12" s="6">
        <f t="shared" si="28"/>
        <v>0</v>
      </c>
      <c r="H12" s="233">
        <f t="shared" si="28"/>
        <v>0</v>
      </c>
      <c r="I12" s="433">
        <f t="shared" si="28"/>
        <v>0</v>
      </c>
      <c r="L12" s="488"/>
      <c r="M12" s="517">
        <v>5</v>
      </c>
      <c r="N12" s="490">
        <v>927.59</v>
      </c>
      <c r="O12" s="491"/>
      <c r="P12" s="492"/>
      <c r="Q12" s="493"/>
      <c r="R12" s="494"/>
      <c r="S12" s="520">
        <f t="shared" si="8"/>
        <v>0</v>
      </c>
      <c r="V12" s="496"/>
      <c r="W12" s="836">
        <v>5</v>
      </c>
      <c r="X12" s="497">
        <v>916.3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905.37</v>
      </c>
      <c r="AI12" s="502"/>
      <c r="AJ12" s="521"/>
      <c r="AK12" s="399"/>
      <c r="AL12" s="391"/>
      <c r="AM12" s="391">
        <f t="shared" si="10"/>
        <v>0</v>
      </c>
      <c r="AP12" s="515"/>
      <c r="AQ12" s="489">
        <v>5</v>
      </c>
      <c r="AR12" s="497">
        <v>918.5</v>
      </c>
      <c r="AS12" s="498"/>
      <c r="AT12" s="497"/>
      <c r="AU12" s="499"/>
      <c r="AV12" s="500"/>
      <c r="AW12" s="5">
        <f t="shared" si="11"/>
        <v>0</v>
      </c>
      <c r="AZ12" s="488"/>
      <c r="BA12" s="489">
        <v>5</v>
      </c>
      <c r="BB12" s="880">
        <v>957.07</v>
      </c>
      <c r="BC12" s="502"/>
      <c r="BD12" s="490"/>
      <c r="BE12" s="399"/>
      <c r="BF12" s="391"/>
      <c r="BG12" s="391">
        <f t="shared" si="12"/>
        <v>0</v>
      </c>
      <c r="BJ12" s="488"/>
      <c r="BK12" s="489">
        <v>5</v>
      </c>
      <c r="BL12" s="490">
        <v>897.7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928.04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916.3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/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517">
        <v>6</v>
      </c>
      <c r="N13" s="490">
        <v>940.75</v>
      </c>
      <c r="O13" s="502"/>
      <c r="P13" s="490"/>
      <c r="Q13" s="399"/>
      <c r="R13" s="391"/>
      <c r="S13" s="462">
        <f t="shared" si="8"/>
        <v>0</v>
      </c>
      <c r="V13" s="496"/>
      <c r="W13" s="836">
        <v>6</v>
      </c>
      <c r="X13" s="497">
        <v>940.3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967.96</v>
      </c>
      <c r="AI13" s="502"/>
      <c r="AJ13" s="521"/>
      <c r="AK13" s="399"/>
      <c r="AL13" s="391"/>
      <c r="AM13" s="391">
        <f t="shared" si="10"/>
        <v>0</v>
      </c>
      <c r="AP13" s="515"/>
      <c r="AQ13" s="489">
        <v>6</v>
      </c>
      <c r="AR13" s="497">
        <v>933</v>
      </c>
      <c r="AS13" s="498"/>
      <c r="AT13" s="497"/>
      <c r="AU13" s="499"/>
      <c r="AV13" s="500"/>
      <c r="AW13" s="462">
        <f t="shared" si="11"/>
        <v>0</v>
      </c>
      <c r="AZ13" s="488"/>
      <c r="BA13" s="489">
        <v>6</v>
      </c>
      <c r="BB13" s="880">
        <v>962.06</v>
      </c>
      <c r="BC13" s="502"/>
      <c r="BD13" s="490"/>
      <c r="BE13" s="399"/>
      <c r="BF13" s="391"/>
      <c r="BG13" s="391">
        <f t="shared" si="12"/>
        <v>0</v>
      </c>
      <c r="BJ13" s="488"/>
      <c r="BK13" s="489">
        <v>6</v>
      </c>
      <c r="BL13" s="490">
        <v>889.9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902.64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914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/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517">
        <v>7</v>
      </c>
      <c r="N14" s="490">
        <v>911.72</v>
      </c>
      <c r="O14" s="491"/>
      <c r="P14" s="492"/>
      <c r="Q14" s="493"/>
      <c r="R14" s="494"/>
      <c r="S14" s="520">
        <f t="shared" si="8"/>
        <v>0</v>
      </c>
      <c r="V14" s="496"/>
      <c r="W14" s="836">
        <v>7</v>
      </c>
      <c r="X14" s="497">
        <v>897.2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906.27</v>
      </c>
      <c r="AI14" s="502"/>
      <c r="AJ14" s="521"/>
      <c r="AK14" s="399"/>
      <c r="AL14" s="391"/>
      <c r="AM14" s="391">
        <f t="shared" si="10"/>
        <v>0</v>
      </c>
      <c r="AP14" s="515"/>
      <c r="AQ14" s="489">
        <v>7</v>
      </c>
      <c r="AR14" s="497">
        <v>909.9</v>
      </c>
      <c r="AS14" s="498"/>
      <c r="AT14" s="497"/>
      <c r="AU14" s="499"/>
      <c r="AV14" s="500"/>
      <c r="AW14" s="5">
        <f t="shared" si="11"/>
        <v>0</v>
      </c>
      <c r="AZ14" s="488"/>
      <c r="BA14" s="489">
        <v>7</v>
      </c>
      <c r="BB14" s="880">
        <v>947.11</v>
      </c>
      <c r="BC14" s="502"/>
      <c r="BD14" s="490"/>
      <c r="BE14" s="399"/>
      <c r="BF14" s="391"/>
      <c r="BG14" s="391">
        <f t="shared" si="12"/>
        <v>0</v>
      </c>
      <c r="BJ14" s="488"/>
      <c r="BK14" s="489">
        <v>7</v>
      </c>
      <c r="BL14" s="490">
        <v>910.8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916.25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886.3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/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517">
        <v>8</v>
      </c>
      <c r="N15" s="490">
        <v>957.98</v>
      </c>
      <c r="O15" s="502"/>
      <c r="P15" s="490"/>
      <c r="Q15" s="399"/>
      <c r="R15" s="391"/>
      <c r="S15" s="462">
        <f t="shared" si="8"/>
        <v>0</v>
      </c>
      <c r="V15" s="496"/>
      <c r="W15" s="836">
        <v>8</v>
      </c>
      <c r="X15" s="497">
        <v>894.5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935.3</v>
      </c>
      <c r="AI15" s="502"/>
      <c r="AJ15" s="521"/>
      <c r="AK15" s="399"/>
      <c r="AL15" s="391"/>
      <c r="AM15" s="391">
        <f t="shared" si="10"/>
        <v>0</v>
      </c>
      <c r="AP15" s="515"/>
      <c r="AQ15" s="489">
        <v>8</v>
      </c>
      <c r="AR15" s="497">
        <v>922.6</v>
      </c>
      <c r="AS15" s="498"/>
      <c r="AT15" s="497"/>
      <c r="AU15" s="499"/>
      <c r="AV15" s="500"/>
      <c r="AW15" s="5">
        <f t="shared" si="11"/>
        <v>0</v>
      </c>
      <c r="AZ15" s="488"/>
      <c r="BA15" s="489">
        <v>8</v>
      </c>
      <c r="BB15" s="880">
        <v>912.62</v>
      </c>
      <c r="BC15" s="502"/>
      <c r="BD15" s="490"/>
      <c r="BE15" s="399"/>
      <c r="BF15" s="391"/>
      <c r="BG15" s="391">
        <f t="shared" si="12"/>
        <v>0</v>
      </c>
      <c r="BJ15" s="488"/>
      <c r="BK15" s="489">
        <v>8</v>
      </c>
      <c r="BL15" s="490">
        <v>912.2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957.07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885.4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/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517">
        <v>9</v>
      </c>
      <c r="N16" s="490">
        <v>908.99</v>
      </c>
      <c r="O16" s="502"/>
      <c r="P16" s="490"/>
      <c r="Q16" s="399"/>
      <c r="R16" s="391"/>
      <c r="S16" s="462">
        <f t="shared" si="8"/>
        <v>0</v>
      </c>
      <c r="V16" s="496"/>
      <c r="W16" s="836">
        <v>9</v>
      </c>
      <c r="X16" s="497">
        <v>865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936.21</v>
      </c>
      <c r="AI16" s="502"/>
      <c r="AJ16" s="521"/>
      <c r="AK16" s="399"/>
      <c r="AL16" s="391"/>
      <c r="AM16" s="391">
        <f t="shared" si="10"/>
        <v>0</v>
      </c>
      <c r="AP16" s="515"/>
      <c r="AQ16" s="489">
        <v>9</v>
      </c>
      <c r="AR16" s="497">
        <v>918.5</v>
      </c>
      <c r="AS16" s="498"/>
      <c r="AT16" s="497"/>
      <c r="AU16" s="499"/>
      <c r="AV16" s="500"/>
      <c r="AW16" s="5">
        <f t="shared" si="11"/>
        <v>0</v>
      </c>
      <c r="AZ16" s="488"/>
      <c r="BA16" s="489">
        <v>9</v>
      </c>
      <c r="BB16" s="880">
        <v>943.47</v>
      </c>
      <c r="BC16" s="502"/>
      <c r="BD16" s="490"/>
      <c r="BE16" s="399"/>
      <c r="BF16" s="391"/>
      <c r="BG16" s="391">
        <f t="shared" si="12"/>
        <v>0</v>
      </c>
      <c r="BJ16" s="488"/>
      <c r="BK16" s="489">
        <v>9</v>
      </c>
      <c r="BL16" s="490">
        <v>884.5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926.23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881.3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/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517">
        <v>10</v>
      </c>
      <c r="N17" s="490">
        <v>930.77</v>
      </c>
      <c r="O17" s="491"/>
      <c r="P17" s="492"/>
      <c r="Q17" s="493"/>
      <c r="R17" s="494"/>
      <c r="S17" s="520">
        <f t="shared" si="8"/>
        <v>0</v>
      </c>
      <c r="V17" s="496"/>
      <c r="W17" s="836">
        <v>10</v>
      </c>
      <c r="X17" s="497">
        <v>864.5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937.12</v>
      </c>
      <c r="AI17" s="502"/>
      <c r="AJ17" s="521"/>
      <c r="AK17" s="399"/>
      <c r="AL17" s="391"/>
      <c r="AM17" s="391">
        <f t="shared" si="10"/>
        <v>0</v>
      </c>
      <c r="AP17" s="515"/>
      <c r="AQ17" s="489">
        <v>10</v>
      </c>
      <c r="AR17" s="497">
        <v>926.2</v>
      </c>
      <c r="AS17" s="498"/>
      <c r="AT17" s="497"/>
      <c r="AU17" s="499"/>
      <c r="AV17" s="500"/>
      <c r="AW17" s="5">
        <f t="shared" si="11"/>
        <v>0</v>
      </c>
      <c r="AZ17" s="488"/>
      <c r="BA17" s="489">
        <v>10</v>
      </c>
      <c r="BB17" s="881">
        <v>941.65</v>
      </c>
      <c r="BC17" s="502"/>
      <c r="BD17" s="249"/>
      <c r="BE17" s="399"/>
      <c r="BF17" s="391"/>
      <c r="BG17" s="391">
        <f t="shared" si="12"/>
        <v>0</v>
      </c>
      <c r="BJ17" s="488"/>
      <c r="BK17" s="489">
        <v>10</v>
      </c>
      <c r="BL17" s="490">
        <v>885.4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887.22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903.6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/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517">
        <v>11</v>
      </c>
      <c r="N18" s="490">
        <v>960.7</v>
      </c>
      <c r="O18" s="491"/>
      <c r="P18" s="492"/>
      <c r="Q18" s="493"/>
      <c r="R18" s="494"/>
      <c r="S18" s="520">
        <f t="shared" si="8"/>
        <v>0</v>
      </c>
      <c r="V18" s="488"/>
      <c r="W18" s="836">
        <v>11</v>
      </c>
      <c r="X18" s="497">
        <v>895.8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905.37</v>
      </c>
      <c r="AI18" s="502"/>
      <c r="AJ18" s="521"/>
      <c r="AK18" s="399"/>
      <c r="AL18" s="391"/>
      <c r="AM18" s="391">
        <f t="shared" si="10"/>
        <v>0</v>
      </c>
      <c r="AP18" s="515"/>
      <c r="AQ18" s="489">
        <v>11</v>
      </c>
      <c r="AR18" s="497">
        <v>911.3</v>
      </c>
      <c r="AS18" s="498"/>
      <c r="AT18" s="497"/>
      <c r="AU18" s="499"/>
      <c r="AV18" s="500"/>
      <c r="AW18" s="5">
        <f t="shared" si="11"/>
        <v>0</v>
      </c>
      <c r="AZ18" s="488"/>
      <c r="BA18" s="489">
        <v>11</v>
      </c>
      <c r="BB18" s="880">
        <v>895.39</v>
      </c>
      <c r="BC18" s="502"/>
      <c r="BD18" s="490"/>
      <c r="BE18" s="399"/>
      <c r="BF18" s="391"/>
      <c r="BG18" s="391">
        <f t="shared" si="12"/>
        <v>0</v>
      </c>
      <c r="BJ18" s="488"/>
      <c r="BK18" s="489">
        <v>11</v>
      </c>
      <c r="BL18" s="490">
        <v>906.7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903.55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867.7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/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517">
        <v>12</v>
      </c>
      <c r="N19" s="490">
        <v>966.15</v>
      </c>
      <c r="O19" s="502"/>
      <c r="P19" s="490"/>
      <c r="Q19" s="399"/>
      <c r="R19" s="391"/>
      <c r="S19" s="462">
        <f t="shared" si="8"/>
        <v>0</v>
      </c>
      <c r="V19" s="488"/>
      <c r="W19" s="836">
        <v>12</v>
      </c>
      <c r="X19" s="497">
        <v>917.2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920.79</v>
      </c>
      <c r="AI19" s="502"/>
      <c r="AJ19" s="521"/>
      <c r="AK19" s="399"/>
      <c r="AL19" s="391"/>
      <c r="AM19" s="391">
        <f t="shared" si="10"/>
        <v>0</v>
      </c>
      <c r="AP19" s="515"/>
      <c r="AQ19" s="489">
        <v>12</v>
      </c>
      <c r="AR19" s="497">
        <v>917.2</v>
      </c>
      <c r="AS19" s="498"/>
      <c r="AT19" s="497"/>
      <c r="AU19" s="499"/>
      <c r="AV19" s="500"/>
      <c r="AW19" s="5">
        <f t="shared" si="11"/>
        <v>0</v>
      </c>
      <c r="AZ19" s="488"/>
      <c r="BA19" s="489">
        <v>12</v>
      </c>
      <c r="BB19" s="880">
        <v>962.52</v>
      </c>
      <c r="BC19" s="502"/>
      <c r="BD19" s="490"/>
      <c r="BE19" s="399"/>
      <c r="BF19" s="391"/>
      <c r="BG19" s="391">
        <f t="shared" si="12"/>
        <v>0</v>
      </c>
      <c r="BJ19" s="488"/>
      <c r="BK19" s="489">
        <v>12</v>
      </c>
      <c r="BL19" s="490">
        <v>904.5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889.94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936.2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/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517">
        <v>13</v>
      </c>
      <c r="N20" s="490">
        <v>895.3</v>
      </c>
      <c r="O20" s="502"/>
      <c r="P20" s="490"/>
      <c r="Q20" s="399"/>
      <c r="R20" s="391"/>
      <c r="S20" s="462">
        <f t="shared" si="8"/>
        <v>0</v>
      </c>
      <c r="V20" s="488"/>
      <c r="W20" s="836">
        <v>13</v>
      </c>
      <c r="X20" s="497">
        <v>899.5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915.34</v>
      </c>
      <c r="AI20" s="502"/>
      <c r="AJ20" s="521"/>
      <c r="AK20" s="399"/>
      <c r="AL20" s="391"/>
      <c r="AM20" s="391">
        <f t="shared" si="10"/>
        <v>0</v>
      </c>
      <c r="AP20" s="515"/>
      <c r="AQ20" s="489">
        <v>13</v>
      </c>
      <c r="AR20" s="497">
        <v>909.4</v>
      </c>
      <c r="AS20" s="498"/>
      <c r="AT20" s="497"/>
      <c r="AU20" s="499"/>
      <c r="AV20" s="500"/>
      <c r="AW20" s="5">
        <f t="shared" si="11"/>
        <v>0</v>
      </c>
      <c r="AZ20" s="488"/>
      <c r="BA20" s="489">
        <v>13</v>
      </c>
      <c r="BB20" s="880">
        <v>908.09</v>
      </c>
      <c r="BC20" s="502"/>
      <c r="BD20" s="490"/>
      <c r="BE20" s="399"/>
      <c r="BF20" s="391"/>
      <c r="BG20" s="391">
        <f t="shared" si="12"/>
        <v>0</v>
      </c>
      <c r="BJ20" s="488"/>
      <c r="BK20" s="489">
        <v>13</v>
      </c>
      <c r="BL20" s="490">
        <v>935.8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925.32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863.2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/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517">
        <v>14</v>
      </c>
      <c r="N21" s="490">
        <v>948.91</v>
      </c>
      <c r="O21" s="491"/>
      <c r="P21" s="492"/>
      <c r="Q21" s="493"/>
      <c r="R21" s="494"/>
      <c r="S21" s="520">
        <f t="shared" si="8"/>
        <v>0</v>
      </c>
      <c r="V21" s="488"/>
      <c r="W21" s="836">
        <v>14</v>
      </c>
      <c r="X21" s="497">
        <v>867.3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901.74</v>
      </c>
      <c r="AI21" s="502"/>
      <c r="AJ21" s="521"/>
      <c r="AK21" s="399"/>
      <c r="AL21" s="391"/>
      <c r="AM21" s="391">
        <f t="shared" si="10"/>
        <v>0</v>
      </c>
      <c r="AP21" s="515"/>
      <c r="AQ21" s="489">
        <v>14</v>
      </c>
      <c r="AR21" s="497">
        <v>864.5</v>
      </c>
      <c r="AS21" s="498"/>
      <c r="AT21" s="497"/>
      <c r="AU21" s="499"/>
      <c r="AV21" s="500"/>
      <c r="AW21" s="5">
        <f t="shared" si="11"/>
        <v>0</v>
      </c>
      <c r="AZ21" s="488"/>
      <c r="BA21" s="489">
        <v>14</v>
      </c>
      <c r="BB21" s="880">
        <v>930.77</v>
      </c>
      <c r="BC21" s="502"/>
      <c r="BD21" s="490"/>
      <c r="BE21" s="399"/>
      <c r="BF21" s="391"/>
      <c r="BG21" s="391">
        <f t="shared" si="12"/>
        <v>0</v>
      </c>
      <c r="BJ21" s="488"/>
      <c r="BK21" s="489">
        <v>14</v>
      </c>
      <c r="BL21" s="490">
        <v>904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887.22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885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/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517">
        <v>15</v>
      </c>
      <c r="N22" s="490">
        <v>963.43</v>
      </c>
      <c r="O22" s="502"/>
      <c r="P22" s="490"/>
      <c r="Q22" s="399"/>
      <c r="R22" s="391"/>
      <c r="S22" s="462">
        <f t="shared" si="8"/>
        <v>0</v>
      </c>
      <c r="V22" s="488"/>
      <c r="W22" s="836">
        <v>15</v>
      </c>
      <c r="X22" s="497">
        <v>909.9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913.53</v>
      </c>
      <c r="AI22" s="502"/>
      <c r="AJ22" s="521"/>
      <c r="AK22" s="399"/>
      <c r="AL22" s="391"/>
      <c r="AM22" s="391">
        <f t="shared" si="10"/>
        <v>0</v>
      </c>
      <c r="AP22" s="515"/>
      <c r="AQ22" s="489">
        <v>15</v>
      </c>
      <c r="AR22" s="497">
        <v>891.8</v>
      </c>
      <c r="AS22" s="498"/>
      <c r="AT22" s="497"/>
      <c r="AU22" s="499"/>
      <c r="AV22" s="500"/>
      <c r="AW22" s="5">
        <f t="shared" si="11"/>
        <v>0</v>
      </c>
      <c r="AZ22" s="488"/>
      <c r="BA22" s="489">
        <v>15</v>
      </c>
      <c r="BB22" s="880">
        <v>907.18</v>
      </c>
      <c r="BC22" s="502"/>
      <c r="BD22" s="490"/>
      <c r="BE22" s="399"/>
      <c r="BF22" s="391"/>
      <c r="BG22" s="391">
        <f t="shared" si="12"/>
        <v>0</v>
      </c>
      <c r="BJ22" s="488"/>
      <c r="BK22" s="489">
        <v>15</v>
      </c>
      <c r="BL22" s="490">
        <v>890.9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933.49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885.4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/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517">
        <v>16</v>
      </c>
      <c r="N23" s="490">
        <v>927.14</v>
      </c>
      <c r="O23" s="502"/>
      <c r="P23" s="490"/>
      <c r="Q23" s="399"/>
      <c r="R23" s="391"/>
      <c r="S23" s="462">
        <f t="shared" si="8"/>
        <v>0</v>
      </c>
      <c r="V23" s="488"/>
      <c r="W23" s="836">
        <v>16</v>
      </c>
      <c r="X23" s="497">
        <v>877.7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934.4</v>
      </c>
      <c r="AI23" s="502"/>
      <c r="AJ23" s="521"/>
      <c r="AK23" s="399"/>
      <c r="AL23" s="391"/>
      <c r="AM23" s="391">
        <f t="shared" si="10"/>
        <v>0</v>
      </c>
      <c r="AP23" s="515"/>
      <c r="AQ23" s="489">
        <v>16</v>
      </c>
      <c r="AR23" s="497">
        <v>937.1</v>
      </c>
      <c r="AS23" s="498"/>
      <c r="AT23" s="497"/>
      <c r="AU23" s="499"/>
      <c r="AV23" s="500"/>
      <c r="AW23" s="5">
        <f t="shared" si="11"/>
        <v>0</v>
      </c>
      <c r="AZ23" s="488"/>
      <c r="BA23" s="489">
        <v>16</v>
      </c>
      <c r="BB23" s="880">
        <v>909.9</v>
      </c>
      <c r="BC23" s="502"/>
      <c r="BD23" s="490"/>
      <c r="BE23" s="399"/>
      <c r="BF23" s="391"/>
      <c r="BG23" s="391">
        <f t="shared" si="12"/>
        <v>0</v>
      </c>
      <c r="BJ23" s="488"/>
      <c r="BK23" s="489">
        <v>16</v>
      </c>
      <c r="BL23" s="490">
        <v>878.6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908.09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885.9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/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517">
        <v>17</v>
      </c>
      <c r="N24" s="490">
        <v>916.25</v>
      </c>
      <c r="O24" s="502"/>
      <c r="P24" s="490"/>
      <c r="Q24" s="399"/>
      <c r="R24" s="391"/>
      <c r="S24" s="462">
        <f t="shared" si="8"/>
        <v>0</v>
      </c>
      <c r="V24" s="488"/>
      <c r="W24" s="836">
        <v>17</v>
      </c>
      <c r="X24" s="497">
        <v>932.6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897.2</v>
      </c>
      <c r="AI24" s="502"/>
      <c r="AJ24" s="521"/>
      <c r="AK24" s="399"/>
      <c r="AL24" s="391"/>
      <c r="AM24" s="391">
        <f t="shared" si="10"/>
        <v>0</v>
      </c>
      <c r="AP24" s="515"/>
      <c r="AQ24" s="489">
        <v>17</v>
      </c>
      <c r="AR24" s="497">
        <v>878.6</v>
      </c>
      <c r="AS24" s="498"/>
      <c r="AT24" s="497"/>
      <c r="AU24" s="499"/>
      <c r="AV24" s="500"/>
      <c r="AW24" s="5">
        <f t="shared" si="11"/>
        <v>0</v>
      </c>
      <c r="AZ24" s="488"/>
      <c r="BA24" s="489">
        <v>17</v>
      </c>
      <c r="BB24" s="880">
        <v>920.79</v>
      </c>
      <c r="BC24" s="502"/>
      <c r="BD24" s="490"/>
      <c r="BE24" s="399"/>
      <c r="BF24" s="391"/>
      <c r="BG24" s="391">
        <f t="shared" si="12"/>
        <v>0</v>
      </c>
      <c r="BJ24" s="488"/>
      <c r="BK24" s="489">
        <v>17</v>
      </c>
      <c r="BL24" s="490">
        <v>910.8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961.61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877.7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/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517">
        <v>18</v>
      </c>
      <c r="N25" s="490">
        <v>938.93</v>
      </c>
      <c r="O25" s="502"/>
      <c r="P25" s="490"/>
      <c r="Q25" s="399"/>
      <c r="R25" s="391"/>
      <c r="S25" s="462">
        <f t="shared" si="8"/>
        <v>0</v>
      </c>
      <c r="V25" s="511"/>
      <c r="W25" s="836">
        <v>18</v>
      </c>
      <c r="X25" s="497">
        <v>890.4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904.46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7">
        <v>867.7</v>
      </c>
      <c r="AS25" s="498"/>
      <c r="AT25" s="497"/>
      <c r="AU25" s="499"/>
      <c r="AV25" s="500"/>
      <c r="AW25" s="5">
        <f t="shared" si="11"/>
        <v>0</v>
      </c>
      <c r="AZ25" s="515"/>
      <c r="BA25" s="489">
        <v>18</v>
      </c>
      <c r="BB25" s="880">
        <v>943.47</v>
      </c>
      <c r="BC25" s="502"/>
      <c r="BD25" s="490"/>
      <c r="BE25" s="399"/>
      <c r="BF25" s="391"/>
      <c r="BG25" s="391">
        <f t="shared" si="12"/>
        <v>0</v>
      </c>
      <c r="BJ25" s="515"/>
      <c r="BK25" s="489">
        <v>18</v>
      </c>
      <c r="BL25" s="490">
        <v>937.6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934.4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892.2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/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517">
        <v>19</v>
      </c>
      <c r="N26" s="490">
        <v>966.15</v>
      </c>
      <c r="O26" s="491"/>
      <c r="P26" s="492"/>
      <c r="Q26" s="493"/>
      <c r="R26" s="494"/>
      <c r="S26" s="495">
        <f t="shared" si="8"/>
        <v>0</v>
      </c>
      <c r="V26" s="488"/>
      <c r="W26" s="836">
        <v>19</v>
      </c>
      <c r="X26" s="497">
        <v>930.8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919.88</v>
      </c>
      <c r="AI26" s="502"/>
      <c r="AJ26" s="521"/>
      <c r="AK26" s="399"/>
      <c r="AL26" s="391"/>
      <c r="AM26" s="391">
        <f t="shared" si="10"/>
        <v>0</v>
      </c>
      <c r="AP26" s="515"/>
      <c r="AQ26" s="489">
        <v>19</v>
      </c>
      <c r="AR26" s="497">
        <v>914.4</v>
      </c>
      <c r="AS26" s="498"/>
      <c r="AT26" s="497"/>
      <c r="AU26" s="499"/>
      <c r="AV26" s="500"/>
      <c r="AW26" s="5">
        <f t="shared" si="11"/>
        <v>0</v>
      </c>
      <c r="AZ26" s="488"/>
      <c r="BA26" s="489">
        <v>19</v>
      </c>
      <c r="BB26" s="880">
        <v>923.51</v>
      </c>
      <c r="BC26" s="502"/>
      <c r="BD26" s="490"/>
      <c r="BE26" s="399"/>
      <c r="BF26" s="391"/>
      <c r="BG26" s="391">
        <f t="shared" si="12"/>
        <v>0</v>
      </c>
      <c r="BJ26" s="488"/>
      <c r="BK26" s="489">
        <v>19</v>
      </c>
      <c r="BL26" s="490">
        <v>927.1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928.95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928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/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517">
        <v>20</v>
      </c>
      <c r="N27" s="490">
        <v>966.15</v>
      </c>
      <c r="O27" s="491"/>
      <c r="P27" s="492"/>
      <c r="Q27" s="493"/>
      <c r="R27" s="494"/>
      <c r="S27" s="495">
        <f t="shared" si="8"/>
        <v>0</v>
      </c>
      <c r="V27" s="488"/>
      <c r="W27" s="836">
        <v>20</v>
      </c>
      <c r="X27" s="497">
        <v>911.3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893.57</v>
      </c>
      <c r="AI27" s="502"/>
      <c r="AJ27" s="521"/>
      <c r="AK27" s="399"/>
      <c r="AL27" s="391"/>
      <c r="AM27" s="391">
        <f t="shared" si="10"/>
        <v>0</v>
      </c>
      <c r="AP27" s="515"/>
      <c r="AQ27" s="489">
        <v>20</v>
      </c>
      <c r="AR27" s="497">
        <v>880</v>
      </c>
      <c r="AS27" s="498"/>
      <c r="AT27" s="497"/>
      <c r="AU27" s="499"/>
      <c r="AV27" s="500"/>
      <c r="AW27" s="5">
        <f t="shared" si="11"/>
        <v>0</v>
      </c>
      <c r="AZ27" s="488"/>
      <c r="BA27" s="489">
        <v>20</v>
      </c>
      <c r="BB27" s="880">
        <v>928.95</v>
      </c>
      <c r="BC27" s="502"/>
      <c r="BD27" s="490"/>
      <c r="BE27" s="399"/>
      <c r="BF27" s="391"/>
      <c r="BG27" s="391">
        <f t="shared" si="12"/>
        <v>0</v>
      </c>
      <c r="BJ27" s="488"/>
      <c r="BK27" s="489">
        <v>20</v>
      </c>
      <c r="BL27" s="490">
        <v>886.8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875.9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/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517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836">
        <v>21</v>
      </c>
      <c r="X28" s="497">
        <v>869.1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515"/>
      <c r="AQ28" s="489">
        <v>21</v>
      </c>
      <c r="AR28" s="497">
        <v>891.8</v>
      </c>
      <c r="AS28" s="498"/>
      <c r="AT28" s="497"/>
      <c r="AU28" s="499"/>
      <c r="AV28" s="500"/>
      <c r="AW28" s="5">
        <f t="shared" si="11"/>
        <v>0</v>
      </c>
      <c r="AZ28" s="488"/>
      <c r="BA28" s="489">
        <v>21</v>
      </c>
      <c r="BB28" s="880"/>
      <c r="BC28" s="502"/>
      <c r="BD28" s="490"/>
      <c r="BE28" s="399"/>
      <c r="BF28" s="391"/>
      <c r="BG28" s="391">
        <f t="shared" si="12"/>
        <v>0</v>
      </c>
      <c r="BJ28" s="488"/>
      <c r="BK28" s="489">
        <v>21</v>
      </c>
      <c r="BL28" s="490">
        <v>938.5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517"/>
      <c r="N29" s="490"/>
      <c r="O29" s="502"/>
      <c r="P29" s="490"/>
      <c r="Q29" s="399"/>
      <c r="R29" s="391"/>
      <c r="S29" s="5">
        <f t="shared" si="8"/>
        <v>0</v>
      </c>
      <c r="V29" s="488"/>
      <c r="W29" s="836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>
        <v>22</v>
      </c>
      <c r="AR29" s="497"/>
      <c r="AS29" s="498"/>
      <c r="AT29" s="497"/>
      <c r="AU29" s="499"/>
      <c r="AV29" s="500"/>
      <c r="AW29" s="5">
        <f t="shared" si="11"/>
        <v>0</v>
      </c>
      <c r="AZ29" s="515"/>
      <c r="BA29" s="489"/>
      <c r="BB29" s="880"/>
      <c r="BC29" s="502"/>
      <c r="BD29" s="490"/>
      <c r="BE29" s="399"/>
      <c r="BF29" s="391"/>
      <c r="BG29" s="391">
        <f>SUM(BG8:BG28)</f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517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>
        <v>23</v>
      </c>
      <c r="AR30" s="891"/>
      <c r="AS30" s="498"/>
      <c r="AT30" s="891"/>
      <c r="AU30" s="499"/>
      <c r="AV30" s="500"/>
      <c r="AW30" s="5">
        <f t="shared" si="11"/>
        <v>0</v>
      </c>
      <c r="AZ30" s="488"/>
      <c r="BA30" s="489"/>
      <c r="BB30" s="881"/>
      <c r="BC30" s="502"/>
      <c r="BD30" s="249"/>
      <c r="BE30" s="399"/>
      <c r="BF30" s="391"/>
      <c r="BG30" s="391"/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801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>
        <v>24</v>
      </c>
      <c r="AR31" s="892"/>
      <c r="AS31" s="893"/>
      <c r="AT31" s="892"/>
      <c r="AU31" s="894"/>
      <c r="AV31" s="895"/>
      <c r="AW31" s="545">
        <f t="shared" si="11"/>
        <v>0</v>
      </c>
      <c r="AZ31" s="532"/>
      <c r="BA31" s="533"/>
      <c r="BB31" s="882"/>
      <c r="BC31" s="541"/>
      <c r="BD31" s="542"/>
      <c r="BE31" s="543"/>
      <c r="BF31" s="507"/>
      <c r="BG31" s="50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18798.974000000002</v>
      </c>
      <c r="P32" s="433">
        <f>SUM(P8:P31)</f>
        <v>0</v>
      </c>
      <c r="S32" s="5"/>
      <c r="X32" s="215">
        <f>SUM(X8:X31)</f>
        <v>18893.199999999997</v>
      </c>
      <c r="Z32" s="433">
        <f>SUM(Z8:Z31)</f>
        <v>0</v>
      </c>
      <c r="AH32" s="433">
        <f>SUM(AH8:AH31)</f>
        <v>18383.110000000004</v>
      </c>
      <c r="AJ32" s="433">
        <f>SUM(AJ8:AJ31)</f>
        <v>0</v>
      </c>
      <c r="AR32" s="433">
        <f>SUM(AR8:AR31)</f>
        <v>19011.7</v>
      </c>
      <c r="AT32" s="433">
        <f>SUM(AT8:AT31)</f>
        <v>0</v>
      </c>
      <c r="AW32" s="5">
        <f>SUM(AW8:AW31)</f>
        <v>0</v>
      </c>
      <c r="AZ32" s="283"/>
      <c r="BB32" s="215">
        <f>SUM(BB8:BB31)</f>
        <v>18618.469999999998</v>
      </c>
      <c r="BD32" s="215">
        <f>SUM(BD8:BD31)</f>
        <v>0</v>
      </c>
      <c r="BG32" s="283"/>
      <c r="BL32" s="215">
        <f>SUM(BL8:BL31)</f>
        <v>19032.3</v>
      </c>
      <c r="BN32" s="433">
        <f>SUM(BN8:BN31)</f>
        <v>0</v>
      </c>
      <c r="BV32" s="433">
        <f>SUM(BV8:BV31)</f>
        <v>18376.73</v>
      </c>
      <c r="BX32" s="433">
        <f>SUM(BX8:BX31)</f>
        <v>0</v>
      </c>
      <c r="CF32" s="433">
        <f>SUM(CF8:CF31)</f>
        <v>18799.600000000006</v>
      </c>
      <c r="CH32" s="433">
        <f>SUM(CH8:CH31)</f>
        <v>0</v>
      </c>
      <c r="CP32" s="433">
        <f>SUM(CP8:CP31)</f>
        <v>0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18798.57</v>
      </c>
      <c r="S33" s="5"/>
      <c r="X33" s="560" t="s">
        <v>55</v>
      </c>
      <c r="Y33" s="561"/>
      <c r="Z33" s="562">
        <f>AA5-Z32</f>
        <v>18893.2</v>
      </c>
      <c r="AH33" s="560" t="s">
        <v>55</v>
      </c>
      <c r="AI33" s="561"/>
      <c r="AJ33" s="562">
        <f>AK5-AJ32</f>
        <v>18383.11</v>
      </c>
      <c r="AR33" s="560" t="s">
        <v>55</v>
      </c>
      <c r="AS33" s="561"/>
      <c r="AT33" s="562">
        <f>AR32-AT32</f>
        <v>19011.7</v>
      </c>
      <c r="AZ33" s="283"/>
      <c r="BB33" s="560" t="s">
        <v>55</v>
      </c>
      <c r="BC33" s="561"/>
      <c r="BD33" s="562">
        <f>BE5-BD32</f>
        <v>18618.47</v>
      </c>
      <c r="BG33" s="283"/>
      <c r="BL33" s="560" t="s">
        <v>55</v>
      </c>
      <c r="BM33" s="561"/>
      <c r="BN33" s="562">
        <f>BO5-BN32</f>
        <v>19032.3</v>
      </c>
      <c r="BV33" s="560" t="s">
        <v>55</v>
      </c>
      <c r="BW33" s="561"/>
      <c r="BX33" s="562">
        <f>BV32-BX32</f>
        <v>18376.73</v>
      </c>
      <c r="CF33" s="560" t="s">
        <v>55</v>
      </c>
      <c r="CG33" s="561"/>
      <c r="CH33" s="562">
        <f>CI5-CH32</f>
        <v>18799.599999999999</v>
      </c>
      <c r="CP33" s="560" t="s">
        <v>55</v>
      </c>
      <c r="CQ33" s="561"/>
      <c r="CR33" s="562">
        <f>CP32-CR32</f>
        <v>0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Z34" s="283"/>
      <c r="BB34" s="552" t="s">
        <v>9</v>
      </c>
      <c r="BC34" s="14"/>
      <c r="BD34" s="564"/>
      <c r="BG34" s="283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BG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  <c r="BG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 ENERO  2024   </vt:lpstr>
      <vt:lpstr>COMPRAS    ENERO       2024    </vt:lpstr>
      <vt:lpstr>  COMBOS     ENERO     2024    </vt:lpstr>
      <vt:lpstr>   CANALES  FEBRERO  2024      </vt:lpstr>
      <vt:lpstr>COMPRAS  COMBOS  FEBRERO 2024  </vt:lpstr>
      <vt:lpstr>  C O M B O S  FEBRERO  2 0 2 4</vt:lpstr>
      <vt:lpstr>Hoja2</vt:lpstr>
      <vt:lpstr>Hoja3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2024-01-16T14:13:53Z</dcterms:created>
  <dcterms:modified xsi:type="dcterms:W3CDTF">2024-03-04T18:49:00Z</dcterms:modified>
</cp:coreProperties>
</file>