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0" yWindow="0" windowWidth="17190" windowHeight="10725" firstSheet="4" activeTab="4"/>
  </bookViews>
  <sheets>
    <sheet name="A G O S T O    2 0 2 1     " sheetId="1" r:id="rId1"/>
    <sheet name="REMISIONES  AGOSTO 2021    " sheetId="2" r:id="rId2"/>
    <sheet name="SEPTIEMBRE    2 0 2 1   " sheetId="3" r:id="rId3"/>
    <sheet name="REMISIONES  SEPTIEMBRE  2021  " sheetId="5" r:id="rId4"/>
    <sheet name="OCTUBRE   2 0 2 1             " sheetId="7" r:id="rId5"/>
    <sheet name="REMISIONES OCTUBRE  2021     " sheetId="8" r:id="rId6"/>
    <sheet name="Hoja3" sheetId="9" r:id="rId7"/>
    <sheet name="CANCELACIONES         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7" l="1"/>
  <c r="M32" i="7"/>
  <c r="M31" i="7"/>
  <c r="M30" i="7"/>
  <c r="M29" i="7"/>
  <c r="M28" i="7" l="1"/>
  <c r="M27" i="7"/>
  <c r="M26" i="7"/>
  <c r="M25" i="7"/>
  <c r="M24" i="7"/>
  <c r="M23" i="7" l="1"/>
  <c r="M22" i="7" l="1"/>
  <c r="M21" i="7"/>
  <c r="M20" i="7"/>
  <c r="M19" i="7"/>
  <c r="M18" i="7"/>
  <c r="M17" i="7" l="1"/>
  <c r="M16" i="7"/>
  <c r="M15" i="7" l="1"/>
  <c r="M14" i="7"/>
  <c r="M13" i="7"/>
  <c r="M12" i="7"/>
  <c r="M11" i="7"/>
  <c r="M10" i="7"/>
  <c r="M9" i="7"/>
  <c r="M8" i="7"/>
  <c r="M7" i="7"/>
  <c r="M6" i="7"/>
  <c r="M5" i="7"/>
  <c r="E98" i="8" l="1"/>
  <c r="C98" i="8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K56" i="7"/>
  <c r="L50" i="7"/>
  <c r="I50" i="7"/>
  <c r="F50" i="7"/>
  <c r="C50" i="7"/>
  <c r="N39" i="7"/>
  <c r="Q38" i="7"/>
  <c r="Q37" i="7"/>
  <c r="Q36" i="7"/>
  <c r="Q35" i="7"/>
  <c r="Q34" i="7"/>
  <c r="Q33" i="7"/>
  <c r="P32" i="7"/>
  <c r="Q32" i="7" s="1"/>
  <c r="P31" i="7"/>
  <c r="Q31" i="7" s="1"/>
  <c r="P30" i="7"/>
  <c r="Q30" i="7" s="1"/>
  <c r="P29" i="7"/>
  <c r="Q29" i="7" s="1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P22" i="7"/>
  <c r="P21" i="7"/>
  <c r="Q21" i="7" s="1"/>
  <c r="P20" i="7"/>
  <c r="Q20" i="7" s="1"/>
  <c r="P19" i="7"/>
  <c r="Q19" i="7" s="1"/>
  <c r="P18" i="7"/>
  <c r="Q18" i="7" s="1"/>
  <c r="P17" i="7"/>
  <c r="Q17" i="7" s="1"/>
  <c r="P16" i="7"/>
  <c r="Q16" i="7" s="1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P5" i="7"/>
  <c r="M39" i="7"/>
  <c r="K56" i="3"/>
  <c r="K52" i="7" l="1"/>
  <c r="F53" i="7" s="1"/>
  <c r="F56" i="7" s="1"/>
  <c r="K54" i="7" s="1"/>
  <c r="K58" i="7" s="1"/>
  <c r="P39" i="7"/>
  <c r="M52" i="7"/>
  <c r="Q5" i="7"/>
  <c r="Q39" i="7" s="1"/>
  <c r="M32" i="3"/>
  <c r="M31" i="3"/>
  <c r="M30" i="3" l="1"/>
  <c r="M29" i="3"/>
  <c r="M28" i="3"/>
  <c r="M27" i="3"/>
  <c r="M26" i="3"/>
  <c r="M25" i="3"/>
  <c r="M24" i="3" l="1"/>
  <c r="M23" i="3"/>
  <c r="M22" i="3"/>
  <c r="M21" i="3"/>
  <c r="M20" i="3"/>
  <c r="M19" i="3"/>
  <c r="M18" i="3"/>
  <c r="M17" i="3" l="1"/>
  <c r="M15" i="3" l="1"/>
  <c r="M16" i="3"/>
  <c r="M14" i="3" l="1"/>
  <c r="M13" i="3"/>
  <c r="M12" i="3"/>
  <c r="P11" i="3" l="1"/>
  <c r="M11" i="3"/>
  <c r="M10" i="3"/>
  <c r="P9" i="3"/>
  <c r="Q9" i="3"/>
  <c r="M9" i="3"/>
  <c r="M8" i="3"/>
  <c r="M7" i="3" l="1"/>
  <c r="M6" i="3"/>
  <c r="M5" i="3" l="1"/>
  <c r="P5" i="3" l="1"/>
  <c r="E98" i="5"/>
  <c r="C98" i="5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L50" i="3"/>
  <c r="I50" i="3"/>
  <c r="F50" i="3"/>
  <c r="C50" i="3"/>
  <c r="N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Q11" i="3"/>
  <c r="P10" i="3"/>
  <c r="Q10" i="3" s="1"/>
  <c r="P8" i="3"/>
  <c r="Q8" i="3" s="1"/>
  <c r="P7" i="3"/>
  <c r="Q7" i="3" s="1"/>
  <c r="P6" i="3"/>
  <c r="Q6" i="3" s="1"/>
  <c r="K52" i="3" l="1"/>
  <c r="F53" i="3" s="1"/>
  <c r="F56" i="3" s="1"/>
  <c r="K54" i="3" s="1"/>
  <c r="K58" i="3" s="1"/>
  <c r="Q5" i="3"/>
  <c r="Q39" i="3" s="1"/>
  <c r="P39" i="3"/>
  <c r="M39" i="3"/>
  <c r="M52" i="3" s="1"/>
  <c r="M35" i="1"/>
  <c r="M34" i="1"/>
  <c r="M33" i="1"/>
  <c r="Q36" i="1" l="1"/>
  <c r="P34" i="1"/>
  <c r="Q34" i="1" s="1"/>
  <c r="P35" i="1"/>
  <c r="Q35" i="1" s="1"/>
  <c r="P36" i="1"/>
  <c r="M32" i="1"/>
  <c r="M31" i="1"/>
  <c r="M30" i="1" l="1"/>
  <c r="M29" i="1" l="1"/>
  <c r="P28" i="1"/>
  <c r="M28" i="1"/>
  <c r="M26" i="1" l="1"/>
  <c r="M27" i="1"/>
  <c r="F11" i="2" l="1"/>
  <c r="F12" i="2" s="1"/>
  <c r="F13" i="2" s="1"/>
  <c r="F14" i="2" s="1"/>
  <c r="F15" i="2" s="1"/>
  <c r="F16" i="2" s="1"/>
  <c r="F17" i="2" s="1"/>
  <c r="F18" i="2" s="1"/>
  <c r="F19" i="2" s="1"/>
  <c r="M25" i="1" l="1"/>
  <c r="M24" i="1"/>
  <c r="M23" i="1" l="1"/>
  <c r="M22" i="1"/>
  <c r="M21" i="1"/>
  <c r="M20" i="1"/>
  <c r="M19" i="1"/>
  <c r="M18" i="1"/>
  <c r="M17" i="1"/>
  <c r="M16" i="1"/>
  <c r="M15" i="1"/>
  <c r="M14" i="1" l="1"/>
  <c r="M13" i="1"/>
  <c r="M12" i="1" l="1"/>
  <c r="P11" i="1" l="1"/>
  <c r="P12" i="1"/>
  <c r="P13" i="1"/>
  <c r="M11" i="1"/>
  <c r="M10" i="1"/>
  <c r="M9" i="1" l="1"/>
  <c r="M8" i="1"/>
  <c r="M7" i="1" l="1"/>
  <c r="Q37" i="1"/>
  <c r="P6" i="1"/>
  <c r="Q6" i="1" s="1"/>
  <c r="P7" i="1"/>
  <c r="Q7" i="1" s="1"/>
  <c r="P8" i="1"/>
  <c r="Q8" i="1" s="1"/>
  <c r="P9" i="1"/>
  <c r="Q9" i="1" s="1"/>
  <c r="P10" i="1"/>
  <c r="Q10" i="1" s="1"/>
  <c r="Q11" i="1"/>
  <c r="Q12" i="1"/>
  <c r="Q13" i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Q28" i="1"/>
  <c r="P29" i="1"/>
  <c r="Q29" i="1" s="1"/>
  <c r="P30" i="1"/>
  <c r="Q30" i="1" s="1"/>
  <c r="P31" i="1"/>
  <c r="Q31" i="1" s="1"/>
  <c r="P32" i="1"/>
  <c r="Q32" i="1" s="1"/>
  <c r="P33" i="1"/>
  <c r="Q33" i="1" s="1"/>
  <c r="Q38" i="1"/>
  <c r="M5" i="1"/>
  <c r="P5" i="1"/>
  <c r="Q39" i="1" l="1"/>
  <c r="P39" i="1"/>
  <c r="Q5" i="1"/>
  <c r="E98" i="2" l="1"/>
  <c r="C98" i="2"/>
  <c r="F3" i="2"/>
  <c r="F4" i="2" s="1"/>
  <c r="F5" i="2" s="1"/>
  <c r="F6" i="2" s="1"/>
  <c r="F7" i="2" s="1"/>
  <c r="F8" i="2" s="1"/>
  <c r="F9" i="2" s="1"/>
  <c r="F10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I50" i="1"/>
  <c r="C50" i="1"/>
  <c r="M39" i="1"/>
  <c r="N39" i="1"/>
  <c r="L50" i="1"/>
  <c r="F50" i="1"/>
  <c r="M52" i="1" l="1"/>
  <c r="K52" i="1"/>
  <c r="F53" i="1" s="1"/>
  <c r="F56" i="1" l="1"/>
  <c r="K54" i="1" s="1"/>
  <c r="K58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<sst xmlns="http://schemas.openxmlformats.org/spreadsheetml/2006/main" count="312" uniqueCount="205">
  <si>
    <t>COMPRAS</t>
  </si>
  <si>
    <t>INVENTARIO INICIAL</t>
  </si>
  <si>
    <t xml:space="preserve">VENTAS  </t>
  </si>
  <si>
    <t>GASTOS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</si>
  <si>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</si>
  <si>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</si>
  <si>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</si>
  <si>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</si>
  <si>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</si>
  <si>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</si>
  <si>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</si>
  <si>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</si>
  <si>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</si>
  <si>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</si>
  <si>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</si>
  <si>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</si>
  <si>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</si>
  <si>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</si>
  <si>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MARISOL ORTIZ</t>
  </si>
  <si>
    <t>BALANCE      ABASTO 4 CARNES    H E R R A D U R A         AGOSTO           2 0 2 1</t>
  </si>
  <si>
    <t>DEPOSITOS</t>
  </si>
  <si>
    <t>REMISIONES  ABASTO 4 CARNES       2 0 2 1</t>
  </si>
  <si>
    <t>FECHA</t>
  </si>
  <si>
    <t>#</t>
  </si>
  <si>
    <t>IMPORTE</t>
  </si>
  <si>
    <t xml:space="preserve">Fecha </t>
  </si>
  <si>
    <t>PAGOS</t>
  </si>
  <si>
    <t xml:space="preserve">HERRADURA </t>
  </si>
  <si>
    <t xml:space="preserve">CUADRE CON VENTA </t>
  </si>
  <si>
    <t>TARJETA</t>
  </si>
  <si>
    <t>botargas</t>
  </si>
  <si>
    <t>CANCELACION DE TIKETS</t>
  </si>
  <si>
    <t xml:space="preserve">Cambio x </t>
  </si>
  <si>
    <t xml:space="preserve">#  </t>
  </si>
  <si>
    <t>AGUA</t>
  </si>
  <si>
    <t>PAPA-RIB BYE-DELANTERO-DESCARNE</t>
  </si>
  <si>
    <t>NOMINA # 33</t>
  </si>
  <si>
    <t>C/15-Ago</t>
  </si>
  <si>
    <t>C/14-Ago</t>
  </si>
  <si>
    <t>ROASBEEF</t>
  </si>
  <si>
    <t>PIERNA-JAMON</t>
  </si>
  <si>
    <t>DELANTERO</t>
  </si>
  <si>
    <t>JAMON--TOCINO-QUESOS</t>
  </si>
  <si>
    <t>NOMINA # 34</t>
  </si>
  <si>
    <t>CABEZA-CEBOLLA</t>
  </si>
  <si>
    <t>LONGANIZA-CHOTIZO</t>
  </si>
  <si>
    <t>LUZ</t>
  </si>
  <si>
    <t>TELEFONO</t>
  </si>
  <si>
    <t>SUADERO--TOSTADAS</t>
  </si>
  <si>
    <t xml:space="preserve">CENTRAL </t>
  </si>
  <si>
    <t>15789 B</t>
  </si>
  <si>
    <t>15882 B</t>
  </si>
  <si>
    <t>15922 B</t>
  </si>
  <si>
    <t>16004 B</t>
  </si>
  <si>
    <t>16062 B</t>
  </si>
  <si>
    <t>16073 B</t>
  </si>
  <si>
    <t>16188 B</t>
  </si>
  <si>
    <t>16225 B</t>
  </si>
  <si>
    <t>16347 B</t>
  </si>
  <si>
    <t>16352 B</t>
  </si>
  <si>
    <t>16478 B</t>
  </si>
  <si>
    <t>16540 B</t>
  </si>
  <si>
    <t>16560 B</t>
  </si>
  <si>
    <t>16664 B</t>
  </si>
  <si>
    <t>16730 B</t>
  </si>
  <si>
    <t>16809 B</t>
  </si>
  <si>
    <t>TOTOPOS-CONDIMENTOS-LONGANIZA-PAPAS</t>
  </si>
  <si>
    <t>NOMINA # 35</t>
  </si>
  <si>
    <t>C/6-9-11-Ago-21</t>
  </si>
  <si>
    <t>c/ 27-Ago-21</t>
  </si>
  <si>
    <t>ESPINAZO-BOLA RES-HAMBURGUESA-CABEZA</t>
  </si>
  <si>
    <t>LONGANIZA-ADOBO-SALCHICHAS</t>
  </si>
  <si>
    <t>MANCHEGO</t>
  </si>
  <si>
    <t>TOCINO-JAMON-SALSAS-DELANTERO</t>
  </si>
  <si>
    <t>TOCINO-CREMA-QUESO-BOLSA</t>
  </si>
  <si>
    <t>16975 B</t>
  </si>
  <si>
    <t>17198 B</t>
  </si>
  <si>
    <t>17253 B</t>
  </si>
  <si>
    <t>17386 B</t>
  </si>
  <si>
    <t>17397 B</t>
  </si>
  <si>
    <t>17443 B</t>
  </si>
  <si>
    <t>17591 B</t>
  </si>
  <si>
    <t>17686 B</t>
  </si>
  <si>
    <t>17689 B</t>
  </si>
  <si>
    <t>17731 B</t>
  </si>
  <si>
    <t>17739 B</t>
  </si>
  <si>
    <t>17881 B</t>
  </si>
  <si>
    <t>17929 B</t>
  </si>
  <si>
    <t>17940 B</t>
  </si>
  <si>
    <t>18098 B</t>
  </si>
  <si>
    <t>18099 B</t>
  </si>
  <si>
    <t>18100 B</t>
  </si>
  <si>
    <t>18329 B</t>
  </si>
  <si>
    <t>18330 B</t>
  </si>
  <si>
    <t>18425 B</t>
  </si>
  <si>
    <t>18428 B</t>
  </si>
  <si>
    <t>18464 B</t>
  </si>
  <si>
    <t>18572 B</t>
  </si>
  <si>
    <t>18596 B</t>
  </si>
  <si>
    <t>18643 B</t>
  </si>
  <si>
    <t>18700 B</t>
  </si>
  <si>
    <t>18852 B</t>
  </si>
  <si>
    <t>18855 B</t>
  </si>
  <si>
    <t>18971 B</t>
  </si>
  <si>
    <t>SALCHICHAS-JAMON-TOSTADAS-TOTPOS</t>
  </si>
  <si>
    <t>NOMIAN # 36</t>
  </si>
  <si>
    <t>BOLSA RES-RETAZO</t>
  </si>
  <si>
    <t>COMISION BANCO</t>
  </si>
  <si>
    <t>Agosto.,</t>
  </si>
  <si>
    <t>SEGURO</t>
  </si>
  <si>
    <t>FUMIGACION</t>
  </si>
  <si>
    <t xml:space="preserve">IMPRESORA </t>
  </si>
  <si>
    <t>BALANCE      ABASTO 4 CARNES    H E R R A D U R A     SEPTIEMBRE            2 0 2 1</t>
  </si>
  <si>
    <t>bolsas- ARERO</t>
  </si>
  <si>
    <t>JAMON</t>
  </si>
  <si>
    <t>.</t>
  </si>
  <si>
    <t>LONGANIZA-CHORIZO</t>
  </si>
  <si>
    <t>TOSTADAS--SUADERO-CONCHA-RES-MAIZ</t>
  </si>
  <si>
    <t>NOMINA # 37</t>
  </si>
  <si>
    <t>LONGANIZA-JAMON-CONCHA RES-MAIZ-A¿CONDIMENTOS</t>
  </si>
  <si>
    <t>QUESOS-MAIZ-CONCHA RES</t>
  </si>
  <si>
    <t>CONCHA RES--CHAMBARETE</t>
  </si>
  <si>
    <t>19041 B</t>
  </si>
  <si>
    <t>19190 B</t>
  </si>
  <si>
    <t>19307 B</t>
  </si>
  <si>
    <t>19309 B</t>
  </si>
  <si>
    <t>19417 B</t>
  </si>
  <si>
    <t>19430 B</t>
  </si>
  <si>
    <t>19431 B</t>
  </si>
  <si>
    <t>19561 B</t>
  </si>
  <si>
    <t>19563 B</t>
  </si>
  <si>
    <t>19682 B</t>
  </si>
  <si>
    <t>19731 B</t>
  </si>
  <si>
    <t>19791 B</t>
  </si>
  <si>
    <t>19884 B</t>
  </si>
  <si>
    <t>19890 B</t>
  </si>
  <si>
    <t>19944 B</t>
  </si>
  <si>
    <t>20028 B</t>
  </si>
  <si>
    <t>20029 B</t>
  </si>
  <si>
    <t>20164 B</t>
  </si>
  <si>
    <t>20203 B</t>
  </si>
  <si>
    <t>20260 B</t>
  </si>
  <si>
    <t>20262 B</t>
  </si>
  <si>
    <t>20270 B</t>
  </si>
  <si>
    <t>20412 B</t>
  </si>
  <si>
    <t>20443 B</t>
  </si>
  <si>
    <t>20493 B</t>
  </si>
  <si>
    <t>CHULETA-QUIESOS-TOCINO-BOLSAS</t>
  </si>
  <si>
    <t>NOMINA # 38</t>
  </si>
  <si>
    <t>PEREJIL-CEBOLLA</t>
  </si>
  <si>
    <t>HAMBURGUESA--SALCHICHAS-JAMON-PAPA-MOLE</t>
  </si>
  <si>
    <t xml:space="preserve">TOSTADAS  </t>
  </si>
  <si>
    <t>CHISTORRA--TOCINO--LONGANIZA</t>
  </si>
  <si>
    <t>DELANTERO-SALCHICHA</t>
  </si>
  <si>
    <t>MANCHEGO--TOCINO</t>
  </si>
  <si>
    <t>NOMINA # 39</t>
  </si>
  <si>
    <t>RECORTE</t>
  </si>
  <si>
    <t>BOTARGAS</t>
  </si>
  <si>
    <t>SALCHICHA-JAMON-PEORONI-BOLSA</t>
  </si>
  <si>
    <t>CHILE--JAMON-TOCINO-PAPAS</t>
  </si>
  <si>
    <t>HAMBURGUESA-QUESO-CONDIMENTO-TOSTADAS</t>
  </si>
  <si>
    <t>CECINA-QUESOS-VEERDURA</t>
  </si>
  <si>
    <t>ALITAS-QUESOS-LONGANIZA-JAMON</t>
  </si>
  <si>
    <t>NOMINA # 40</t>
  </si>
  <si>
    <t>20629 B</t>
  </si>
  <si>
    <t>20728 B</t>
  </si>
  <si>
    <t>20764 B</t>
  </si>
  <si>
    <t>20875 B</t>
  </si>
  <si>
    <t>21070 B</t>
  </si>
  <si>
    <t>21071 B</t>
  </si>
  <si>
    <t>21130 B</t>
  </si>
  <si>
    <t>21206 B</t>
  </si>
  <si>
    <t>21336 B</t>
  </si>
  <si>
    <t>21390 B</t>
  </si>
  <si>
    <t>21463 B</t>
  </si>
  <si>
    <t>21474 B</t>
  </si>
  <si>
    <t>21559 B</t>
  </si>
  <si>
    <t>21666 B</t>
  </si>
  <si>
    <t>21845 B</t>
  </si>
  <si>
    <t>21945 B</t>
  </si>
  <si>
    <t>21974 B</t>
  </si>
  <si>
    <t>SEPT-,21</t>
  </si>
  <si>
    <t>BATAS</t>
  </si>
  <si>
    <t>XXXXX</t>
  </si>
  <si>
    <t>ADT</t>
  </si>
  <si>
    <t>BALANCE      ABASTO 4 CARNES    H E R R A D U R A     OCTUBRE            2 0 2 1</t>
  </si>
  <si>
    <t xml:space="preserve">FONDO DE CAJA </t>
  </si>
  <si>
    <t>TOSTADAS--JAMON-TOTOPOS</t>
  </si>
  <si>
    <t>HAMBURGUESA-QUESO-CECINA-LONGANIZA</t>
  </si>
  <si>
    <t>NOMINA # 41</t>
  </si>
  <si>
    <t>QUESO-PAPA-JAMON-</t>
  </si>
  <si>
    <t>SALCHICHA</t>
  </si>
  <si>
    <t>TOCINO-RETAZO-MAIZ-QUESO-JAMON</t>
  </si>
  <si>
    <t>NOMINA # 42</t>
  </si>
  <si>
    <t xml:space="preserve">QUESO  </t>
  </si>
  <si>
    <t>JAMON-SALCHICHA-QUESO-LONGANIZA</t>
  </si>
  <si>
    <t>PAPA-CECINA-TOCINO-ADOBO-QUESO</t>
  </si>
  <si>
    <t>TOSTADAS-CECINA-MAIZ-JAMON</t>
  </si>
  <si>
    <t>NOMINA # 43</t>
  </si>
  <si>
    <t>CEBOLLA-PEREJIL</t>
  </si>
  <si>
    <t>CHORIZO</t>
  </si>
  <si>
    <t xml:space="preserve"># </t>
  </si>
  <si>
    <t># 7532</t>
  </si>
  <si>
    <t>#  7533</t>
  </si>
  <si>
    <t>NOMINA #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</si>
</sst>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FF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0">
    <xf numFmtId="0" fontId="0" fillId="0" borderId="0" xfId="0"/>
    <xf numFmtId="44" fontId="5" fillId="0" borderId="0" xfId="1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4" xfId="0" applyFont="1" applyBorder="1" applyAlignment="1">
      <alignment vertical="center" wrapText="1"/>
    </xf>
    <xf numFmtId="165" fontId="2" fillId="0" borderId="0" xfId="1" applyNumberFormat="1" applyFont="1"/>
    <xf numFmtId="0" fontId="10" fillId="0" borderId="6" xfId="0" applyFont="1" applyBorder="1"/>
    <xf numFmtId="164" fontId="11" fillId="0" borderId="7" xfId="0" applyNumberFormat="1" applyFont="1" applyBorder="1" applyAlignment="1">
      <alignment horizontal="center"/>
    </xf>
    <xf numFmtId="44" fontId="12" fillId="0" borderId="8" xfId="1" applyFont="1" applyBorder="1"/>
    <xf numFmtId="165" fontId="3" fillId="3" borderId="9" xfId="0" applyNumberFormat="1" applyFont="1" applyFill="1" applyBorder="1" applyAlignment="1">
      <alignment horizontal="left"/>
    </xf>
    <xf numFmtId="165" fontId="14" fillId="0" borderId="8" xfId="0" applyNumberFormat="1" applyFont="1" applyBorder="1"/>
    <xf numFmtId="0" fontId="14" fillId="0" borderId="8" xfId="0" applyFont="1" applyBorder="1"/>
    <xf numFmtId="44" fontId="14" fillId="0" borderId="8" xfId="1" applyFont="1" applyBorder="1"/>
    <xf numFmtId="16" fontId="0" fillId="0" borderId="0" xfId="0" applyNumberFormat="1"/>
    <xf numFmtId="164" fontId="2" fillId="0" borderId="15" xfId="0" applyNumberFormat="1" applyFont="1" applyFill="1" applyBorder="1" applyAlignment="1">
      <alignment horizontal="center"/>
    </xf>
    <xf numFmtId="44" fontId="2" fillId="0" borderId="16" xfId="1" applyFont="1" applyFill="1" applyBorder="1"/>
    <xf numFmtId="166" fontId="16" fillId="0" borderId="9" xfId="0" applyNumberFormat="1" applyFont="1" applyFill="1" applyBorder="1" applyAlignment="1">
      <alignment horizontal="left"/>
    </xf>
    <xf numFmtId="15" fontId="2" fillId="0" borderId="17" xfId="0" applyNumberFormat="1" applyFont="1" applyFill="1" applyBorder="1"/>
    <xf numFmtId="44" fontId="2" fillId="0" borderId="18" xfId="1" applyFont="1" applyFill="1" applyBorder="1"/>
    <xf numFmtId="0" fontId="0" fillId="0" borderId="0" xfId="0" applyFill="1"/>
    <xf numFmtId="15" fontId="2" fillId="0" borderId="19" xfId="0" applyNumberFormat="1" applyFont="1" applyFill="1" applyBorder="1"/>
    <xf numFmtId="44" fontId="2" fillId="0" borderId="20" xfId="1" applyFont="1" applyFill="1" applyBorder="1"/>
    <xf numFmtId="0" fontId="2" fillId="0" borderId="0" xfId="0" applyFont="1" applyFill="1" applyAlignment="1">
      <alignment horizontal="center"/>
    </xf>
    <xf numFmtId="44" fontId="2" fillId="0" borderId="22" xfId="1" applyFont="1" applyFill="1" applyBorder="1"/>
    <xf numFmtId="166" fontId="18" fillId="0" borderId="9" xfId="0" applyNumberFormat="1" applyFont="1" applyFill="1" applyBorder="1"/>
    <xf numFmtId="15" fontId="2" fillId="0" borderId="23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3" fillId="0" borderId="23" xfId="0" applyFont="1" applyFill="1" applyBorder="1" applyAlignment="1">
      <alignment horizontal="center"/>
    </xf>
    <xf numFmtId="44" fontId="2" fillId="0" borderId="24" xfId="1" applyFont="1" applyFill="1" applyBorder="1"/>
    <xf numFmtId="166" fontId="19" fillId="0" borderId="9" xfId="0" applyNumberFormat="1" applyFont="1" applyFill="1" applyBorder="1"/>
    <xf numFmtId="0" fontId="20" fillId="0" borderId="23" xfId="0" applyFont="1" applyFill="1" applyBorder="1" applyAlignment="1">
      <alignment horizontal="center"/>
    </xf>
    <xf numFmtId="166" fontId="16" fillId="0" borderId="9" xfId="0" applyNumberFormat="1" applyFont="1" applyFill="1" applyBorder="1"/>
    <xf numFmtId="165" fontId="21" fillId="0" borderId="0" xfId="1" applyNumberFormat="1" applyFont="1" applyFill="1" applyAlignment="1">
      <alignment horizontal="center"/>
    </xf>
    <xf numFmtId="0" fontId="2" fillId="0" borderId="23" xfId="0" applyFont="1" applyFill="1" applyBorder="1"/>
    <xf numFmtId="16" fontId="2" fillId="0" borderId="23" xfId="0" applyNumberFormat="1" applyFont="1" applyFill="1" applyBorder="1"/>
    <xf numFmtId="165" fontId="21" fillId="0" borderId="25" xfId="0" applyNumberFormat="1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" fontId="21" fillId="0" borderId="23" xfId="0" applyNumberFormat="1" applyFont="1" applyFill="1" applyBorder="1"/>
    <xf numFmtId="0" fontId="22" fillId="0" borderId="23" xfId="0" applyFont="1" applyFill="1" applyBorder="1" applyAlignment="1">
      <alignment wrapText="1"/>
    </xf>
    <xf numFmtId="0" fontId="2" fillId="0" borderId="23" xfId="0" applyFont="1" applyFill="1" applyBorder="1" applyAlignment="1">
      <alignment horizontal="center"/>
    </xf>
    <xf numFmtId="16" fontId="23" fillId="0" borderId="25" xfId="0" applyNumberFormat="1" applyFont="1" applyFill="1" applyBorder="1"/>
    <xf numFmtId="0" fontId="22" fillId="0" borderId="26" xfId="0" applyFont="1" applyFill="1" applyBorder="1" applyAlignment="1">
      <alignment horizontal="center" wrapText="1"/>
    </xf>
    <xf numFmtId="44" fontId="2" fillId="0" borderId="27" xfId="1" applyFont="1" applyFill="1" applyBorder="1"/>
    <xf numFmtId="165" fontId="2" fillId="0" borderId="25" xfId="0" applyNumberFormat="1" applyFont="1" applyFill="1" applyBorder="1" applyAlignment="1">
      <alignment horizontal="left"/>
    </xf>
    <xf numFmtId="0" fontId="2" fillId="0" borderId="0" xfId="0" applyFont="1" applyFill="1"/>
    <xf numFmtId="44" fontId="2" fillId="0" borderId="27" xfId="1" applyFont="1" applyFill="1" applyBorder="1" applyAlignment="1">
      <alignment horizontal="right"/>
    </xf>
    <xf numFmtId="165" fontId="2" fillId="0" borderId="28" xfId="1" applyNumberFormat="1" applyFont="1" applyFill="1" applyBorder="1" applyAlignment="1">
      <alignment horizontal="center"/>
    </xf>
    <xf numFmtId="0" fontId="2" fillId="0" borderId="25" xfId="0" applyFont="1" applyFill="1" applyBorder="1" applyAlignment="1">
      <alignment horizontal="left"/>
    </xf>
    <xf numFmtId="165" fontId="2" fillId="0" borderId="6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21" fillId="0" borderId="28" xfId="1" applyNumberFormat="1" applyFont="1" applyFill="1" applyBorder="1" applyAlignment="1">
      <alignment horizontal="left"/>
    </xf>
    <xf numFmtId="0" fontId="2" fillId="0" borderId="23" xfId="0" applyFont="1" applyFill="1" applyBorder="1" applyAlignment="1">
      <alignment horizontal="left"/>
    </xf>
    <xf numFmtId="44" fontId="2" fillId="0" borderId="23" xfId="1" applyFont="1" applyFill="1" applyBorder="1" applyAlignment="1">
      <alignment horizontal="right"/>
    </xf>
    <xf numFmtId="165" fontId="21" fillId="0" borderId="23" xfId="1" applyNumberFormat="1" applyFont="1" applyFill="1" applyBorder="1" applyAlignment="1">
      <alignment horizontal="left"/>
    </xf>
    <xf numFmtId="0" fontId="21" fillId="0" borderId="23" xfId="0" applyFont="1" applyFill="1" applyBorder="1" applyAlignment="1">
      <alignment horizontal="left"/>
    </xf>
    <xf numFmtId="165" fontId="2" fillId="0" borderId="23" xfId="1" applyNumberFormat="1" applyFont="1" applyFill="1" applyBorder="1" applyAlignment="1">
      <alignment horizontal="center"/>
    </xf>
    <xf numFmtId="166" fontId="16" fillId="0" borderId="30" xfId="0" applyNumberFormat="1" applyFont="1" applyFill="1" applyBorder="1"/>
    <xf numFmtId="165" fontId="2" fillId="0" borderId="23" xfId="1" applyNumberFormat="1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165" fontId="20" fillId="0" borderId="23" xfId="1" applyNumberFormat="1" applyFont="1" applyFill="1" applyBorder="1" applyAlignment="1">
      <alignment horizontal="center"/>
    </xf>
    <xf numFmtId="0" fontId="20" fillId="0" borderId="23" xfId="0" applyFont="1" applyFill="1" applyBorder="1"/>
    <xf numFmtId="44" fontId="20" fillId="0" borderId="24" xfId="1" applyFont="1" applyFill="1" applyBorder="1"/>
    <xf numFmtId="166" fontId="12" fillId="0" borderId="23" xfId="0" applyNumberFormat="1" applyFont="1" applyFill="1" applyBorder="1"/>
    <xf numFmtId="0" fontId="20" fillId="0" borderId="23" xfId="0" applyFont="1" applyFill="1" applyBorder="1" applyAlignment="1">
      <alignment horizontal="left"/>
    </xf>
    <xf numFmtId="44" fontId="20" fillId="0" borderId="23" xfId="1" applyFont="1" applyFill="1" applyBorder="1" applyAlignment="1">
      <alignment horizontal="right"/>
    </xf>
    <xf numFmtId="166" fontId="16" fillId="0" borderId="23" xfId="0" applyNumberFormat="1" applyFont="1" applyFill="1" applyBorder="1"/>
    <xf numFmtId="166" fontId="20" fillId="0" borderId="23" xfId="0" applyNumberFormat="1" applyFont="1" applyFill="1" applyBorder="1"/>
    <xf numFmtId="44" fontId="20" fillId="0" borderId="23" xfId="1" applyFont="1" applyFill="1" applyBorder="1"/>
    <xf numFmtId="44" fontId="20" fillId="0" borderId="0" xfId="1" applyFont="1" applyFill="1"/>
    <xf numFmtId="166" fontId="19" fillId="0" borderId="23" xfId="0" applyNumberFormat="1" applyFont="1" applyFill="1" applyBorder="1"/>
    <xf numFmtId="0" fontId="20" fillId="0" borderId="0" xfId="0" applyFont="1" applyFill="1" applyAlignment="1">
      <alignment horizontal="left"/>
    </xf>
    <xf numFmtId="44" fontId="2" fillId="0" borderId="23" xfId="1" applyFont="1" applyFill="1" applyBorder="1"/>
    <xf numFmtId="0" fontId="24" fillId="0" borderId="31" xfId="0" applyFont="1" applyFill="1" applyBorder="1" applyAlignment="1">
      <alignment horizontal="center"/>
    </xf>
    <xf numFmtId="44" fontId="2" fillId="0" borderId="32" xfId="1" applyFont="1" applyFill="1" applyBorder="1"/>
    <xf numFmtId="0" fontId="20" fillId="0" borderId="23" xfId="0" applyFont="1" applyFill="1" applyBorder="1" applyAlignment="1">
      <alignment horizontal="left" wrapText="1"/>
    </xf>
    <xf numFmtId="44" fontId="2" fillId="0" borderId="0" xfId="1" applyFont="1" applyFill="1" applyBorder="1"/>
    <xf numFmtId="44" fontId="2" fillId="0" borderId="40" xfId="1" applyFont="1" applyFill="1" applyBorder="1"/>
    <xf numFmtId="44" fontId="2" fillId="0" borderId="4" xfId="1" applyFont="1" applyFill="1" applyBorder="1"/>
    <xf numFmtId="0" fontId="22" fillId="0" borderId="0" xfId="0" applyFont="1" applyFill="1" applyAlignment="1">
      <alignment horizontal="left"/>
    </xf>
    <xf numFmtId="44" fontId="2" fillId="0" borderId="21" xfId="1" applyFont="1" applyFill="1" applyBorder="1"/>
    <xf numFmtId="164" fontId="2" fillId="0" borderId="15" xfId="0" applyNumberFormat="1" applyFont="1" applyBorder="1" applyAlignment="1">
      <alignment horizontal="center"/>
    </xf>
    <xf numFmtId="166" fontId="20" fillId="0" borderId="0" xfId="0" applyNumberFormat="1" applyFont="1" applyAlignment="1">
      <alignment horizontal="left"/>
    </xf>
    <xf numFmtId="15" fontId="2" fillId="0" borderId="39" xfId="0" applyNumberFormat="1" applyFont="1" applyBorder="1"/>
    <xf numFmtId="15" fontId="2" fillId="0" borderId="28" xfId="0" applyNumberFormat="1" applyFont="1" applyBorder="1"/>
    <xf numFmtId="164" fontId="20" fillId="0" borderId="42" xfId="0" applyNumberFormat="1" applyFont="1" applyBorder="1" applyAlignment="1">
      <alignment horizontal="center"/>
    </xf>
    <xf numFmtId="44" fontId="12" fillId="0" borderId="43" xfId="1" applyFont="1" applyBorder="1"/>
    <xf numFmtId="0" fontId="0" fillId="0" borderId="44" xfId="0" applyBorder="1"/>
    <xf numFmtId="0" fontId="25" fillId="0" borderId="44" xfId="0" applyFont="1" applyBorder="1" applyAlignment="1">
      <alignment horizontal="center"/>
    </xf>
    <xf numFmtId="44" fontId="26" fillId="0" borderId="44" xfId="1" applyFont="1" applyBorder="1"/>
    <xf numFmtId="0" fontId="2" fillId="0" borderId="44" xfId="0" applyFont="1" applyBorder="1" applyAlignment="1">
      <alignment horizontal="center"/>
    </xf>
    <xf numFmtId="44" fontId="2" fillId="0" borderId="45" xfId="1" applyFont="1" applyBorder="1"/>
    <xf numFmtId="165" fontId="2" fillId="0" borderId="0" xfId="1" applyNumberFormat="1" applyFont="1" applyBorder="1"/>
    <xf numFmtId="166" fontId="2" fillId="0" borderId="46" xfId="0" applyNumberFormat="1" applyFont="1" applyBorder="1" applyAlignment="1">
      <alignment horizontal="center"/>
    </xf>
    <xf numFmtId="44" fontId="2" fillId="0" borderId="47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41" xfId="0" applyNumberFormat="1" applyFont="1" applyBorder="1" applyAlignment="1">
      <alignment horizontal="center" vertical="center" wrapText="1"/>
    </xf>
    <xf numFmtId="44" fontId="3" fillId="0" borderId="23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7" fillId="0" borderId="5" xfId="0" applyFont="1" applyBorder="1"/>
    <xf numFmtId="44" fontId="3" fillId="0" borderId="5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24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3" xfId="1" applyFont="1" applyFill="1" applyBorder="1"/>
    <xf numFmtId="168" fontId="28" fillId="0" borderId="24" xfId="1" applyNumberFormat="1" applyFont="1" applyBorder="1"/>
    <xf numFmtId="44" fontId="29" fillId="0" borderId="4" xfId="1" applyFont="1" applyBorder="1"/>
    <xf numFmtId="44" fontId="30" fillId="0" borderId="0" xfId="1" applyFont="1"/>
    <xf numFmtId="0" fontId="30" fillId="0" borderId="0" xfId="0" applyFont="1" applyAlignment="1">
      <alignment horizontal="center"/>
    </xf>
    <xf numFmtId="0" fontId="20" fillId="0" borderId="0" xfId="0" applyFont="1"/>
    <xf numFmtId="44" fontId="24" fillId="0" borderId="0" xfId="1" applyFont="1"/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1" fillId="0" borderId="0" xfId="0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3" fillId="0" borderId="0" xfId="1" applyFont="1" applyFill="1"/>
    <xf numFmtId="0" fontId="3" fillId="0" borderId="0" xfId="0" applyFont="1" applyFill="1"/>
    <xf numFmtId="44" fontId="17" fillId="0" borderId="21" xfId="1" applyFont="1" applyFill="1" applyBorder="1"/>
    <xf numFmtId="0" fontId="3" fillId="0" borderId="4" xfId="0" applyFont="1" applyBorder="1" applyAlignment="1">
      <alignment horizontal="center"/>
    </xf>
    <xf numFmtId="44" fontId="3" fillId="0" borderId="4" xfId="1" applyFont="1" applyBorder="1" applyAlignment="1">
      <alignment horizontal="center"/>
    </xf>
    <xf numFmtId="164" fontId="35" fillId="0" borderId="23" xfId="0" applyNumberFormat="1" applyFont="1" applyFill="1" applyBorder="1" applyAlignment="1">
      <alignment horizontal="center"/>
    </xf>
    <xf numFmtId="1" fontId="36" fillId="0" borderId="23" xfId="0" applyNumberFormat="1" applyFont="1" applyFill="1" applyBorder="1" applyAlignment="1">
      <alignment horizontal="center"/>
    </xf>
    <xf numFmtId="44" fontId="37" fillId="0" borderId="50" xfId="1" applyFont="1" applyBorder="1"/>
    <xf numFmtId="164" fontId="2" fillId="0" borderId="23" xfId="0" applyNumberFormat="1" applyFont="1" applyFill="1" applyBorder="1" applyAlignment="1">
      <alignment horizontal="center"/>
    </xf>
    <xf numFmtId="44" fontId="38" fillId="0" borderId="50" xfId="1" applyFont="1" applyFill="1" applyBorder="1"/>
    <xf numFmtId="0" fontId="14" fillId="0" borderId="0" xfId="0" applyFont="1"/>
    <xf numFmtId="164" fontId="2" fillId="0" borderId="0" xfId="0" applyNumberFormat="1" applyFont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35" fillId="0" borderId="52" xfId="0" applyNumberFormat="1" applyFont="1" applyBorder="1" applyAlignment="1">
      <alignment horizontal="center"/>
    </xf>
    <xf numFmtId="1" fontId="36" fillId="0" borderId="52" xfId="0" applyNumberFormat="1" applyFont="1" applyBorder="1" applyAlignment="1">
      <alignment horizontal="center"/>
    </xf>
    <xf numFmtId="44" fontId="2" fillId="0" borderId="5" xfId="1" applyFont="1" applyFill="1" applyBorder="1"/>
    <xf numFmtId="164" fontId="2" fillId="0" borderId="5" xfId="0" applyNumberFormat="1" applyFont="1" applyBorder="1" applyAlignment="1">
      <alignment horizontal="center"/>
    </xf>
    <xf numFmtId="44" fontId="37" fillId="3" borderId="50" xfId="1" applyFont="1" applyFill="1" applyBorder="1"/>
    <xf numFmtId="44" fontId="13" fillId="0" borderId="0" xfId="1" applyFont="1"/>
    <xf numFmtId="0" fontId="34" fillId="4" borderId="6" xfId="0" applyFont="1" applyFill="1" applyBorder="1" applyAlignment="1">
      <alignment vertical="center"/>
    </xf>
    <xf numFmtId="0" fontId="0" fillId="4" borderId="7" xfId="0" applyFill="1" applyBorder="1"/>
    <xf numFmtId="44" fontId="1" fillId="4" borderId="7" xfId="1" applyFill="1" applyBorder="1"/>
    <xf numFmtId="164" fontId="39" fillId="4" borderId="53" xfId="0" applyNumberFormat="1" applyFont="1" applyFill="1" applyBorder="1" applyAlignment="1">
      <alignment horizontal="center" vertical="center"/>
    </xf>
    <xf numFmtId="44" fontId="15" fillId="6" borderId="0" xfId="1" applyFont="1" applyFill="1" applyAlignment="1">
      <alignment horizontal="center"/>
    </xf>
    <xf numFmtId="44" fontId="15" fillId="6" borderId="14" xfId="1" applyFont="1" applyFill="1" applyBorder="1" applyAlignment="1">
      <alignment horizontal="center"/>
    </xf>
    <xf numFmtId="44" fontId="2" fillId="4" borderId="0" xfId="1" applyFont="1" applyFill="1"/>
    <xf numFmtId="44" fontId="3" fillId="4" borderId="0" xfId="1" applyFont="1" applyFill="1"/>
    <xf numFmtId="165" fontId="2" fillId="0" borderId="0" xfId="0" applyNumberFormat="1" applyFont="1"/>
    <xf numFmtId="165" fontId="2" fillId="0" borderId="23" xfId="0" applyNumberFormat="1" applyFont="1" applyBorder="1"/>
    <xf numFmtId="44" fontId="20" fillId="0" borderId="23" xfId="1" applyFont="1" applyBorder="1"/>
    <xf numFmtId="165" fontId="2" fillId="0" borderId="54" xfId="0" applyNumberFormat="1" applyFont="1" applyBorder="1"/>
    <xf numFmtId="44" fontId="20" fillId="0" borderId="54" xfId="1" applyFont="1" applyBorder="1"/>
    <xf numFmtId="165" fontId="3" fillId="0" borderId="23" xfId="0" applyNumberFormat="1" applyFont="1" applyBorder="1"/>
    <xf numFmtId="0" fontId="3" fillId="0" borderId="19" xfId="0" applyFont="1" applyBorder="1" applyAlignment="1">
      <alignment horizontal="center"/>
    </xf>
    <xf numFmtId="44" fontId="3" fillId="0" borderId="19" xfId="1" applyFont="1" applyBorder="1"/>
    <xf numFmtId="44" fontId="12" fillId="0" borderId="19" xfId="1" applyFont="1" applyBorder="1"/>
    <xf numFmtId="0" fontId="12" fillId="0" borderId="19" xfId="0" applyFont="1" applyBorder="1"/>
    <xf numFmtId="44" fontId="12" fillId="0" borderId="23" xfId="1" applyFont="1" applyBorder="1"/>
    <xf numFmtId="44" fontId="41" fillId="3" borderId="0" xfId="1" applyFont="1" applyFill="1"/>
    <xf numFmtId="44" fontId="3" fillId="3" borderId="0" xfId="1" applyFont="1" applyFill="1"/>
    <xf numFmtId="0" fontId="42" fillId="0" borderId="0" xfId="0" applyFont="1"/>
    <xf numFmtId="16" fontId="20" fillId="0" borderId="25" xfId="0" applyNumberFormat="1" applyFont="1" applyFill="1" applyBorder="1" applyAlignment="1">
      <alignment horizontal="center"/>
    </xf>
    <xf numFmtId="0" fontId="12" fillId="7" borderId="0" xfId="0" applyFont="1" applyFill="1" applyAlignment="1">
      <alignment horizontal="center" wrapText="1"/>
    </xf>
    <xf numFmtId="1" fontId="43" fillId="0" borderId="23" xfId="0" applyNumberFormat="1" applyFont="1" applyFill="1" applyBorder="1" applyAlignment="1">
      <alignment horizontal="center"/>
    </xf>
    <xf numFmtId="44" fontId="2" fillId="0" borderId="38" xfId="1" applyFont="1" applyFill="1" applyBorder="1"/>
    <xf numFmtId="164" fontId="2" fillId="0" borderId="19" xfId="0" applyNumberFormat="1" applyFont="1" applyFill="1" applyBorder="1" applyAlignment="1">
      <alignment horizontal="center"/>
    </xf>
    <xf numFmtId="44" fontId="38" fillId="3" borderId="50" xfId="1" applyFont="1" applyFill="1" applyBorder="1"/>
    <xf numFmtId="44" fontId="2" fillId="3" borderId="0" xfId="1" applyFont="1" applyFill="1"/>
    <xf numFmtId="0" fontId="12" fillId="0" borderId="0" xfId="0" applyFont="1" applyFill="1" applyAlignment="1">
      <alignment horizontal="center" wrapText="1"/>
    </xf>
    <xf numFmtId="1" fontId="36" fillId="4" borderId="23" xfId="0" applyNumberFormat="1" applyFont="1" applyFill="1" applyBorder="1" applyAlignment="1">
      <alignment horizontal="center"/>
    </xf>
    <xf numFmtId="44" fontId="2" fillId="4" borderId="23" xfId="1" applyFont="1" applyFill="1" applyBorder="1"/>
    <xf numFmtId="164" fontId="2" fillId="4" borderId="23" xfId="0" applyNumberFormat="1" applyFont="1" applyFill="1" applyBorder="1" applyAlignment="1">
      <alignment horizontal="center"/>
    </xf>
    <xf numFmtId="164" fontId="35" fillId="4" borderId="23" xfId="0" applyNumberFormat="1" applyFont="1" applyFill="1" applyBorder="1" applyAlignment="1">
      <alignment horizontal="center"/>
    </xf>
    <xf numFmtId="164" fontId="35" fillId="4" borderId="51" xfId="0" applyNumberFormat="1" applyFont="1" applyFill="1" applyBorder="1" applyAlignment="1">
      <alignment horizontal="center"/>
    </xf>
    <xf numFmtId="1" fontId="36" fillId="4" borderId="51" xfId="0" applyNumberFormat="1" applyFont="1" applyFill="1" applyBorder="1" applyAlignment="1">
      <alignment horizontal="center"/>
    </xf>
    <xf numFmtId="44" fontId="2" fillId="4" borderId="0" xfId="1" applyFont="1" applyFill="1" applyBorder="1"/>
    <xf numFmtId="44" fontId="2" fillId="0" borderId="0" xfId="1" applyFont="1" applyFill="1" applyBorder="1" applyAlignment="1"/>
    <xf numFmtId="44" fontId="31" fillId="0" borderId="0" xfId="1" applyFont="1" applyFill="1" applyBorder="1" applyAlignment="1">
      <alignment vertical="center"/>
    </xf>
    <xf numFmtId="166" fontId="12" fillId="0" borderId="0" xfId="0" applyNumberFormat="1" applyFont="1" applyFill="1" applyBorder="1"/>
    <xf numFmtId="15" fontId="2" fillId="0" borderId="39" xfId="0" applyNumberFormat="1" applyFont="1" applyFill="1" applyBorder="1"/>
    <xf numFmtId="0" fontId="24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5" fillId="0" borderId="56" xfId="1" applyFont="1" applyFill="1" applyBorder="1" applyAlignment="1">
      <alignment horizontal="center" vertical="center"/>
    </xf>
    <xf numFmtId="44" fontId="15" fillId="0" borderId="57" xfId="1" applyFont="1" applyFill="1" applyBorder="1" applyAlignment="1">
      <alignment horizontal="center" vertical="center"/>
    </xf>
    <xf numFmtId="165" fontId="19" fillId="0" borderId="19" xfId="1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12" fillId="0" borderId="23" xfId="0" applyNumberFormat="1" applyFont="1" applyFill="1" applyBorder="1" applyAlignment="1">
      <alignment vertical="center" textRotation="255"/>
    </xf>
    <xf numFmtId="0" fontId="42" fillId="0" borderId="0" xfId="0" applyFont="1" applyFill="1"/>
    <xf numFmtId="0" fontId="20" fillId="3" borderId="23" xfId="0" applyFont="1" applyFill="1" applyBorder="1" applyAlignment="1">
      <alignment horizontal="left"/>
    </xf>
    <xf numFmtId="0" fontId="0" fillId="8" borderId="0" xfId="0" applyFill="1"/>
    <xf numFmtId="0" fontId="0" fillId="5" borderId="0" xfId="0" applyFill="1"/>
    <xf numFmtId="0" fontId="2" fillId="0" borderId="23" xfId="0" applyFont="1" applyBorder="1" applyAlignment="1">
      <alignment wrapText="1"/>
    </xf>
    <xf numFmtId="0" fontId="2" fillId="0" borderId="23" xfId="0" applyFont="1" applyBorder="1" applyAlignment="1"/>
    <xf numFmtId="44" fontId="2" fillId="9" borderId="0" xfId="1" applyFont="1" applyFill="1"/>
    <xf numFmtId="44" fontId="44" fillId="0" borderId="0" xfId="1" applyFont="1" applyFill="1"/>
    <xf numFmtId="44" fontId="44" fillId="3" borderId="0" xfId="1" applyFont="1" applyFill="1"/>
    <xf numFmtId="0" fontId="12" fillId="4" borderId="0" xfId="0" applyFont="1" applyFill="1" applyAlignment="1">
      <alignment horizontal="left" wrapText="1"/>
    </xf>
    <xf numFmtId="0" fontId="20" fillId="4" borderId="23" xfId="0" applyFont="1" applyFill="1" applyBorder="1" applyAlignment="1">
      <alignment horizontal="left"/>
    </xf>
    <xf numFmtId="0" fontId="12" fillId="0" borderId="0" xfId="0" applyFont="1" applyFill="1" applyAlignment="1">
      <alignment horizontal="left" wrapText="1"/>
    </xf>
    <xf numFmtId="44" fontId="3" fillId="7" borderId="0" xfId="1" applyFont="1" applyFill="1"/>
    <xf numFmtId="44" fontId="41" fillId="0" borderId="0" xfId="1" applyFont="1" applyFill="1"/>
    <xf numFmtId="167" fontId="13" fillId="0" borderId="6" xfId="1" applyNumberFormat="1" applyFont="1" applyFill="1" applyBorder="1" applyAlignment="1">
      <alignment horizontal="center" vertical="center" wrapText="1"/>
    </xf>
    <xf numFmtId="167" fontId="13" fillId="0" borderId="48" xfId="1" applyNumberFormat="1" applyFont="1" applyFill="1" applyBorder="1" applyAlignment="1">
      <alignment horizontal="center" vertical="center" wrapText="1"/>
    </xf>
    <xf numFmtId="44" fontId="14" fillId="0" borderId="24" xfId="1" applyFont="1" applyBorder="1" applyAlignment="1">
      <alignment horizontal="center"/>
    </xf>
    <xf numFmtId="44" fontId="14" fillId="0" borderId="41" xfId="1" applyFont="1" applyBorder="1" applyAlignment="1">
      <alignment horizontal="center"/>
    </xf>
    <xf numFmtId="0" fontId="29" fillId="0" borderId="41" xfId="0" applyFont="1" applyBorder="1" applyAlignment="1">
      <alignment horizontal="center"/>
    </xf>
    <xf numFmtId="0" fontId="29" fillId="0" borderId="38" xfId="0" applyFont="1" applyBorder="1" applyAlignment="1">
      <alignment horizontal="center"/>
    </xf>
    <xf numFmtId="44" fontId="13" fillId="3" borderId="12" xfId="1" applyFont="1" applyFill="1" applyBorder="1" applyAlignment="1">
      <alignment horizontal="center"/>
    </xf>
    <xf numFmtId="44" fontId="13" fillId="3" borderId="49" xfId="1" applyFont="1" applyFill="1" applyBorder="1" applyAlignment="1">
      <alignment horizontal="center"/>
    </xf>
    <xf numFmtId="166" fontId="13" fillId="3" borderId="49" xfId="1" applyNumberFormat="1" applyFont="1" applyFill="1" applyBorder="1" applyAlignment="1">
      <alignment horizontal="center"/>
    </xf>
    <xf numFmtId="166" fontId="12" fillId="0" borderId="24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166" fontId="20" fillId="0" borderId="0" xfId="0" applyNumberFormat="1" applyFont="1" applyAlignment="1">
      <alignment horizontal="center" vertical="center" wrapText="1"/>
    </xf>
    <xf numFmtId="44" fontId="12" fillId="0" borderId="24" xfId="1" applyFont="1" applyBorder="1" applyAlignment="1">
      <alignment horizontal="center" vertical="center" wrapText="1"/>
    </xf>
    <xf numFmtId="44" fontId="12" fillId="0" borderId="41" xfId="1" applyFont="1" applyBorder="1" applyAlignment="1">
      <alignment horizontal="center" vertical="center" wrapText="1"/>
    </xf>
    <xf numFmtId="44" fontId="13" fillId="0" borderId="41" xfId="1" applyFont="1" applyBorder="1" applyAlignment="1">
      <alignment horizontal="center"/>
    </xf>
    <xf numFmtId="44" fontId="13" fillId="0" borderId="38" xfId="1" applyFont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40" fillId="5" borderId="48" xfId="0" applyFont="1" applyFill="1" applyBorder="1" applyAlignment="1">
      <alignment horizontal="center"/>
    </xf>
    <xf numFmtId="44" fontId="15" fillId="0" borderId="33" xfId="1" applyFont="1" applyFill="1" applyBorder="1" applyAlignment="1">
      <alignment horizontal="center" vertical="center"/>
    </xf>
    <xf numFmtId="44" fontId="15" fillId="0" borderId="35" xfId="1" applyFont="1" applyFill="1" applyBorder="1" applyAlignment="1">
      <alignment horizontal="center" vertical="center"/>
    </xf>
    <xf numFmtId="44" fontId="15" fillId="0" borderId="34" xfId="1" applyFont="1" applyFill="1" applyBorder="1" applyAlignment="1">
      <alignment horizontal="center" vertical="center"/>
    </xf>
    <xf numFmtId="44" fontId="15" fillId="0" borderId="36" xfId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44" fontId="6" fillId="0" borderId="0" xfId="1" applyFont="1" applyBorder="1" applyAlignment="1">
      <alignment horizontal="center"/>
    </xf>
    <xf numFmtId="44" fontId="6" fillId="0" borderId="3" xfId="1" applyFont="1" applyBorder="1" applyAlignment="1">
      <alignment horizontal="center"/>
    </xf>
    <xf numFmtId="0" fontId="9" fillId="2" borderId="5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12" fillId="4" borderId="1" xfId="0" applyNumberFormat="1" applyFont="1" applyFill="1" applyBorder="1" applyAlignment="1">
      <alignment horizontal="center" vertical="center" textRotation="255"/>
    </xf>
    <xf numFmtId="164" fontId="12" fillId="4" borderId="55" xfId="0" applyNumberFormat="1" applyFont="1" applyFill="1" applyBorder="1" applyAlignment="1">
      <alignment horizontal="center" vertical="center" textRotation="255"/>
    </xf>
    <xf numFmtId="164" fontId="12" fillId="4" borderId="2" xfId="0" applyNumberFormat="1" applyFont="1" applyFill="1" applyBorder="1" applyAlignment="1">
      <alignment horizontal="center" vertical="center" textRotation="255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8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  <color rgb="FF33CCFF"/>
      <color rgb="FF0000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4679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489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5821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418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633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6870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6680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8012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4942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5157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R80"/>
  <sheetViews>
    <sheetView topLeftCell="A31" workbookViewId="0">
      <selection activeCell="C41" sqref="C41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43"/>
      <c r="C1" s="252" t="s">
        <v>19</v>
      </c>
      <c r="D1" s="253"/>
      <c r="E1" s="253"/>
      <c r="F1" s="253"/>
      <c r="G1" s="253"/>
      <c r="H1" s="253"/>
      <c r="I1" s="253"/>
      <c r="J1" s="253"/>
      <c r="K1" s="253"/>
      <c r="L1" s="253"/>
      <c r="M1" s="253"/>
    </row>
    <row r="2" spans="1:18" ht="16.5" thickBot="1" x14ac:dyDescent="0.3">
      <c r="B2" s="244"/>
      <c r="C2" s="4"/>
      <c r="H2" s="6"/>
      <c r="I2" s="2"/>
      <c r="J2" s="7"/>
      <c r="L2" s="8"/>
      <c r="M2" s="2"/>
      <c r="N2" s="9"/>
    </row>
    <row r="3" spans="1:18" ht="21.75" thickBot="1" x14ac:dyDescent="0.35">
      <c r="B3" s="245" t="s">
        <v>0</v>
      </c>
      <c r="C3" s="246"/>
      <c r="D3" s="10"/>
      <c r="E3" s="11"/>
      <c r="F3" s="11"/>
      <c r="H3" s="247" t="s">
        <v>18</v>
      </c>
      <c r="I3" s="247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250140.85</v>
      </c>
      <c r="D4" s="16">
        <v>44410</v>
      </c>
      <c r="E4" s="248" t="s">
        <v>2</v>
      </c>
      <c r="F4" s="249"/>
      <c r="H4" s="250" t="s">
        <v>3</v>
      </c>
      <c r="I4" s="251"/>
      <c r="J4" s="17"/>
      <c r="K4" s="18"/>
      <c r="L4" s="19"/>
      <c r="M4" s="159" t="s">
        <v>20</v>
      </c>
      <c r="N4" s="160" t="s">
        <v>29</v>
      </c>
      <c r="P4" s="237" t="s">
        <v>28</v>
      </c>
      <c r="Q4" s="238"/>
    </row>
    <row r="5" spans="1:18" ht="18" thickBot="1" x14ac:dyDescent="0.35">
      <c r="A5" s="20" t="s">
        <v>4</v>
      </c>
      <c r="B5" s="21">
        <v>44414</v>
      </c>
      <c r="C5" s="22">
        <v>0</v>
      </c>
      <c r="D5" s="23"/>
      <c r="E5" s="24">
        <v>44414</v>
      </c>
      <c r="F5" s="25">
        <v>36663.11</v>
      </c>
      <c r="G5" s="26"/>
      <c r="H5" s="27">
        <v>44414</v>
      </c>
      <c r="I5" s="28">
        <v>0</v>
      </c>
      <c r="J5" s="7"/>
      <c r="K5" s="29"/>
      <c r="L5" s="9"/>
      <c r="M5" s="138">
        <f>31000+500+500+500+500+353</f>
        <v>33353</v>
      </c>
      <c r="N5" s="30">
        <v>0</v>
      </c>
      <c r="P5" s="83">
        <f>N5+M5+L5+I5+C5</f>
        <v>33353</v>
      </c>
      <c r="Q5" s="162">
        <f>P5-F5</f>
        <v>-3310.1100000000006</v>
      </c>
      <c r="R5" s="104" t="s">
        <v>69</v>
      </c>
    </row>
    <row r="6" spans="1:18" ht="18" thickBot="1" x14ac:dyDescent="0.35">
      <c r="A6" s="20"/>
      <c r="B6" s="21">
        <v>44415</v>
      </c>
      <c r="C6" s="22">
        <v>0</v>
      </c>
      <c r="D6" s="31"/>
      <c r="E6" s="24">
        <v>44415</v>
      </c>
      <c r="F6" s="25">
        <v>49087.97</v>
      </c>
      <c r="G6" s="26"/>
      <c r="H6" s="32">
        <v>44415</v>
      </c>
      <c r="I6" s="28">
        <v>0</v>
      </c>
      <c r="J6" s="33"/>
      <c r="K6" s="34"/>
      <c r="L6" s="35"/>
      <c r="M6" s="138">
        <v>50200</v>
      </c>
      <c r="N6" s="30">
        <v>0</v>
      </c>
      <c r="P6" s="83">
        <f t="shared" ref="P6:P36" si="0">N6+M6+L6+I6+C6</f>
        <v>50200</v>
      </c>
      <c r="Q6" s="136">
        <f t="shared" ref="Q6:Q38" si="1">P6-F6</f>
        <v>1112.0299999999988</v>
      </c>
    </row>
    <row r="7" spans="1:18" ht="18" thickBot="1" x14ac:dyDescent="0.35">
      <c r="A7" s="20"/>
      <c r="B7" s="21">
        <v>44416</v>
      </c>
      <c r="C7" s="22">
        <v>0</v>
      </c>
      <c r="D7" s="36"/>
      <c r="E7" s="24">
        <v>44416</v>
      </c>
      <c r="F7" s="25">
        <v>64211.64</v>
      </c>
      <c r="G7" s="26"/>
      <c r="H7" s="32">
        <v>44416</v>
      </c>
      <c r="I7" s="28">
        <v>1075</v>
      </c>
      <c r="J7" s="33">
        <v>44416</v>
      </c>
      <c r="K7" s="37" t="s">
        <v>30</v>
      </c>
      <c r="L7" s="35">
        <v>4500</v>
      </c>
      <c r="M7" s="138">
        <f>55000+3425</f>
        <v>58425</v>
      </c>
      <c r="N7" s="30">
        <v>369.97</v>
      </c>
      <c r="P7" s="83">
        <f t="shared" si="0"/>
        <v>64369.97</v>
      </c>
      <c r="Q7" s="9">
        <f t="shared" si="1"/>
        <v>158.33000000000175</v>
      </c>
    </row>
    <row r="8" spans="1:18" ht="18" thickBot="1" x14ac:dyDescent="0.35">
      <c r="A8" s="20"/>
      <c r="B8" s="21">
        <v>44417</v>
      </c>
      <c r="C8" s="22">
        <v>0</v>
      </c>
      <c r="D8" s="38"/>
      <c r="E8" s="24">
        <v>44417</v>
      </c>
      <c r="F8" s="25">
        <v>31179.56</v>
      </c>
      <c r="G8" s="26"/>
      <c r="H8" s="32">
        <v>44417</v>
      </c>
      <c r="I8" s="28">
        <v>1700</v>
      </c>
      <c r="J8" s="39"/>
      <c r="K8" s="40"/>
      <c r="L8" s="35"/>
      <c r="M8" s="138">
        <f>23200+5280</f>
        <v>28480</v>
      </c>
      <c r="N8" s="30">
        <v>0</v>
      </c>
      <c r="P8" s="83">
        <f t="shared" si="0"/>
        <v>30180</v>
      </c>
      <c r="Q8" s="161">
        <f t="shared" si="1"/>
        <v>-999.56000000000131</v>
      </c>
      <c r="R8" s="104" t="s">
        <v>69</v>
      </c>
    </row>
    <row r="9" spans="1:18" ht="18" thickBot="1" x14ac:dyDescent="0.35">
      <c r="A9" s="20"/>
      <c r="B9" s="21">
        <v>44418</v>
      </c>
      <c r="C9" s="22">
        <v>0</v>
      </c>
      <c r="D9" s="38"/>
      <c r="E9" s="24">
        <v>44418</v>
      </c>
      <c r="F9" s="25">
        <v>45587</v>
      </c>
      <c r="G9" s="26"/>
      <c r="H9" s="32">
        <v>44418</v>
      </c>
      <c r="I9" s="28">
        <v>320</v>
      </c>
      <c r="J9" s="33">
        <v>44418</v>
      </c>
      <c r="K9" s="41" t="s">
        <v>34</v>
      </c>
      <c r="L9" s="35">
        <v>835</v>
      </c>
      <c r="M9" s="138">
        <f>40000+4432</f>
        <v>44432</v>
      </c>
      <c r="N9" s="30">
        <v>0</v>
      </c>
      <c r="P9" s="83">
        <f t="shared" si="0"/>
        <v>45587</v>
      </c>
      <c r="Q9" s="9">
        <f t="shared" si="1"/>
        <v>0</v>
      </c>
    </row>
    <row r="10" spans="1:18" ht="18" thickBot="1" x14ac:dyDescent="0.35">
      <c r="A10" s="20"/>
      <c r="B10" s="21">
        <v>44419</v>
      </c>
      <c r="C10" s="22">
        <v>0</v>
      </c>
      <c r="D10" s="36"/>
      <c r="E10" s="24">
        <v>44419</v>
      </c>
      <c r="F10" s="25">
        <v>18690</v>
      </c>
      <c r="G10" s="26"/>
      <c r="H10" s="32">
        <v>44419</v>
      </c>
      <c r="I10" s="28">
        <v>0</v>
      </c>
      <c r="J10" s="33"/>
      <c r="K10" s="42"/>
      <c r="L10" s="43"/>
      <c r="M10" s="138">
        <f>13600+4981</f>
        <v>18581</v>
      </c>
      <c r="N10" s="30">
        <v>0</v>
      </c>
      <c r="P10" s="83">
        <f t="shared" si="0"/>
        <v>18581</v>
      </c>
      <c r="Q10" s="161">
        <f t="shared" si="1"/>
        <v>-109</v>
      </c>
      <c r="R10" s="104" t="s">
        <v>69</v>
      </c>
    </row>
    <row r="11" spans="1:18" ht="18" thickBot="1" x14ac:dyDescent="0.35">
      <c r="A11" s="20"/>
      <c r="B11" s="21">
        <v>44420</v>
      </c>
      <c r="C11" s="22">
        <v>0</v>
      </c>
      <c r="D11" s="31"/>
      <c r="E11" s="24">
        <v>44420</v>
      </c>
      <c r="F11" s="25">
        <v>24097</v>
      </c>
      <c r="G11" s="26"/>
      <c r="H11" s="32">
        <v>44420</v>
      </c>
      <c r="I11" s="28">
        <v>0</v>
      </c>
      <c r="J11" s="39"/>
      <c r="K11" s="44"/>
      <c r="L11" s="35"/>
      <c r="M11" s="138">
        <f>19000+3003</f>
        <v>22003</v>
      </c>
      <c r="N11" s="30">
        <v>2094</v>
      </c>
      <c r="P11" s="83">
        <f t="shared" si="0"/>
        <v>24097</v>
      </c>
      <c r="Q11" s="9">
        <f t="shared" si="1"/>
        <v>0</v>
      </c>
    </row>
    <row r="12" spans="1:18" ht="18" thickBot="1" x14ac:dyDescent="0.35">
      <c r="A12" s="20"/>
      <c r="B12" s="21">
        <v>44421</v>
      </c>
      <c r="C12" s="22">
        <v>8950</v>
      </c>
      <c r="D12" s="31" t="s">
        <v>35</v>
      </c>
      <c r="E12" s="24">
        <v>44421</v>
      </c>
      <c r="F12" s="25">
        <v>54191</v>
      </c>
      <c r="G12" s="26"/>
      <c r="H12" s="32">
        <v>44421</v>
      </c>
      <c r="I12" s="28">
        <v>0</v>
      </c>
      <c r="J12" s="33"/>
      <c r="K12" s="45"/>
      <c r="L12" s="35"/>
      <c r="M12" s="138">
        <f>38000+4301</f>
        <v>42301</v>
      </c>
      <c r="N12" s="30">
        <v>2942</v>
      </c>
      <c r="P12" s="83">
        <f t="shared" si="0"/>
        <v>54193</v>
      </c>
      <c r="Q12" s="9">
        <f t="shared" si="1"/>
        <v>2</v>
      </c>
    </row>
    <row r="13" spans="1:18" ht="18" thickBot="1" x14ac:dyDescent="0.35">
      <c r="A13" s="20"/>
      <c r="B13" s="21">
        <v>44422</v>
      </c>
      <c r="C13" s="22">
        <v>0</v>
      </c>
      <c r="D13" s="38"/>
      <c r="E13" s="24">
        <v>44422</v>
      </c>
      <c r="F13" s="25">
        <v>91236</v>
      </c>
      <c r="G13" s="26"/>
      <c r="H13" s="32">
        <v>44422</v>
      </c>
      <c r="I13" s="28">
        <v>1984</v>
      </c>
      <c r="J13" s="33">
        <v>44422</v>
      </c>
      <c r="K13" s="46" t="s">
        <v>36</v>
      </c>
      <c r="L13" s="35">
        <v>10100</v>
      </c>
      <c r="M13" s="138">
        <f>34500+38726</f>
        <v>73226</v>
      </c>
      <c r="N13" s="30">
        <v>500</v>
      </c>
      <c r="P13" s="83">
        <f t="shared" si="0"/>
        <v>85810</v>
      </c>
      <c r="Q13" s="174">
        <f t="shared" si="1"/>
        <v>-5426</v>
      </c>
      <c r="R13" s="176" t="s">
        <v>37</v>
      </c>
    </row>
    <row r="14" spans="1:18" ht="18" thickBot="1" x14ac:dyDescent="0.35">
      <c r="A14" s="20"/>
      <c r="B14" s="21">
        <v>44423</v>
      </c>
      <c r="C14" s="22">
        <v>0</v>
      </c>
      <c r="D14" s="36"/>
      <c r="E14" s="24">
        <v>44423</v>
      </c>
      <c r="F14" s="25">
        <v>57578</v>
      </c>
      <c r="G14" s="26"/>
      <c r="H14" s="32">
        <v>44423</v>
      </c>
      <c r="I14" s="28">
        <v>0</v>
      </c>
      <c r="J14" s="33"/>
      <c r="K14" s="40"/>
      <c r="L14" s="35"/>
      <c r="M14" s="138">
        <f>55426+5438</f>
        <v>60864</v>
      </c>
      <c r="N14" s="30">
        <v>2140</v>
      </c>
      <c r="P14" s="83">
        <f t="shared" si="0"/>
        <v>63004</v>
      </c>
      <c r="Q14" s="175">
        <f t="shared" si="1"/>
        <v>5426</v>
      </c>
      <c r="R14" s="176" t="s">
        <v>38</v>
      </c>
    </row>
    <row r="15" spans="1:18" ht="18" thickBot="1" x14ac:dyDescent="0.35">
      <c r="A15" s="20"/>
      <c r="B15" s="21">
        <v>44424</v>
      </c>
      <c r="C15" s="22">
        <v>2135</v>
      </c>
      <c r="D15" s="36" t="s">
        <v>39</v>
      </c>
      <c r="E15" s="24">
        <v>44424</v>
      </c>
      <c r="F15" s="25">
        <v>30903</v>
      </c>
      <c r="G15" s="26"/>
      <c r="H15" s="32">
        <v>44424</v>
      </c>
      <c r="I15" s="28">
        <v>89.5</v>
      </c>
      <c r="J15" s="33"/>
      <c r="K15" s="40"/>
      <c r="L15" s="35"/>
      <c r="M15" s="138">
        <f>20000+8678.5</f>
        <v>28678.5</v>
      </c>
      <c r="N15" s="30">
        <v>0</v>
      </c>
      <c r="P15" s="83">
        <f t="shared" si="0"/>
        <v>30903</v>
      </c>
      <c r="Q15" s="9">
        <f t="shared" si="1"/>
        <v>0</v>
      </c>
    </row>
    <row r="16" spans="1:18" ht="18" thickBot="1" x14ac:dyDescent="0.35">
      <c r="A16" s="20"/>
      <c r="B16" s="21">
        <v>44425</v>
      </c>
      <c r="C16" s="22">
        <v>3311</v>
      </c>
      <c r="D16" s="31" t="s">
        <v>40</v>
      </c>
      <c r="E16" s="24">
        <v>44425</v>
      </c>
      <c r="F16" s="25">
        <v>30627</v>
      </c>
      <c r="G16" s="26"/>
      <c r="H16" s="32">
        <v>44425</v>
      </c>
      <c r="I16" s="28">
        <v>0</v>
      </c>
      <c r="J16" s="33"/>
      <c r="K16" s="40"/>
      <c r="L16" s="9"/>
      <c r="M16" s="138">
        <f>15000+12316</f>
        <v>27316</v>
      </c>
      <c r="N16" s="30">
        <v>0</v>
      </c>
      <c r="P16" s="83">
        <f t="shared" si="0"/>
        <v>30627</v>
      </c>
      <c r="Q16" s="9">
        <f t="shared" si="1"/>
        <v>0</v>
      </c>
    </row>
    <row r="17" spans="1:18" ht="18" thickBot="1" x14ac:dyDescent="0.35">
      <c r="A17" s="20"/>
      <c r="B17" s="21">
        <v>44426</v>
      </c>
      <c r="C17" s="22">
        <v>0</v>
      </c>
      <c r="D17" s="38"/>
      <c r="E17" s="24">
        <v>44426</v>
      </c>
      <c r="F17" s="25">
        <v>28533</v>
      </c>
      <c r="G17" s="26"/>
      <c r="H17" s="32">
        <v>44426</v>
      </c>
      <c r="I17" s="28">
        <v>0</v>
      </c>
      <c r="J17" s="33"/>
      <c r="K17" s="40"/>
      <c r="L17" s="43"/>
      <c r="M17" s="138">
        <f>13500+14721</f>
        <v>28221</v>
      </c>
      <c r="N17" s="30">
        <v>312</v>
      </c>
      <c r="P17" s="83">
        <f t="shared" si="0"/>
        <v>28533</v>
      </c>
      <c r="Q17" s="9">
        <f t="shared" si="1"/>
        <v>0</v>
      </c>
    </row>
    <row r="18" spans="1:18" ht="18" thickBot="1" x14ac:dyDescent="0.35">
      <c r="A18" s="20"/>
      <c r="B18" s="21">
        <v>44427</v>
      </c>
      <c r="C18" s="22">
        <v>6241</v>
      </c>
      <c r="D18" s="31" t="s">
        <v>41</v>
      </c>
      <c r="E18" s="24">
        <v>44427</v>
      </c>
      <c r="F18" s="25">
        <v>40944</v>
      </c>
      <c r="G18" s="26"/>
      <c r="H18" s="32">
        <v>44427</v>
      </c>
      <c r="I18" s="28">
        <v>26</v>
      </c>
      <c r="J18" s="33"/>
      <c r="K18" s="47"/>
      <c r="L18" s="35"/>
      <c r="M18" s="138">
        <f>16000+18258</f>
        <v>34258</v>
      </c>
      <c r="N18" s="30">
        <v>419</v>
      </c>
      <c r="P18" s="83">
        <f t="shared" si="0"/>
        <v>40944</v>
      </c>
      <c r="Q18" s="9">
        <f t="shared" si="1"/>
        <v>0</v>
      </c>
    </row>
    <row r="19" spans="1:18" ht="18" thickBot="1" x14ac:dyDescent="0.35">
      <c r="A19" s="20"/>
      <c r="B19" s="21">
        <v>44428</v>
      </c>
      <c r="C19" s="22">
        <v>0</v>
      </c>
      <c r="D19" s="31"/>
      <c r="E19" s="24">
        <v>44428</v>
      </c>
      <c r="F19" s="25">
        <v>54020</v>
      </c>
      <c r="G19" s="26"/>
      <c r="H19" s="32">
        <v>44428</v>
      </c>
      <c r="I19" s="28">
        <v>10</v>
      </c>
      <c r="J19" s="33"/>
      <c r="K19" s="48"/>
      <c r="L19" s="49"/>
      <c r="M19" s="138">
        <f>31000+22874</f>
        <v>53874</v>
      </c>
      <c r="N19" s="30">
        <v>136</v>
      </c>
      <c r="P19" s="83">
        <f t="shared" si="0"/>
        <v>54020</v>
      </c>
      <c r="Q19" s="9">
        <f t="shared" si="1"/>
        <v>0</v>
      </c>
    </row>
    <row r="20" spans="1:18" ht="18" thickBot="1" x14ac:dyDescent="0.35">
      <c r="A20" s="20"/>
      <c r="B20" s="21">
        <v>44429</v>
      </c>
      <c r="C20" s="22">
        <v>3574</v>
      </c>
      <c r="D20" s="31" t="s">
        <v>42</v>
      </c>
      <c r="E20" s="24">
        <v>44429</v>
      </c>
      <c r="F20" s="25">
        <v>43878</v>
      </c>
      <c r="G20" s="26"/>
      <c r="H20" s="32">
        <v>44429</v>
      </c>
      <c r="I20" s="28">
        <v>0</v>
      </c>
      <c r="J20" s="33">
        <v>44429</v>
      </c>
      <c r="K20" s="50" t="s">
        <v>43</v>
      </c>
      <c r="L20" s="43">
        <v>9698</v>
      </c>
      <c r="M20" s="138">
        <f>12000+17976</f>
        <v>29976</v>
      </c>
      <c r="N20" s="30">
        <v>630</v>
      </c>
      <c r="P20" s="83">
        <f t="shared" si="0"/>
        <v>43878</v>
      </c>
      <c r="Q20" s="9">
        <f t="shared" si="1"/>
        <v>0</v>
      </c>
    </row>
    <row r="21" spans="1:18" ht="18" thickBot="1" x14ac:dyDescent="0.35">
      <c r="A21" s="20"/>
      <c r="B21" s="21">
        <v>44430</v>
      </c>
      <c r="C21" s="22">
        <v>792</v>
      </c>
      <c r="D21" s="31" t="s">
        <v>44</v>
      </c>
      <c r="E21" s="24">
        <v>44430</v>
      </c>
      <c r="F21" s="25">
        <v>63808</v>
      </c>
      <c r="G21" s="26"/>
      <c r="H21" s="32">
        <v>44430</v>
      </c>
      <c r="I21" s="28">
        <v>42</v>
      </c>
      <c r="J21" s="33"/>
      <c r="K21" s="177" t="s">
        <v>30</v>
      </c>
      <c r="L21" s="43">
        <v>3000</v>
      </c>
      <c r="M21" s="138">
        <f>53000+6765</f>
        <v>59765</v>
      </c>
      <c r="N21" s="30">
        <v>209</v>
      </c>
      <c r="P21" s="83">
        <f t="shared" si="0"/>
        <v>63808</v>
      </c>
      <c r="Q21" s="9">
        <f t="shared" si="1"/>
        <v>0</v>
      </c>
    </row>
    <row r="22" spans="1:18" ht="18" thickBot="1" x14ac:dyDescent="0.35">
      <c r="A22" s="20"/>
      <c r="B22" s="21">
        <v>44431</v>
      </c>
      <c r="C22" s="22">
        <v>1275</v>
      </c>
      <c r="D22" s="31" t="s">
        <v>45</v>
      </c>
      <c r="E22" s="24">
        <v>44431</v>
      </c>
      <c r="F22" s="25">
        <v>37191</v>
      </c>
      <c r="G22" s="26"/>
      <c r="H22" s="32">
        <v>44431</v>
      </c>
      <c r="I22" s="28">
        <v>160</v>
      </c>
      <c r="J22" s="33"/>
      <c r="K22" s="51"/>
      <c r="L22" s="52"/>
      <c r="M22" s="138">
        <f>13513+21500</f>
        <v>35013</v>
      </c>
      <c r="N22" s="30">
        <v>743</v>
      </c>
      <c r="P22" s="83">
        <f t="shared" si="0"/>
        <v>37191</v>
      </c>
      <c r="Q22" s="9">
        <f t="shared" si="1"/>
        <v>0</v>
      </c>
    </row>
    <row r="23" spans="1:18" ht="18" thickBot="1" x14ac:dyDescent="0.35">
      <c r="A23" s="20"/>
      <c r="B23" s="21">
        <v>44432</v>
      </c>
      <c r="C23" s="22">
        <v>0</v>
      </c>
      <c r="D23" s="31"/>
      <c r="E23" s="24">
        <v>44432</v>
      </c>
      <c r="F23" s="25">
        <v>29827</v>
      </c>
      <c r="G23" s="26"/>
      <c r="H23" s="32">
        <v>44432</v>
      </c>
      <c r="I23" s="28">
        <v>41</v>
      </c>
      <c r="J23" s="53"/>
      <c r="K23" s="54"/>
      <c r="L23" s="43"/>
      <c r="M23" s="138">
        <f>14000+15786</f>
        <v>29786</v>
      </c>
      <c r="N23" s="30">
        <v>0</v>
      </c>
      <c r="P23" s="83">
        <f t="shared" si="0"/>
        <v>29827</v>
      </c>
      <c r="Q23" s="9">
        <f t="shared" si="1"/>
        <v>0</v>
      </c>
    </row>
    <row r="24" spans="1:18" ht="18" thickBot="1" x14ac:dyDescent="0.35">
      <c r="A24" s="20"/>
      <c r="B24" s="21">
        <v>44433</v>
      </c>
      <c r="C24" s="22">
        <v>0</v>
      </c>
      <c r="D24" s="31"/>
      <c r="E24" s="24">
        <v>44433</v>
      </c>
      <c r="F24" s="25">
        <v>40901</v>
      </c>
      <c r="G24" s="26"/>
      <c r="H24" s="32">
        <v>44433</v>
      </c>
      <c r="I24" s="28">
        <v>13</v>
      </c>
      <c r="J24" s="55"/>
      <c r="K24" s="56"/>
      <c r="L24" s="57"/>
      <c r="M24" s="138">
        <f>12000+28474</f>
        <v>40474</v>
      </c>
      <c r="N24" s="30">
        <v>414</v>
      </c>
      <c r="P24" s="83">
        <f t="shared" si="0"/>
        <v>40901</v>
      </c>
      <c r="Q24" s="9">
        <f t="shared" si="1"/>
        <v>0</v>
      </c>
    </row>
    <row r="25" spans="1:18" ht="18" thickBot="1" x14ac:dyDescent="0.35">
      <c r="A25" s="20"/>
      <c r="B25" s="21">
        <v>44434</v>
      </c>
      <c r="C25" s="22">
        <v>0</v>
      </c>
      <c r="D25" s="31"/>
      <c r="E25" s="24">
        <v>44434</v>
      </c>
      <c r="F25" s="25">
        <v>46045</v>
      </c>
      <c r="G25" s="26"/>
      <c r="H25" s="32">
        <v>44434</v>
      </c>
      <c r="I25" s="28">
        <v>83</v>
      </c>
      <c r="J25" s="58"/>
      <c r="K25" s="59"/>
      <c r="L25" s="60"/>
      <c r="M25" s="138">
        <f>19000+26809</f>
        <v>45809</v>
      </c>
      <c r="N25" s="30">
        <v>153</v>
      </c>
      <c r="P25" s="83">
        <f t="shared" si="0"/>
        <v>46045</v>
      </c>
      <c r="Q25" s="9">
        <f t="shared" si="1"/>
        <v>0</v>
      </c>
    </row>
    <row r="26" spans="1:18" ht="18" thickBot="1" x14ac:dyDescent="0.35">
      <c r="A26" s="20"/>
      <c r="B26" s="21">
        <v>44435</v>
      </c>
      <c r="C26" s="22">
        <v>1481</v>
      </c>
      <c r="D26" s="31" t="s">
        <v>48</v>
      </c>
      <c r="E26" s="24">
        <v>44435</v>
      </c>
      <c r="F26" s="25">
        <v>89703</v>
      </c>
      <c r="G26" s="26"/>
      <c r="H26" s="32">
        <v>44435</v>
      </c>
      <c r="I26" s="28">
        <v>13</v>
      </c>
      <c r="J26" s="33"/>
      <c r="K26" s="56"/>
      <c r="L26" s="43"/>
      <c r="M26" s="138">
        <f>56000+28209+4000+3146</f>
        <v>91355</v>
      </c>
      <c r="N26" s="30">
        <v>0</v>
      </c>
      <c r="P26" s="83">
        <f t="shared" si="0"/>
        <v>92849</v>
      </c>
      <c r="Q26" s="183">
        <f t="shared" si="1"/>
        <v>3146</v>
      </c>
      <c r="R26" s="104" t="s">
        <v>68</v>
      </c>
    </row>
    <row r="27" spans="1:18" ht="18" thickBot="1" x14ac:dyDescent="0.35">
      <c r="A27" s="20"/>
      <c r="B27" s="21">
        <v>44436</v>
      </c>
      <c r="C27" s="22">
        <v>3140</v>
      </c>
      <c r="D27" s="38" t="s">
        <v>66</v>
      </c>
      <c r="E27" s="24">
        <v>44436</v>
      </c>
      <c r="F27" s="25">
        <v>61266</v>
      </c>
      <c r="G27" s="26"/>
      <c r="H27" s="32">
        <v>44436</v>
      </c>
      <c r="I27" s="28">
        <v>0</v>
      </c>
      <c r="J27" s="61">
        <v>44436</v>
      </c>
      <c r="K27" s="62" t="s">
        <v>67</v>
      </c>
      <c r="L27" s="60">
        <v>9714</v>
      </c>
      <c r="M27" s="138">
        <f>40000+7339</f>
        <v>47339</v>
      </c>
      <c r="N27" s="30">
        <v>1073</v>
      </c>
      <c r="P27" s="83">
        <f t="shared" si="0"/>
        <v>61266</v>
      </c>
      <c r="Q27" s="9">
        <f t="shared" si="1"/>
        <v>0</v>
      </c>
    </row>
    <row r="28" spans="1:18" ht="18" thickBot="1" x14ac:dyDescent="0.35">
      <c r="A28" s="20"/>
      <c r="B28" s="21">
        <v>44437</v>
      </c>
      <c r="C28" s="22">
        <v>2664</v>
      </c>
      <c r="D28" s="38" t="s">
        <v>70</v>
      </c>
      <c r="E28" s="24">
        <v>44437</v>
      </c>
      <c r="F28" s="25">
        <v>63071</v>
      </c>
      <c r="G28" s="26"/>
      <c r="H28" s="32">
        <v>44437</v>
      </c>
      <c r="I28" s="28">
        <v>413</v>
      </c>
      <c r="J28" s="63"/>
      <c r="K28" s="34"/>
      <c r="L28" s="60"/>
      <c r="M28" s="138">
        <f>45000+9194</f>
        <v>54194</v>
      </c>
      <c r="N28" s="30">
        <v>5800</v>
      </c>
      <c r="P28" s="83">
        <f t="shared" si="0"/>
        <v>63071</v>
      </c>
      <c r="Q28" s="9">
        <f t="shared" si="1"/>
        <v>0</v>
      </c>
    </row>
    <row r="29" spans="1:18" ht="18" thickBot="1" x14ac:dyDescent="0.35">
      <c r="A29" s="20"/>
      <c r="B29" s="21">
        <v>44438</v>
      </c>
      <c r="C29" s="22">
        <v>1682</v>
      </c>
      <c r="D29" s="64" t="s">
        <v>71</v>
      </c>
      <c r="E29" s="24">
        <v>44438</v>
      </c>
      <c r="F29" s="25">
        <v>46220</v>
      </c>
      <c r="G29" s="26"/>
      <c r="H29" s="32">
        <v>44438</v>
      </c>
      <c r="I29" s="28">
        <v>359</v>
      </c>
      <c r="J29" s="65"/>
      <c r="K29" s="66"/>
      <c r="L29" s="60"/>
      <c r="M29" s="138">
        <f>20000+21854</f>
        <v>41854</v>
      </c>
      <c r="N29" s="30">
        <v>2325</v>
      </c>
      <c r="P29" s="83">
        <f t="shared" si="0"/>
        <v>46220</v>
      </c>
      <c r="Q29" s="9">
        <f t="shared" si="1"/>
        <v>0</v>
      </c>
    </row>
    <row r="30" spans="1:18" ht="18" thickBot="1" x14ac:dyDescent="0.35">
      <c r="A30" s="20"/>
      <c r="B30" s="21">
        <v>44439</v>
      </c>
      <c r="C30" s="22">
        <v>0</v>
      </c>
      <c r="D30" s="64"/>
      <c r="E30" s="24">
        <v>44439</v>
      </c>
      <c r="F30" s="25">
        <v>42977</v>
      </c>
      <c r="G30" s="26"/>
      <c r="H30" s="32">
        <v>44439</v>
      </c>
      <c r="I30" s="28">
        <v>0</v>
      </c>
      <c r="J30" s="67"/>
      <c r="K30" s="68"/>
      <c r="L30" s="69"/>
      <c r="M30" s="138">
        <f>18000+24977</f>
        <v>42977</v>
      </c>
      <c r="N30" s="30">
        <v>0</v>
      </c>
      <c r="P30" s="83">
        <f t="shared" si="0"/>
        <v>42977</v>
      </c>
      <c r="Q30" s="9">
        <f t="shared" si="1"/>
        <v>0</v>
      </c>
    </row>
    <row r="31" spans="1:18" ht="18" thickBot="1" x14ac:dyDescent="0.35">
      <c r="A31" s="20"/>
      <c r="B31" s="21">
        <v>44440</v>
      </c>
      <c r="C31" s="22">
        <v>366</v>
      </c>
      <c r="D31" s="70" t="s">
        <v>72</v>
      </c>
      <c r="E31" s="24">
        <v>44440</v>
      </c>
      <c r="F31" s="25">
        <v>31285</v>
      </c>
      <c r="G31" s="26"/>
      <c r="H31" s="32">
        <v>44440</v>
      </c>
      <c r="I31" s="28">
        <v>13</v>
      </c>
      <c r="J31" s="67"/>
      <c r="K31" s="71"/>
      <c r="L31" s="72"/>
      <c r="M31" s="138">
        <f>18000+12146</f>
        <v>30146</v>
      </c>
      <c r="N31" s="30">
        <v>760</v>
      </c>
      <c r="P31" s="83">
        <f t="shared" si="0"/>
        <v>31285</v>
      </c>
      <c r="Q31" s="9">
        <f t="shared" si="1"/>
        <v>0</v>
      </c>
    </row>
    <row r="32" spans="1:18" ht="18" thickBot="1" x14ac:dyDescent="0.35">
      <c r="A32" s="20"/>
      <c r="B32" s="21">
        <v>44441</v>
      </c>
      <c r="C32" s="22">
        <v>5669</v>
      </c>
      <c r="D32" s="73" t="s">
        <v>73</v>
      </c>
      <c r="E32" s="24">
        <v>44441</v>
      </c>
      <c r="F32" s="25">
        <v>50225</v>
      </c>
      <c r="G32" s="26"/>
      <c r="H32" s="32">
        <v>44441</v>
      </c>
      <c r="I32" s="28">
        <v>98</v>
      </c>
      <c r="J32" s="67"/>
      <c r="K32" s="68"/>
      <c r="L32" s="69"/>
      <c r="M32" s="138">
        <f>20000+24458</f>
        <v>44458</v>
      </c>
      <c r="N32" s="30">
        <v>0</v>
      </c>
      <c r="P32" s="83">
        <f t="shared" si="0"/>
        <v>50225</v>
      </c>
      <c r="Q32" s="9">
        <f t="shared" si="1"/>
        <v>0</v>
      </c>
    </row>
    <row r="33" spans="1:17" ht="18" thickBot="1" x14ac:dyDescent="0.35">
      <c r="A33" s="20"/>
      <c r="B33" s="21">
        <v>44442</v>
      </c>
      <c r="C33" s="22">
        <v>1362</v>
      </c>
      <c r="D33" s="74" t="s">
        <v>74</v>
      </c>
      <c r="E33" s="24">
        <v>44442</v>
      </c>
      <c r="F33" s="25">
        <v>85969</v>
      </c>
      <c r="G33" s="26"/>
      <c r="H33" s="32">
        <v>44442</v>
      </c>
      <c r="I33" s="28">
        <v>13</v>
      </c>
      <c r="J33" s="67"/>
      <c r="K33" s="71"/>
      <c r="L33" s="75"/>
      <c r="M33" s="138">
        <f>50000+34023</f>
        <v>84023</v>
      </c>
      <c r="N33" s="30">
        <v>571</v>
      </c>
      <c r="P33" s="83">
        <f t="shared" si="0"/>
        <v>85969</v>
      </c>
      <c r="Q33" s="9">
        <f t="shared" si="1"/>
        <v>0</v>
      </c>
    </row>
    <row r="34" spans="1:17" ht="18" thickBot="1" x14ac:dyDescent="0.35">
      <c r="A34" s="20"/>
      <c r="B34" s="21">
        <v>44443</v>
      </c>
      <c r="C34" s="22">
        <v>1000</v>
      </c>
      <c r="D34" s="73" t="s">
        <v>104</v>
      </c>
      <c r="E34" s="24">
        <v>44443</v>
      </c>
      <c r="F34" s="25">
        <v>52980</v>
      </c>
      <c r="G34" s="26"/>
      <c r="H34" s="32">
        <v>44443</v>
      </c>
      <c r="I34" s="28">
        <v>0</v>
      </c>
      <c r="J34" s="67">
        <v>44443</v>
      </c>
      <c r="K34" s="184" t="s">
        <v>105</v>
      </c>
      <c r="L34" s="76">
        <v>10680.95</v>
      </c>
      <c r="M34" s="138">
        <f>30000+6833</f>
        <v>36833</v>
      </c>
      <c r="N34" s="30">
        <v>4466</v>
      </c>
      <c r="P34" s="83">
        <f t="shared" si="0"/>
        <v>52979.95</v>
      </c>
      <c r="Q34" s="9">
        <f t="shared" si="1"/>
        <v>-5.0000000002910383E-2</v>
      </c>
    </row>
    <row r="35" spans="1:17" ht="18" thickBot="1" x14ac:dyDescent="0.35">
      <c r="A35" s="20"/>
      <c r="B35" s="21">
        <v>44444</v>
      </c>
      <c r="C35" s="22">
        <v>3173</v>
      </c>
      <c r="D35" s="77" t="s">
        <v>106</v>
      </c>
      <c r="E35" s="24">
        <v>44444</v>
      </c>
      <c r="F35" s="25">
        <v>81019</v>
      </c>
      <c r="G35" s="26"/>
      <c r="H35" s="32">
        <v>44444</v>
      </c>
      <c r="I35" s="28">
        <v>42</v>
      </c>
      <c r="J35" s="67"/>
      <c r="K35" s="71"/>
      <c r="L35" s="75"/>
      <c r="M35" s="138">
        <f>50000+25461</f>
        <v>75461</v>
      </c>
      <c r="N35" s="30">
        <v>2343</v>
      </c>
      <c r="P35" s="83">
        <f t="shared" si="0"/>
        <v>81019</v>
      </c>
      <c r="Q35" s="9">
        <f t="shared" si="1"/>
        <v>0</v>
      </c>
    </row>
    <row r="36" spans="1:17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/>
      <c r="K36" s="78"/>
      <c r="L36" s="76"/>
      <c r="M36" s="138">
        <v>0</v>
      </c>
      <c r="N36" s="30">
        <v>0</v>
      </c>
      <c r="P36" s="83">
        <f t="shared" si="0"/>
        <v>0</v>
      </c>
      <c r="Q36" s="9">
        <f t="shared" si="1"/>
        <v>0</v>
      </c>
    </row>
    <row r="37" spans="1:17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>
        <v>44431</v>
      </c>
      <c r="K37" s="178" t="s">
        <v>46</v>
      </c>
      <c r="L37" s="76">
        <v>6975</v>
      </c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7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>
        <v>44431</v>
      </c>
      <c r="K38" s="71" t="s">
        <v>47</v>
      </c>
      <c r="L38" s="75">
        <v>549</v>
      </c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7" ht="32.2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 t="s">
        <v>108</v>
      </c>
      <c r="K39" s="82" t="s">
        <v>107</v>
      </c>
      <c r="L39" s="69">
        <v>454.62</v>
      </c>
      <c r="M39" s="239">
        <f>SUM(M5:M38)</f>
        <v>1393675.5</v>
      </c>
      <c r="N39" s="241">
        <f>SUM(N5:N38)</f>
        <v>28399.97</v>
      </c>
      <c r="P39" s="83">
        <f>SUM(P5:P38)</f>
        <v>1523912.92</v>
      </c>
      <c r="Q39" s="9">
        <f>SUM(Q5:Q38)</f>
        <v>-0.36000000000422006</v>
      </c>
    </row>
    <row r="40" spans="1:17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 t="s">
        <v>108</v>
      </c>
      <c r="K40" s="71" t="s">
        <v>109</v>
      </c>
      <c r="L40" s="69">
        <v>1195.67</v>
      </c>
      <c r="M40" s="240"/>
      <c r="N40" s="242"/>
      <c r="P40" s="83"/>
      <c r="Q40" s="9"/>
    </row>
    <row r="41" spans="1:17" ht="18" thickBot="1" x14ac:dyDescent="0.35">
      <c r="A41" s="20"/>
      <c r="B41" s="21"/>
      <c r="C41" s="84"/>
      <c r="D41" s="194"/>
      <c r="E41" s="195"/>
      <c r="F41" s="196"/>
      <c r="G41" s="26"/>
      <c r="H41" s="197"/>
      <c r="I41" s="85"/>
      <c r="J41" s="67" t="s">
        <v>108</v>
      </c>
      <c r="K41" s="205" t="s">
        <v>113</v>
      </c>
      <c r="L41" s="75">
        <v>7174.1</v>
      </c>
      <c r="M41" s="199"/>
      <c r="N41" s="198"/>
      <c r="P41" s="83"/>
      <c r="Q41" s="9"/>
    </row>
    <row r="42" spans="1:17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 t="s">
        <v>108</v>
      </c>
      <c r="K42" s="71" t="s">
        <v>110</v>
      </c>
      <c r="L42" s="75">
        <v>2552</v>
      </c>
      <c r="M42" s="199"/>
      <c r="N42" s="198"/>
      <c r="P42" s="83"/>
      <c r="Q42" s="9"/>
    </row>
    <row r="43" spans="1:17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 t="s">
        <v>108</v>
      </c>
      <c r="K43" s="71" t="s">
        <v>111</v>
      </c>
      <c r="L43" s="75">
        <v>6994</v>
      </c>
      <c r="M43" s="199"/>
      <c r="N43" s="198"/>
      <c r="P43" s="83"/>
      <c r="Q43" s="9"/>
    </row>
    <row r="44" spans="1:17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7" ht="18" hidden="1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7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7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7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0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46815</v>
      </c>
      <c r="D50" s="94"/>
      <c r="E50" s="95" t="s">
        <v>5</v>
      </c>
      <c r="F50" s="96">
        <f>SUM(F5:F49)</f>
        <v>1523913.28</v>
      </c>
      <c r="G50" s="94"/>
      <c r="H50" s="97" t="s">
        <v>6</v>
      </c>
      <c r="I50" s="98">
        <f>SUM(I5:I49)</f>
        <v>6494.5</v>
      </c>
      <c r="J50" s="99"/>
      <c r="K50" s="100" t="s">
        <v>7</v>
      </c>
      <c r="L50" s="101">
        <f>SUM(L5:L49)</f>
        <v>74422.34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27" t="s">
        <v>8</v>
      </c>
      <c r="I52" s="228"/>
      <c r="J52" s="106"/>
      <c r="K52" s="229">
        <f>I50+L50</f>
        <v>80916.84</v>
      </c>
      <c r="L52" s="230"/>
      <c r="M52" s="218">
        <f>N39+M39</f>
        <v>1422075.47</v>
      </c>
      <c r="N52" s="219"/>
      <c r="P52" s="83"/>
      <c r="Q52" s="9"/>
    </row>
    <row r="53" spans="1:17" ht="15.75" x14ac:dyDescent="0.25">
      <c r="D53" s="231" t="s">
        <v>9</v>
      </c>
      <c r="E53" s="231"/>
      <c r="F53" s="107">
        <f>F50-K52-C50</f>
        <v>1396181.44</v>
      </c>
      <c r="I53" s="108"/>
      <c r="J53" s="109"/>
      <c r="P53" s="83"/>
      <c r="Q53" s="9"/>
    </row>
    <row r="54" spans="1:17" ht="18.75" x14ac:dyDescent="0.3">
      <c r="D54" s="232" t="s">
        <v>10</v>
      </c>
      <c r="E54" s="232"/>
      <c r="F54" s="102">
        <v>-1523111</v>
      </c>
      <c r="I54" s="233" t="s">
        <v>11</v>
      </c>
      <c r="J54" s="234"/>
      <c r="K54" s="235">
        <f>F56+F57+F58</f>
        <v>9305.2099999999336</v>
      </c>
      <c r="L54" s="236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-126929.56000000006</v>
      </c>
      <c r="H56" s="20"/>
      <c r="I56" s="116" t="s">
        <v>13</v>
      </c>
      <c r="J56" s="117"/>
      <c r="K56" s="220">
        <v>0</v>
      </c>
      <c r="L56" s="221"/>
    </row>
    <row r="57" spans="1:17" ht="16.5" thickBot="1" x14ac:dyDescent="0.3">
      <c r="D57" s="118" t="s">
        <v>14</v>
      </c>
      <c r="E57" s="104" t="s">
        <v>15</v>
      </c>
      <c r="F57" s="119">
        <v>0</v>
      </c>
    </row>
    <row r="58" spans="1:17" ht="20.25" thickTop="1" thickBot="1" x14ac:dyDescent="0.35">
      <c r="C58" s="120">
        <v>44444</v>
      </c>
      <c r="D58" s="222" t="s">
        <v>16</v>
      </c>
      <c r="E58" s="223"/>
      <c r="F58" s="121">
        <v>136234.76999999999</v>
      </c>
      <c r="I58" s="224" t="s">
        <v>17</v>
      </c>
      <c r="J58" s="225"/>
      <c r="K58" s="226">
        <f>K54+K56</f>
        <v>9305.2099999999336</v>
      </c>
      <c r="L58" s="226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2"/>
      <c r="J60" s="192"/>
      <c r="K60" s="193"/>
      <c r="L60" s="193"/>
    </row>
    <row r="61" spans="1:17" ht="16.5" customHeight="1" x14ac:dyDescent="0.25">
      <c r="B61" s="127"/>
      <c r="C61" s="128"/>
      <c r="D61" s="129"/>
      <c r="E61" s="83"/>
      <c r="I61" s="192"/>
      <c r="J61" s="192"/>
      <c r="K61" s="193"/>
      <c r="L61" s="193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P4:Q4"/>
    <mergeCell ref="M39:M40"/>
    <mergeCell ref="N39:N40"/>
    <mergeCell ref="B1:B2"/>
    <mergeCell ref="B3:C3"/>
    <mergeCell ref="H3:I3"/>
    <mergeCell ref="E4:F4"/>
    <mergeCell ref="H4:I4"/>
    <mergeCell ref="C1:M1"/>
    <mergeCell ref="M52:N52"/>
    <mergeCell ref="K56:L5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34"/>
  <sheetViews>
    <sheetView topLeftCell="A44" zoomScale="145" zoomScaleNormal="145" workbookViewId="0">
      <selection activeCell="E58" sqref="E58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139" t="s">
        <v>22</v>
      </c>
      <c r="B2" s="139" t="s">
        <v>23</v>
      </c>
      <c r="C2" s="140" t="s">
        <v>24</v>
      </c>
      <c r="D2" s="139" t="s">
        <v>25</v>
      </c>
      <c r="E2" s="140" t="s">
        <v>26</v>
      </c>
      <c r="F2" s="140" t="s">
        <v>24</v>
      </c>
    </row>
    <row r="3" spans="1:7" ht="18.75" x14ac:dyDescent="0.3">
      <c r="A3" s="141">
        <v>44422</v>
      </c>
      <c r="B3" s="179">
        <v>2232</v>
      </c>
      <c r="C3" s="35">
        <v>3015.96</v>
      </c>
      <c r="D3" s="254" t="s">
        <v>49</v>
      </c>
      <c r="E3" s="9"/>
      <c r="F3" s="143">
        <f>C3-E3</f>
        <v>3015.96</v>
      </c>
    </row>
    <row r="4" spans="1:7" ht="18.75" x14ac:dyDescent="0.3">
      <c r="A4" s="141">
        <v>44422</v>
      </c>
      <c r="B4" s="179">
        <v>2233</v>
      </c>
      <c r="C4" s="35">
        <v>10281</v>
      </c>
      <c r="D4" s="255"/>
      <c r="E4" s="180"/>
      <c r="F4" s="145">
        <f>F3+C4-E4</f>
        <v>13296.96</v>
      </c>
      <c r="G4" s="146"/>
    </row>
    <row r="5" spans="1:7" ht="15.75" x14ac:dyDescent="0.25">
      <c r="A5" s="141">
        <v>44422</v>
      </c>
      <c r="B5" s="179">
        <v>2234</v>
      </c>
      <c r="C5" s="35">
        <v>12746.2</v>
      </c>
      <c r="D5" s="255"/>
      <c r="E5" s="180"/>
      <c r="F5" s="145">
        <f t="shared" ref="F5:F68" si="0">F4+C5-E5</f>
        <v>26043.16</v>
      </c>
    </row>
    <row r="6" spans="1:7" ht="15.75" x14ac:dyDescent="0.25">
      <c r="A6" s="141">
        <v>44422</v>
      </c>
      <c r="B6" s="179">
        <v>2235</v>
      </c>
      <c r="C6" s="35">
        <v>28974.78</v>
      </c>
      <c r="D6" s="255"/>
      <c r="E6" s="180"/>
      <c r="F6" s="145">
        <f t="shared" si="0"/>
        <v>55017.94</v>
      </c>
    </row>
    <row r="7" spans="1:7" ht="15.75" x14ac:dyDescent="0.25">
      <c r="A7" s="141">
        <v>44422</v>
      </c>
      <c r="B7" s="179">
        <v>2236</v>
      </c>
      <c r="C7" s="35">
        <v>44758.6</v>
      </c>
      <c r="D7" s="255"/>
      <c r="E7" s="180"/>
      <c r="F7" s="145">
        <f t="shared" si="0"/>
        <v>99776.540000000008</v>
      </c>
    </row>
    <row r="8" spans="1:7" ht="15.75" x14ac:dyDescent="0.25">
      <c r="A8" s="141">
        <v>44422</v>
      </c>
      <c r="B8" s="179">
        <v>2237</v>
      </c>
      <c r="C8" s="35">
        <v>12841.78</v>
      </c>
      <c r="D8" s="255"/>
      <c r="E8" s="180"/>
      <c r="F8" s="145">
        <f t="shared" si="0"/>
        <v>112618.32</v>
      </c>
    </row>
    <row r="9" spans="1:7" ht="15.75" x14ac:dyDescent="0.25">
      <c r="A9" s="141">
        <v>44422</v>
      </c>
      <c r="B9" s="179">
        <v>2238</v>
      </c>
      <c r="C9" s="35">
        <v>3898.05</v>
      </c>
      <c r="D9" s="255"/>
      <c r="E9" s="180"/>
      <c r="F9" s="145">
        <f t="shared" si="0"/>
        <v>116516.37000000001</v>
      </c>
    </row>
    <row r="10" spans="1:7" ht="19.5" thickBot="1" x14ac:dyDescent="0.35">
      <c r="A10" s="141">
        <v>44422</v>
      </c>
      <c r="B10" s="179">
        <v>2239</v>
      </c>
      <c r="C10" s="35">
        <v>1429</v>
      </c>
      <c r="D10" s="256"/>
      <c r="E10" s="180"/>
      <c r="F10" s="145">
        <f t="shared" si="0"/>
        <v>117945.37000000001</v>
      </c>
      <c r="G10" s="146"/>
    </row>
    <row r="11" spans="1:7" ht="15.75" x14ac:dyDescent="0.25">
      <c r="A11" s="141"/>
      <c r="B11" s="142"/>
      <c r="C11" s="79"/>
      <c r="D11" s="181">
        <v>44428</v>
      </c>
      <c r="E11" s="79">
        <v>117945.37</v>
      </c>
      <c r="F11" s="145">
        <f t="shared" si="0"/>
        <v>0</v>
      </c>
    </row>
    <row r="12" spans="1:7" ht="15.75" x14ac:dyDescent="0.25">
      <c r="A12" s="144">
        <v>44413</v>
      </c>
      <c r="B12" s="142" t="s">
        <v>50</v>
      </c>
      <c r="C12" s="79">
        <v>92873.61</v>
      </c>
      <c r="D12" s="144"/>
      <c r="E12" s="79"/>
      <c r="F12" s="145">
        <f t="shared" si="0"/>
        <v>92873.61</v>
      </c>
    </row>
    <row r="13" spans="1:7" ht="15.75" x14ac:dyDescent="0.25">
      <c r="A13" s="144">
        <v>44414</v>
      </c>
      <c r="B13" s="142" t="s">
        <v>51</v>
      </c>
      <c r="C13" s="79">
        <v>51333.5</v>
      </c>
      <c r="D13" s="144"/>
      <c r="E13" s="79"/>
      <c r="F13" s="145">
        <f t="shared" si="0"/>
        <v>144207.10999999999</v>
      </c>
    </row>
    <row r="14" spans="1:7" ht="15.75" x14ac:dyDescent="0.25">
      <c r="A14" s="144">
        <v>44414</v>
      </c>
      <c r="B14" s="142" t="s">
        <v>52</v>
      </c>
      <c r="C14" s="79">
        <v>7768.2</v>
      </c>
      <c r="D14" s="144"/>
      <c r="E14" s="79"/>
      <c r="F14" s="145">
        <f t="shared" si="0"/>
        <v>151975.31</v>
      </c>
    </row>
    <row r="15" spans="1:7" ht="15.75" x14ac:dyDescent="0.25">
      <c r="A15" s="144">
        <v>44415</v>
      </c>
      <c r="B15" s="142" t="s">
        <v>53</v>
      </c>
      <c r="C15" s="79">
        <v>877.74</v>
      </c>
      <c r="D15" s="144"/>
      <c r="E15" s="79"/>
      <c r="F15" s="145">
        <f t="shared" si="0"/>
        <v>152853.04999999999</v>
      </c>
    </row>
    <row r="16" spans="1:7" ht="15.75" x14ac:dyDescent="0.25">
      <c r="A16" s="144">
        <v>44416</v>
      </c>
      <c r="B16" s="142" t="s">
        <v>54</v>
      </c>
      <c r="C16" s="79">
        <v>39384.800000000003</v>
      </c>
      <c r="D16" s="144"/>
      <c r="E16" s="79"/>
      <c r="F16" s="145">
        <f t="shared" si="0"/>
        <v>192237.84999999998</v>
      </c>
    </row>
    <row r="17" spans="1:7" ht="15.75" x14ac:dyDescent="0.25">
      <c r="A17" s="144">
        <v>44416</v>
      </c>
      <c r="B17" s="142" t="s">
        <v>55</v>
      </c>
      <c r="C17" s="79">
        <v>5342.96</v>
      </c>
      <c r="D17" s="144"/>
      <c r="E17" s="79"/>
      <c r="F17" s="145">
        <f t="shared" si="0"/>
        <v>197580.80999999997</v>
      </c>
    </row>
    <row r="18" spans="1:7" ht="15.75" x14ac:dyDescent="0.25">
      <c r="A18" s="144">
        <v>44417</v>
      </c>
      <c r="B18" s="142" t="s">
        <v>56</v>
      </c>
      <c r="C18" s="79">
        <v>4173.26</v>
      </c>
      <c r="D18" s="144"/>
      <c r="E18" s="79"/>
      <c r="F18" s="145">
        <f t="shared" si="0"/>
        <v>201754.06999999998</v>
      </c>
    </row>
    <row r="19" spans="1:7" ht="15.75" x14ac:dyDescent="0.25">
      <c r="A19" s="144">
        <v>44418</v>
      </c>
      <c r="B19" s="142" t="s">
        <v>57</v>
      </c>
      <c r="C19" s="79">
        <v>55145.36</v>
      </c>
      <c r="D19" s="144">
        <v>44424</v>
      </c>
      <c r="E19" s="79">
        <v>216899.43</v>
      </c>
      <c r="F19" s="182">
        <f t="shared" si="0"/>
        <v>40000</v>
      </c>
    </row>
    <row r="20" spans="1:7" ht="15.75" x14ac:dyDescent="0.25">
      <c r="A20" s="144">
        <v>44419</v>
      </c>
      <c r="B20" s="142" t="s">
        <v>58</v>
      </c>
      <c r="C20" s="79">
        <v>31463.06</v>
      </c>
      <c r="D20" s="144"/>
      <c r="E20" s="79"/>
      <c r="F20" s="145">
        <f t="shared" si="0"/>
        <v>71463.06</v>
      </c>
    </row>
    <row r="21" spans="1:7" ht="15.75" x14ac:dyDescent="0.25">
      <c r="A21" s="144">
        <v>44419</v>
      </c>
      <c r="B21" s="142" t="s">
        <v>59</v>
      </c>
      <c r="C21" s="79">
        <v>1176</v>
      </c>
      <c r="D21" s="144"/>
      <c r="E21" s="79"/>
      <c r="F21" s="145">
        <f t="shared" si="0"/>
        <v>72639.06</v>
      </c>
    </row>
    <row r="22" spans="1:7" ht="18.75" x14ac:dyDescent="0.3">
      <c r="A22" s="144">
        <v>44420</v>
      </c>
      <c r="B22" s="142" t="s">
        <v>60</v>
      </c>
      <c r="C22" s="79">
        <v>47284</v>
      </c>
      <c r="D22" s="144"/>
      <c r="E22" s="79"/>
      <c r="F22" s="145">
        <f t="shared" si="0"/>
        <v>119923.06</v>
      </c>
      <c r="G22" s="146"/>
    </row>
    <row r="23" spans="1:7" ht="15.75" x14ac:dyDescent="0.25">
      <c r="A23" s="144">
        <v>44421</v>
      </c>
      <c r="B23" s="142" t="s">
        <v>61</v>
      </c>
      <c r="C23" s="79">
        <v>11800</v>
      </c>
      <c r="D23" s="144"/>
      <c r="E23" s="79"/>
      <c r="F23" s="145">
        <f t="shared" si="0"/>
        <v>131723.06</v>
      </c>
    </row>
    <row r="24" spans="1:7" ht="15.75" x14ac:dyDescent="0.25">
      <c r="A24" s="144">
        <v>44421</v>
      </c>
      <c r="B24" s="142" t="s">
        <v>62</v>
      </c>
      <c r="C24" s="79">
        <v>17041.91</v>
      </c>
      <c r="D24" s="144"/>
      <c r="E24" s="79"/>
      <c r="F24" s="145">
        <f t="shared" si="0"/>
        <v>148764.97</v>
      </c>
    </row>
    <row r="25" spans="1:7" ht="15.75" x14ac:dyDescent="0.25">
      <c r="A25" s="144">
        <v>44422</v>
      </c>
      <c r="B25" s="142" t="s">
        <v>63</v>
      </c>
      <c r="C25" s="79">
        <v>60116.94</v>
      </c>
      <c r="D25" s="144"/>
      <c r="E25" s="79"/>
      <c r="F25" s="145">
        <f t="shared" si="0"/>
        <v>208881.91</v>
      </c>
    </row>
    <row r="26" spans="1:7" ht="15.75" x14ac:dyDescent="0.25">
      <c r="A26" s="144">
        <v>44422</v>
      </c>
      <c r="B26" s="142" t="s">
        <v>64</v>
      </c>
      <c r="C26" s="79">
        <v>7818.2</v>
      </c>
      <c r="D26" s="144"/>
      <c r="E26" s="79"/>
      <c r="F26" s="145">
        <f t="shared" si="0"/>
        <v>216700.11000000002</v>
      </c>
    </row>
    <row r="27" spans="1:7" ht="15.75" x14ac:dyDescent="0.25">
      <c r="A27" s="144">
        <v>44424</v>
      </c>
      <c r="B27" s="142" t="s">
        <v>65</v>
      </c>
      <c r="C27" s="79">
        <v>49269.2</v>
      </c>
      <c r="D27" s="144">
        <v>44428</v>
      </c>
      <c r="E27" s="79">
        <v>235944.57</v>
      </c>
      <c r="F27" s="182">
        <f t="shared" si="0"/>
        <v>30024.739999999991</v>
      </c>
    </row>
    <row r="28" spans="1:7" ht="15.75" x14ac:dyDescent="0.25">
      <c r="A28" s="144">
        <v>44425</v>
      </c>
      <c r="B28" s="142" t="s">
        <v>75</v>
      </c>
      <c r="C28" s="79">
        <v>49026.7</v>
      </c>
      <c r="D28" s="144"/>
      <c r="E28" s="79"/>
      <c r="F28" s="145">
        <f t="shared" si="0"/>
        <v>79051.439999999988</v>
      </c>
    </row>
    <row r="29" spans="1:7" ht="15.75" x14ac:dyDescent="0.25">
      <c r="A29" s="144">
        <v>44427</v>
      </c>
      <c r="B29" s="142" t="s">
        <v>76</v>
      </c>
      <c r="C29" s="79">
        <v>29539.7</v>
      </c>
      <c r="D29" s="144"/>
      <c r="E29" s="79"/>
      <c r="F29" s="145">
        <f t="shared" si="0"/>
        <v>108591.13999999998</v>
      </c>
    </row>
    <row r="30" spans="1:7" ht="18.75" x14ac:dyDescent="0.3">
      <c r="A30" s="144">
        <v>44428</v>
      </c>
      <c r="B30" s="142" t="s">
        <v>77</v>
      </c>
      <c r="C30" s="79">
        <v>61408.86</v>
      </c>
      <c r="D30" s="144"/>
      <c r="E30" s="79"/>
      <c r="F30" s="145">
        <f t="shared" si="0"/>
        <v>170000</v>
      </c>
      <c r="G30" s="146"/>
    </row>
    <row r="31" spans="1:7" ht="15.75" x14ac:dyDescent="0.25">
      <c r="A31" s="144">
        <v>44429</v>
      </c>
      <c r="B31" s="142" t="s">
        <v>78</v>
      </c>
      <c r="C31" s="79">
        <v>18397.5</v>
      </c>
      <c r="D31" s="144"/>
      <c r="E31" s="79"/>
      <c r="F31" s="145">
        <f t="shared" si="0"/>
        <v>188397.5</v>
      </c>
    </row>
    <row r="32" spans="1:7" ht="15.75" x14ac:dyDescent="0.25">
      <c r="A32" s="144">
        <v>44429</v>
      </c>
      <c r="B32" s="142" t="s">
        <v>79</v>
      </c>
      <c r="C32" s="79">
        <v>47260.800000000003</v>
      </c>
      <c r="D32" s="144"/>
      <c r="E32" s="79"/>
      <c r="F32" s="145">
        <f t="shared" si="0"/>
        <v>235658.3</v>
      </c>
    </row>
    <row r="33" spans="1:6" ht="15.75" x14ac:dyDescent="0.25">
      <c r="A33" s="144">
        <v>44429</v>
      </c>
      <c r="B33" s="142" t="s">
        <v>80</v>
      </c>
      <c r="C33" s="79">
        <v>9625.7999999999993</v>
      </c>
      <c r="D33" s="144"/>
      <c r="E33" s="79"/>
      <c r="F33" s="145">
        <f t="shared" si="0"/>
        <v>245284.09999999998</v>
      </c>
    </row>
    <row r="34" spans="1:6" ht="15.75" x14ac:dyDescent="0.25">
      <c r="A34" s="144">
        <v>44431</v>
      </c>
      <c r="B34" s="142" t="s">
        <v>81</v>
      </c>
      <c r="C34" s="79">
        <v>58308.1</v>
      </c>
      <c r="D34" s="144"/>
      <c r="E34" s="79"/>
      <c r="F34" s="145">
        <f t="shared" si="0"/>
        <v>303592.19999999995</v>
      </c>
    </row>
    <row r="35" spans="1:6" ht="15.75" x14ac:dyDescent="0.25">
      <c r="A35" s="144">
        <v>44432</v>
      </c>
      <c r="B35" s="142" t="s">
        <v>82</v>
      </c>
      <c r="C35" s="79">
        <v>10718.4</v>
      </c>
      <c r="D35" s="144"/>
      <c r="E35" s="79"/>
      <c r="F35" s="145">
        <f t="shared" si="0"/>
        <v>314310.59999999998</v>
      </c>
    </row>
    <row r="36" spans="1:6" ht="15.75" x14ac:dyDescent="0.25">
      <c r="A36" s="144">
        <v>44432</v>
      </c>
      <c r="B36" s="142" t="s">
        <v>83</v>
      </c>
      <c r="C36" s="79">
        <v>10385</v>
      </c>
      <c r="D36" s="144">
        <v>44435</v>
      </c>
      <c r="E36" s="79">
        <v>324695.59999999998</v>
      </c>
      <c r="F36" s="145">
        <f t="shared" si="0"/>
        <v>0</v>
      </c>
    </row>
    <row r="37" spans="1:6" ht="15.75" x14ac:dyDescent="0.25">
      <c r="A37" s="144">
        <v>44433</v>
      </c>
      <c r="B37" s="142" t="s">
        <v>84</v>
      </c>
      <c r="C37" s="79">
        <v>55844.4</v>
      </c>
      <c r="D37" s="144"/>
      <c r="E37" s="79"/>
      <c r="F37" s="145">
        <f t="shared" si="0"/>
        <v>55844.4</v>
      </c>
    </row>
    <row r="38" spans="1:6" ht="15.75" x14ac:dyDescent="0.25">
      <c r="A38" s="144">
        <v>44433</v>
      </c>
      <c r="B38" s="142" t="s">
        <v>85</v>
      </c>
      <c r="C38" s="79">
        <v>3492.2</v>
      </c>
      <c r="D38" s="144"/>
      <c r="E38" s="79"/>
      <c r="F38" s="145">
        <f t="shared" si="0"/>
        <v>59336.6</v>
      </c>
    </row>
    <row r="39" spans="1:6" ht="15.75" x14ac:dyDescent="0.25">
      <c r="A39" s="144">
        <v>44434</v>
      </c>
      <c r="B39" s="142" t="s">
        <v>86</v>
      </c>
      <c r="C39" s="79">
        <v>29683.7</v>
      </c>
      <c r="D39" s="144"/>
      <c r="E39" s="79"/>
      <c r="F39" s="145">
        <f t="shared" si="0"/>
        <v>89020.3</v>
      </c>
    </row>
    <row r="40" spans="1:6" ht="15.75" x14ac:dyDescent="0.25">
      <c r="A40" s="144">
        <v>44435</v>
      </c>
      <c r="B40" s="142" t="s">
        <v>87</v>
      </c>
      <c r="C40" s="79">
        <v>91570.559999999998</v>
      </c>
      <c r="D40" s="144"/>
      <c r="E40" s="79"/>
      <c r="F40" s="145">
        <f t="shared" si="0"/>
        <v>180590.86</v>
      </c>
    </row>
    <row r="41" spans="1:6" ht="15.75" x14ac:dyDescent="0.25">
      <c r="A41" s="144">
        <v>44435</v>
      </c>
      <c r="B41" s="142" t="s">
        <v>88</v>
      </c>
      <c r="C41" s="79">
        <v>5069.2</v>
      </c>
      <c r="D41" s="144"/>
      <c r="E41" s="79"/>
      <c r="F41" s="145">
        <f t="shared" si="0"/>
        <v>185660.06</v>
      </c>
    </row>
    <row r="42" spans="1:6" ht="15.75" x14ac:dyDescent="0.25">
      <c r="A42" s="144">
        <v>44436</v>
      </c>
      <c r="B42" s="142" t="s">
        <v>89</v>
      </c>
      <c r="C42" s="79">
        <v>50991.1</v>
      </c>
      <c r="D42" s="144"/>
      <c r="E42" s="79"/>
      <c r="F42" s="145">
        <f t="shared" si="0"/>
        <v>236651.16</v>
      </c>
    </row>
    <row r="43" spans="1:6" ht="15.75" x14ac:dyDescent="0.25">
      <c r="A43" s="144">
        <v>44436</v>
      </c>
      <c r="B43" s="142" t="s">
        <v>90</v>
      </c>
      <c r="C43" s="79">
        <v>3137.5</v>
      </c>
      <c r="D43" s="144"/>
      <c r="E43" s="79"/>
      <c r="F43" s="145">
        <f t="shared" si="0"/>
        <v>239788.66</v>
      </c>
    </row>
    <row r="44" spans="1:6" ht="15.75" x14ac:dyDescent="0.25">
      <c r="A44" s="144">
        <v>44436</v>
      </c>
      <c r="B44" s="142" t="s">
        <v>91</v>
      </c>
      <c r="C44" s="79">
        <v>1545</v>
      </c>
      <c r="D44" s="144">
        <v>44442</v>
      </c>
      <c r="E44" s="79">
        <v>241333.66</v>
      </c>
      <c r="F44" s="145">
        <f t="shared" si="0"/>
        <v>0</v>
      </c>
    </row>
    <row r="45" spans="1:6" ht="15.75" x14ac:dyDescent="0.25">
      <c r="A45" s="144">
        <v>44438</v>
      </c>
      <c r="B45" s="142" t="s">
        <v>92</v>
      </c>
      <c r="C45" s="79">
        <v>59828.6</v>
      </c>
      <c r="D45" s="144"/>
      <c r="E45" s="79"/>
      <c r="F45" s="145">
        <f t="shared" si="0"/>
        <v>59828.6</v>
      </c>
    </row>
    <row r="46" spans="1:6" ht="15.75" x14ac:dyDescent="0.25">
      <c r="A46" s="144">
        <v>44438</v>
      </c>
      <c r="B46" s="142" t="s">
        <v>93</v>
      </c>
      <c r="C46" s="79">
        <v>7936</v>
      </c>
      <c r="D46" s="144"/>
      <c r="E46" s="79"/>
      <c r="F46" s="145">
        <f t="shared" si="0"/>
        <v>67764.600000000006</v>
      </c>
    </row>
    <row r="47" spans="1:6" ht="15.75" x14ac:dyDescent="0.25">
      <c r="A47" s="144">
        <v>44439</v>
      </c>
      <c r="B47" s="142" t="s">
        <v>94</v>
      </c>
      <c r="C47" s="79">
        <v>51630.5</v>
      </c>
      <c r="D47" s="144"/>
      <c r="E47" s="79"/>
      <c r="F47" s="145">
        <f t="shared" si="0"/>
        <v>119395.1</v>
      </c>
    </row>
    <row r="48" spans="1:6" ht="15.75" x14ac:dyDescent="0.25">
      <c r="A48" s="144">
        <v>44439</v>
      </c>
      <c r="B48" s="142" t="s">
        <v>95</v>
      </c>
      <c r="C48" s="79">
        <v>8998</v>
      </c>
      <c r="D48" s="144"/>
      <c r="E48" s="79"/>
      <c r="F48" s="145">
        <f t="shared" si="0"/>
        <v>128393.1</v>
      </c>
    </row>
    <row r="49" spans="1:6" ht="15.75" x14ac:dyDescent="0.25">
      <c r="A49" s="144">
        <v>44440</v>
      </c>
      <c r="B49" s="142" t="s">
        <v>96</v>
      </c>
      <c r="C49" s="79">
        <v>19868.599999999999</v>
      </c>
      <c r="D49" s="144"/>
      <c r="E49" s="79"/>
      <c r="F49" s="145">
        <f t="shared" si="0"/>
        <v>148261.70000000001</v>
      </c>
    </row>
    <row r="50" spans="1:6" ht="15.75" x14ac:dyDescent="0.25">
      <c r="A50" s="144">
        <v>44441</v>
      </c>
      <c r="B50" s="142" t="s">
        <v>97</v>
      </c>
      <c r="C50" s="79">
        <v>45543.199999999997</v>
      </c>
      <c r="D50" s="144"/>
      <c r="E50" s="79"/>
      <c r="F50" s="145">
        <f t="shared" si="0"/>
        <v>193804.90000000002</v>
      </c>
    </row>
    <row r="51" spans="1:6" ht="15.75" x14ac:dyDescent="0.25">
      <c r="A51" s="144">
        <v>44441</v>
      </c>
      <c r="B51" s="142" t="s">
        <v>98</v>
      </c>
      <c r="C51" s="79">
        <v>3212.58</v>
      </c>
      <c r="D51" s="144"/>
      <c r="E51" s="79"/>
      <c r="F51" s="145">
        <f t="shared" si="0"/>
        <v>197017.48</v>
      </c>
    </row>
    <row r="52" spans="1:6" ht="15.75" x14ac:dyDescent="0.25">
      <c r="A52" s="144">
        <v>44441</v>
      </c>
      <c r="B52" s="142" t="s">
        <v>99</v>
      </c>
      <c r="C52" s="79">
        <v>4028.6</v>
      </c>
      <c r="D52" s="144"/>
      <c r="E52" s="79"/>
      <c r="F52" s="145">
        <f t="shared" si="0"/>
        <v>201046.08000000002</v>
      </c>
    </row>
    <row r="53" spans="1:6" ht="15.75" x14ac:dyDescent="0.25">
      <c r="A53" s="144">
        <v>44442</v>
      </c>
      <c r="B53" s="142" t="s">
        <v>100</v>
      </c>
      <c r="C53" s="79">
        <v>101013.65</v>
      </c>
      <c r="D53" s="144"/>
      <c r="E53" s="79"/>
      <c r="F53" s="145">
        <f t="shared" si="0"/>
        <v>302059.73</v>
      </c>
    </row>
    <row r="54" spans="1:6" ht="15.75" x14ac:dyDescent="0.25">
      <c r="A54" s="141">
        <v>44443</v>
      </c>
      <c r="B54" s="142" t="s">
        <v>101</v>
      </c>
      <c r="C54" s="79">
        <v>35635.89</v>
      </c>
      <c r="D54" s="144"/>
      <c r="E54" s="79"/>
      <c r="F54" s="145">
        <f t="shared" si="0"/>
        <v>337695.62</v>
      </c>
    </row>
    <row r="55" spans="1:6" ht="15.75" x14ac:dyDescent="0.25">
      <c r="A55" s="141">
        <v>44443</v>
      </c>
      <c r="B55" s="142" t="s">
        <v>102</v>
      </c>
      <c r="C55" s="79">
        <v>691.2</v>
      </c>
      <c r="D55" s="144"/>
      <c r="E55" s="79"/>
      <c r="F55" s="145">
        <f t="shared" si="0"/>
        <v>338386.82</v>
      </c>
    </row>
    <row r="56" spans="1:6" ht="15.75" x14ac:dyDescent="0.25">
      <c r="A56" s="141">
        <v>44444</v>
      </c>
      <c r="B56" s="142">
        <v>18966</v>
      </c>
      <c r="C56" s="79">
        <v>4784.3500000000004</v>
      </c>
      <c r="D56" s="144">
        <v>44449</v>
      </c>
      <c r="E56" s="79">
        <v>343171.17</v>
      </c>
      <c r="F56" s="145">
        <f t="shared" si="0"/>
        <v>0</v>
      </c>
    </row>
    <row r="57" spans="1:6" ht="15.75" x14ac:dyDescent="0.25">
      <c r="A57" s="144">
        <v>44444</v>
      </c>
      <c r="B57" s="142" t="s">
        <v>103</v>
      </c>
      <c r="C57" s="79">
        <v>43121.2</v>
      </c>
      <c r="D57" s="144">
        <v>44456</v>
      </c>
      <c r="E57" s="79">
        <v>43121.2</v>
      </c>
      <c r="F57" s="145">
        <f t="shared" si="0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0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0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0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0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0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0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0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0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0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0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0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0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0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0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0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0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0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0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0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0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0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0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0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0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0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0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0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0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0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0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0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0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0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1523111</v>
      </c>
      <c r="D98" s="103"/>
      <c r="E98" s="3">
        <f>SUM(E3:E97)</f>
        <v>1523110.9999999998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mergeCells count="1">
    <mergeCell ref="D3:D1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S80"/>
  <sheetViews>
    <sheetView topLeftCell="A22" workbookViewId="0">
      <selection activeCell="E36" sqref="E36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43"/>
      <c r="C1" s="252" t="s">
        <v>112</v>
      </c>
      <c r="D1" s="253"/>
      <c r="E1" s="253"/>
      <c r="F1" s="253"/>
      <c r="G1" s="253"/>
      <c r="H1" s="253"/>
      <c r="I1" s="253"/>
      <c r="J1" s="253"/>
      <c r="K1" s="253"/>
      <c r="L1" s="253"/>
      <c r="M1" s="253"/>
    </row>
    <row r="2" spans="1:18" ht="16.5" thickBot="1" x14ac:dyDescent="0.3">
      <c r="B2" s="244"/>
      <c r="C2" s="4"/>
      <c r="H2" s="6"/>
      <c r="I2" s="2"/>
      <c r="J2" s="7"/>
      <c r="L2" s="8"/>
      <c r="M2" s="2"/>
      <c r="N2" s="9"/>
    </row>
    <row r="3" spans="1:18" ht="21.75" thickBot="1" x14ac:dyDescent="0.35">
      <c r="B3" s="245" t="s">
        <v>0</v>
      </c>
      <c r="C3" s="246"/>
      <c r="D3" s="10"/>
      <c r="E3" s="11"/>
      <c r="F3" s="11"/>
      <c r="H3" s="247" t="s">
        <v>18</v>
      </c>
      <c r="I3" s="247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136234.76999999999</v>
      </c>
      <c r="D4" s="16">
        <v>44444</v>
      </c>
      <c r="E4" s="248" t="s">
        <v>2</v>
      </c>
      <c r="F4" s="249"/>
      <c r="H4" s="250" t="s">
        <v>3</v>
      </c>
      <c r="I4" s="251"/>
      <c r="J4" s="17"/>
      <c r="K4" s="18"/>
      <c r="L4" s="19"/>
      <c r="M4" s="159" t="s">
        <v>20</v>
      </c>
      <c r="N4" s="160" t="s">
        <v>29</v>
      </c>
      <c r="P4" s="237" t="s">
        <v>28</v>
      </c>
      <c r="Q4" s="238"/>
    </row>
    <row r="5" spans="1:18" ht="18" thickBot="1" x14ac:dyDescent="0.35">
      <c r="A5" s="20" t="s">
        <v>4</v>
      </c>
      <c r="B5" s="21">
        <v>44445</v>
      </c>
      <c r="C5" s="22">
        <v>0</v>
      </c>
      <c r="D5" s="23"/>
      <c r="E5" s="24">
        <v>44445</v>
      </c>
      <c r="F5" s="25">
        <v>37988</v>
      </c>
      <c r="G5" s="26"/>
      <c r="H5" s="27">
        <v>44445</v>
      </c>
      <c r="I5" s="28">
        <v>15</v>
      </c>
      <c r="J5" s="7"/>
      <c r="K5" s="29"/>
      <c r="L5" s="9"/>
      <c r="M5" s="138">
        <f>15000+22973</f>
        <v>37973</v>
      </c>
      <c r="N5" s="30">
        <v>0</v>
      </c>
      <c r="P5" s="83">
        <f>N5+M5+L5+I5+C5</f>
        <v>37988</v>
      </c>
      <c r="Q5" s="136">
        <f>P5-F5</f>
        <v>0</v>
      </c>
      <c r="R5" s="51"/>
    </row>
    <row r="6" spans="1:18" ht="18" thickBot="1" x14ac:dyDescent="0.35">
      <c r="A6" s="20"/>
      <c r="B6" s="21">
        <v>44446</v>
      </c>
      <c r="C6" s="22">
        <v>0</v>
      </c>
      <c r="D6" s="31"/>
      <c r="E6" s="24">
        <v>44446</v>
      </c>
      <c r="F6" s="25">
        <v>37318</v>
      </c>
      <c r="G6" s="26"/>
      <c r="H6" s="32">
        <v>44446</v>
      </c>
      <c r="I6" s="28">
        <v>10</v>
      </c>
      <c r="J6" s="33"/>
      <c r="K6" s="34"/>
      <c r="L6" s="35"/>
      <c r="M6" s="138">
        <f>15000+22138</f>
        <v>37138</v>
      </c>
      <c r="N6" s="30">
        <v>170</v>
      </c>
      <c r="P6" s="83">
        <f t="shared" ref="P6:P32" si="0">N6+M6+L6+I6+C6</f>
        <v>37318</v>
      </c>
      <c r="Q6" s="136">
        <f t="shared" ref="Q6:Q38" si="1">P6-F6</f>
        <v>0</v>
      </c>
      <c r="R6" s="26"/>
    </row>
    <row r="7" spans="1:18" ht="18" thickBot="1" x14ac:dyDescent="0.35">
      <c r="A7" s="20"/>
      <c r="B7" s="21">
        <v>44447</v>
      </c>
      <c r="C7" s="22">
        <v>697</v>
      </c>
      <c r="D7" s="36" t="s">
        <v>114</v>
      </c>
      <c r="E7" s="24">
        <v>44447</v>
      </c>
      <c r="F7" s="25">
        <v>25229</v>
      </c>
      <c r="G7" s="26"/>
      <c r="H7" s="32">
        <v>44447</v>
      </c>
      <c r="I7" s="28">
        <v>640</v>
      </c>
      <c r="J7" s="33"/>
      <c r="K7" s="37"/>
      <c r="L7" s="35"/>
      <c r="M7" s="138">
        <f>10000+12559</f>
        <v>22559</v>
      </c>
      <c r="N7" s="30">
        <v>1333</v>
      </c>
      <c r="P7" s="83">
        <f t="shared" si="0"/>
        <v>25229</v>
      </c>
      <c r="Q7" s="9">
        <f t="shared" si="1"/>
        <v>0</v>
      </c>
      <c r="R7" s="26"/>
    </row>
    <row r="8" spans="1:18" ht="18" thickBot="1" x14ac:dyDescent="0.35">
      <c r="A8" s="20"/>
      <c r="B8" s="21">
        <v>44448</v>
      </c>
      <c r="C8" s="22">
        <v>1344</v>
      </c>
      <c r="D8" s="38" t="s">
        <v>116</v>
      </c>
      <c r="E8" s="24">
        <v>44448</v>
      </c>
      <c r="F8" s="25">
        <v>50511</v>
      </c>
      <c r="G8" s="26"/>
      <c r="H8" s="32">
        <v>44448</v>
      </c>
      <c r="I8" s="28">
        <v>1326</v>
      </c>
      <c r="J8" s="39"/>
      <c r="K8" s="40"/>
      <c r="L8" s="35"/>
      <c r="M8" s="138">
        <f>23544+20000</f>
        <v>43544</v>
      </c>
      <c r="N8" s="30">
        <v>4257</v>
      </c>
      <c r="O8" s="206"/>
      <c r="P8" s="83">
        <f t="shared" si="0"/>
        <v>50471</v>
      </c>
      <c r="Q8" s="212">
        <f t="shared" si="1"/>
        <v>-40</v>
      </c>
      <c r="R8" s="51"/>
    </row>
    <row r="9" spans="1:18" ht="18" thickBot="1" x14ac:dyDescent="0.35">
      <c r="A9" s="20"/>
      <c r="B9" s="21">
        <v>44449</v>
      </c>
      <c r="C9" s="22">
        <v>0</v>
      </c>
      <c r="D9" s="38"/>
      <c r="E9" s="24">
        <v>44449</v>
      </c>
      <c r="F9" s="25">
        <v>55983</v>
      </c>
      <c r="G9" s="26"/>
      <c r="H9" s="32">
        <v>44449</v>
      </c>
      <c r="I9" s="28">
        <v>15</v>
      </c>
      <c r="J9" s="33"/>
      <c r="K9" s="41"/>
      <c r="L9" s="35"/>
      <c r="M9" s="138">
        <f>30000+23637</f>
        <v>53637</v>
      </c>
      <c r="N9" s="30">
        <v>2331</v>
      </c>
      <c r="P9" s="83">
        <f>N9+M9+L9+I9+C9</f>
        <v>55983</v>
      </c>
      <c r="Q9" s="9">
        <f>P9-F9</f>
        <v>0</v>
      </c>
      <c r="R9" s="26"/>
    </row>
    <row r="10" spans="1:18" ht="18" thickBot="1" x14ac:dyDescent="0.35">
      <c r="A10" s="20"/>
      <c r="B10" s="21">
        <v>44450</v>
      </c>
      <c r="C10" s="22">
        <v>2725</v>
      </c>
      <c r="D10" s="36" t="s">
        <v>117</v>
      </c>
      <c r="E10" s="24">
        <v>44450</v>
      </c>
      <c r="F10" s="25">
        <v>36838</v>
      </c>
      <c r="G10" s="26"/>
      <c r="H10" s="32">
        <v>44450</v>
      </c>
      <c r="I10" s="28">
        <v>10</v>
      </c>
      <c r="J10" s="33">
        <v>44450</v>
      </c>
      <c r="K10" s="42" t="s">
        <v>118</v>
      </c>
      <c r="L10" s="43">
        <v>11014.29</v>
      </c>
      <c r="M10" s="138">
        <f>10000+12230</f>
        <v>22230</v>
      </c>
      <c r="N10" s="30">
        <v>859</v>
      </c>
      <c r="P10" s="83">
        <f t="shared" si="0"/>
        <v>36838.29</v>
      </c>
      <c r="Q10" s="9">
        <f t="shared" si="1"/>
        <v>0.29000000000087311</v>
      </c>
      <c r="R10" s="51"/>
    </row>
    <row r="11" spans="1:18" ht="18" thickBot="1" x14ac:dyDescent="0.35">
      <c r="A11" s="20"/>
      <c r="B11" s="21">
        <v>44451</v>
      </c>
      <c r="C11" s="22">
        <v>0</v>
      </c>
      <c r="D11" s="31"/>
      <c r="E11" s="24">
        <v>44451</v>
      </c>
      <c r="F11" s="25">
        <v>82970</v>
      </c>
      <c r="G11" s="26"/>
      <c r="H11" s="32">
        <v>44451</v>
      </c>
      <c r="I11" s="28">
        <v>3030</v>
      </c>
      <c r="J11" s="39"/>
      <c r="K11" s="44"/>
      <c r="L11" s="35"/>
      <c r="M11" s="138">
        <f>16060+60000</f>
        <v>76060</v>
      </c>
      <c r="N11" s="30">
        <v>3880</v>
      </c>
      <c r="P11" s="83">
        <f>N11+M11+L11+I11+C11</f>
        <v>82970</v>
      </c>
      <c r="Q11" s="9">
        <f t="shared" si="1"/>
        <v>0</v>
      </c>
      <c r="R11" s="26"/>
    </row>
    <row r="12" spans="1:18" ht="18" thickBot="1" x14ac:dyDescent="0.35">
      <c r="A12" s="20"/>
      <c r="B12" s="21">
        <v>44452</v>
      </c>
      <c r="C12" s="22">
        <v>6078</v>
      </c>
      <c r="D12" s="31" t="s">
        <v>119</v>
      </c>
      <c r="E12" s="24">
        <v>44452</v>
      </c>
      <c r="F12" s="25">
        <v>46580</v>
      </c>
      <c r="G12" s="26"/>
      <c r="H12" s="32">
        <v>44452</v>
      </c>
      <c r="I12" s="28">
        <v>15</v>
      </c>
      <c r="J12" s="33"/>
      <c r="K12" s="45"/>
      <c r="L12" s="35"/>
      <c r="M12" s="138">
        <f>20000+18339</f>
        <v>38339</v>
      </c>
      <c r="N12" s="30">
        <v>2198</v>
      </c>
      <c r="O12" s="207"/>
      <c r="P12" s="83">
        <f t="shared" si="0"/>
        <v>46630</v>
      </c>
      <c r="Q12" s="183">
        <f t="shared" si="1"/>
        <v>50</v>
      </c>
      <c r="R12" s="26"/>
    </row>
    <row r="13" spans="1:18" ht="18" thickBot="1" x14ac:dyDescent="0.35">
      <c r="A13" s="20"/>
      <c r="B13" s="21">
        <v>44453</v>
      </c>
      <c r="C13" s="22">
        <v>3282</v>
      </c>
      <c r="D13" s="38" t="s">
        <v>120</v>
      </c>
      <c r="E13" s="24">
        <v>44453</v>
      </c>
      <c r="F13" s="25">
        <v>60579</v>
      </c>
      <c r="G13" s="26"/>
      <c r="H13" s="32">
        <v>44453</v>
      </c>
      <c r="I13" s="28">
        <v>931</v>
      </c>
      <c r="J13" s="33"/>
      <c r="K13" s="46"/>
      <c r="L13" s="35"/>
      <c r="M13" s="138">
        <f>30000+26366</f>
        <v>56366</v>
      </c>
      <c r="N13" s="30">
        <v>0</v>
      </c>
      <c r="P13" s="83">
        <f t="shared" si="0"/>
        <v>60579</v>
      </c>
      <c r="Q13" s="136">
        <f t="shared" si="1"/>
        <v>0</v>
      </c>
      <c r="R13" s="204"/>
    </row>
    <row r="14" spans="1:18" ht="18" thickBot="1" x14ac:dyDescent="0.35">
      <c r="A14" s="20"/>
      <c r="B14" s="21">
        <v>44454</v>
      </c>
      <c r="C14" s="22">
        <v>4078</v>
      </c>
      <c r="D14" s="36" t="s">
        <v>121</v>
      </c>
      <c r="E14" s="24">
        <v>44454</v>
      </c>
      <c r="F14" s="25">
        <v>44141</v>
      </c>
      <c r="G14" s="26"/>
      <c r="H14" s="32">
        <v>44454</v>
      </c>
      <c r="I14" s="28">
        <v>0</v>
      </c>
      <c r="J14" s="33"/>
      <c r="K14" s="40"/>
      <c r="L14" s="35"/>
      <c r="M14" s="138">
        <f>20000+19655</f>
        <v>39655</v>
      </c>
      <c r="N14" s="30">
        <v>408</v>
      </c>
      <c r="P14" s="83">
        <f t="shared" si="0"/>
        <v>44141</v>
      </c>
      <c r="Q14" s="136">
        <f t="shared" si="1"/>
        <v>0</v>
      </c>
      <c r="R14" s="204"/>
    </row>
    <row r="15" spans="1:18" ht="18" thickBot="1" x14ac:dyDescent="0.35">
      <c r="A15" s="20"/>
      <c r="B15" s="21">
        <v>44455</v>
      </c>
      <c r="C15" s="22">
        <v>0</v>
      </c>
      <c r="D15" s="36"/>
      <c r="E15" s="24">
        <v>44455</v>
      </c>
      <c r="F15" s="25">
        <v>45919</v>
      </c>
      <c r="G15" s="26"/>
      <c r="H15" s="32">
        <v>44455</v>
      </c>
      <c r="I15" s="28">
        <v>0</v>
      </c>
      <c r="J15" s="33"/>
      <c r="K15" s="40"/>
      <c r="L15" s="35"/>
      <c r="M15" s="138">
        <f>25000+20919</f>
        <v>45919</v>
      </c>
      <c r="N15" s="30">
        <v>0</v>
      </c>
      <c r="P15" s="83">
        <f t="shared" si="0"/>
        <v>45919</v>
      </c>
      <c r="Q15" s="9">
        <f t="shared" si="1"/>
        <v>0</v>
      </c>
      <c r="R15" s="26"/>
    </row>
    <row r="16" spans="1:18" ht="18" thickBot="1" x14ac:dyDescent="0.35">
      <c r="A16" s="20"/>
      <c r="B16" s="21">
        <v>44456</v>
      </c>
      <c r="C16" s="22">
        <v>0</v>
      </c>
      <c r="D16" s="31"/>
      <c r="E16" s="24">
        <v>44456</v>
      </c>
      <c r="F16" s="25">
        <v>77820</v>
      </c>
      <c r="G16" s="26"/>
      <c r="H16" s="32">
        <v>44456</v>
      </c>
      <c r="I16" s="28">
        <v>0</v>
      </c>
      <c r="J16" s="33"/>
      <c r="K16" s="40"/>
      <c r="L16" s="9"/>
      <c r="M16" s="138">
        <f>55000+17820</f>
        <v>72820</v>
      </c>
      <c r="N16" s="30">
        <v>5000</v>
      </c>
      <c r="P16" s="83">
        <f t="shared" si="0"/>
        <v>77820</v>
      </c>
      <c r="Q16" s="9">
        <f t="shared" si="1"/>
        <v>0</v>
      </c>
      <c r="R16" s="26"/>
    </row>
    <row r="17" spans="1:19" ht="18" thickBot="1" x14ac:dyDescent="0.35">
      <c r="A17" s="20"/>
      <c r="B17" s="21">
        <v>44457</v>
      </c>
      <c r="C17" s="22">
        <v>3060</v>
      </c>
      <c r="D17" s="38" t="s">
        <v>147</v>
      </c>
      <c r="E17" s="24">
        <v>44457</v>
      </c>
      <c r="F17" s="25">
        <v>66071</v>
      </c>
      <c r="G17" s="26"/>
      <c r="H17" s="32">
        <v>44457</v>
      </c>
      <c r="I17" s="28">
        <v>0</v>
      </c>
      <c r="J17" s="33">
        <v>44457</v>
      </c>
      <c r="K17" s="40" t="s">
        <v>148</v>
      </c>
      <c r="L17" s="43">
        <v>15042.86</v>
      </c>
      <c r="M17" s="138">
        <f>35000+8825</f>
        <v>43825</v>
      </c>
      <c r="N17" s="30">
        <v>4144</v>
      </c>
      <c r="P17" s="83">
        <f t="shared" si="0"/>
        <v>66071.86</v>
      </c>
      <c r="Q17" s="9">
        <f t="shared" si="1"/>
        <v>0.86000000000058208</v>
      </c>
      <c r="R17" s="26"/>
    </row>
    <row r="18" spans="1:19" ht="18" thickBot="1" x14ac:dyDescent="0.35">
      <c r="A18" s="20"/>
      <c r="B18" s="21">
        <v>44458</v>
      </c>
      <c r="C18" s="22">
        <v>27</v>
      </c>
      <c r="D18" s="31" t="s">
        <v>149</v>
      </c>
      <c r="E18" s="24">
        <v>44458</v>
      </c>
      <c r="F18" s="25">
        <v>77794</v>
      </c>
      <c r="G18" s="26"/>
      <c r="H18" s="32">
        <v>44458</v>
      </c>
      <c r="I18" s="28">
        <v>0</v>
      </c>
      <c r="J18" s="33"/>
      <c r="K18" s="47"/>
      <c r="L18" s="35"/>
      <c r="M18" s="138">
        <f>50000+23248</f>
        <v>73248</v>
      </c>
      <c r="N18" s="30">
        <v>4519</v>
      </c>
      <c r="P18" s="83">
        <f t="shared" si="0"/>
        <v>77794</v>
      </c>
      <c r="Q18" s="9">
        <f t="shared" si="1"/>
        <v>0</v>
      </c>
      <c r="R18" s="26"/>
    </row>
    <row r="19" spans="1:19" ht="18" thickBot="1" x14ac:dyDescent="0.35">
      <c r="A19" s="20"/>
      <c r="B19" s="21">
        <v>44459</v>
      </c>
      <c r="C19" s="22">
        <v>2067</v>
      </c>
      <c r="D19" s="31" t="s">
        <v>150</v>
      </c>
      <c r="E19" s="24">
        <v>44459</v>
      </c>
      <c r="F19" s="25">
        <v>51442</v>
      </c>
      <c r="G19" s="26"/>
      <c r="H19" s="32">
        <v>44459</v>
      </c>
      <c r="I19" s="28">
        <v>15</v>
      </c>
      <c r="J19" s="33"/>
      <c r="K19" s="48"/>
      <c r="L19" s="49"/>
      <c r="M19" s="138">
        <f>28500+20860</f>
        <v>49360</v>
      </c>
      <c r="N19" s="30">
        <v>0</v>
      </c>
      <c r="P19" s="83">
        <f t="shared" si="0"/>
        <v>51442</v>
      </c>
      <c r="Q19" s="9">
        <f t="shared" si="1"/>
        <v>0</v>
      </c>
      <c r="R19" s="26"/>
    </row>
    <row r="20" spans="1:19" ht="18" thickBot="1" x14ac:dyDescent="0.35">
      <c r="A20" s="20"/>
      <c r="B20" s="21">
        <v>44460</v>
      </c>
      <c r="C20" s="22">
        <v>340</v>
      </c>
      <c r="D20" s="31" t="s">
        <v>151</v>
      </c>
      <c r="E20" s="24">
        <v>44460</v>
      </c>
      <c r="F20" s="25">
        <v>52956</v>
      </c>
      <c r="G20" s="26"/>
      <c r="H20" s="32">
        <v>44460</v>
      </c>
      <c r="I20" s="28">
        <v>8</v>
      </c>
      <c r="J20" s="33"/>
      <c r="K20" s="50"/>
      <c r="L20" s="43"/>
      <c r="M20" s="138">
        <f>25000+26658</f>
        <v>51658</v>
      </c>
      <c r="N20" s="30">
        <v>950</v>
      </c>
      <c r="P20" s="83">
        <f t="shared" si="0"/>
        <v>52956</v>
      </c>
      <c r="Q20" s="9">
        <f t="shared" si="1"/>
        <v>0</v>
      </c>
      <c r="R20" s="26"/>
    </row>
    <row r="21" spans="1:19" ht="18" thickBot="1" x14ac:dyDescent="0.35">
      <c r="A21" s="20"/>
      <c r="B21" s="21">
        <v>44461</v>
      </c>
      <c r="C21" s="22">
        <v>0</v>
      </c>
      <c r="D21" s="31"/>
      <c r="E21" s="24">
        <v>44461</v>
      </c>
      <c r="F21" s="25">
        <v>41002</v>
      </c>
      <c r="G21" s="26"/>
      <c r="H21" s="32">
        <v>44461</v>
      </c>
      <c r="I21" s="28">
        <v>12</v>
      </c>
      <c r="J21" s="33"/>
      <c r="K21" s="177"/>
      <c r="L21" s="43"/>
      <c r="M21" s="138">
        <f>20000+20650</f>
        <v>40650</v>
      </c>
      <c r="N21" s="30">
        <v>342</v>
      </c>
      <c r="P21" s="83">
        <f t="shared" si="0"/>
        <v>41004</v>
      </c>
      <c r="Q21" s="9">
        <f t="shared" si="1"/>
        <v>2</v>
      </c>
      <c r="R21" s="26"/>
    </row>
    <row r="22" spans="1:19" ht="18" thickBot="1" x14ac:dyDescent="0.35">
      <c r="A22" s="20"/>
      <c r="B22" s="21">
        <v>44462</v>
      </c>
      <c r="C22" s="22">
        <v>5051</v>
      </c>
      <c r="D22" s="31" t="s">
        <v>152</v>
      </c>
      <c r="E22" s="24">
        <v>44462</v>
      </c>
      <c r="F22" s="25">
        <v>62111</v>
      </c>
      <c r="G22" s="26"/>
      <c r="H22" s="32">
        <v>44462</v>
      </c>
      <c r="I22" s="28">
        <v>51</v>
      </c>
      <c r="J22" s="33"/>
      <c r="K22" s="51"/>
      <c r="L22" s="52"/>
      <c r="M22" s="138">
        <f>25000+30485</f>
        <v>55485</v>
      </c>
      <c r="N22" s="30">
        <v>1524</v>
      </c>
      <c r="P22" s="83">
        <f t="shared" si="0"/>
        <v>62111</v>
      </c>
      <c r="Q22" s="9">
        <f t="shared" si="1"/>
        <v>0</v>
      </c>
      <c r="R22" s="26"/>
    </row>
    <row r="23" spans="1:19" ht="18" thickBot="1" x14ac:dyDescent="0.35">
      <c r="A23" s="20"/>
      <c r="B23" s="21">
        <v>44463</v>
      </c>
      <c r="C23" s="22">
        <v>8999</v>
      </c>
      <c r="D23" s="31" t="s">
        <v>153</v>
      </c>
      <c r="E23" s="24">
        <v>44463</v>
      </c>
      <c r="F23" s="25">
        <v>89209</v>
      </c>
      <c r="G23" s="26"/>
      <c r="H23" s="32">
        <v>44463</v>
      </c>
      <c r="I23" s="28">
        <v>16</v>
      </c>
      <c r="J23" s="53"/>
      <c r="K23" s="54"/>
      <c r="L23" s="43"/>
      <c r="M23" s="138">
        <f>5300+40000+34700</f>
        <v>80000</v>
      </c>
      <c r="N23" s="30">
        <v>195</v>
      </c>
      <c r="P23" s="83">
        <f t="shared" si="0"/>
        <v>89210</v>
      </c>
      <c r="Q23" s="9">
        <f t="shared" si="1"/>
        <v>1</v>
      </c>
      <c r="R23" s="26"/>
    </row>
    <row r="24" spans="1:19" ht="18" thickBot="1" x14ac:dyDescent="0.35">
      <c r="A24" s="20"/>
      <c r="B24" s="21">
        <v>44464</v>
      </c>
      <c r="C24" s="22">
        <v>1265</v>
      </c>
      <c r="D24" s="31" t="s">
        <v>154</v>
      </c>
      <c r="E24" s="24">
        <v>44464</v>
      </c>
      <c r="F24" s="25">
        <v>64660</v>
      </c>
      <c r="G24" s="26"/>
      <c r="H24" s="32">
        <v>44464</v>
      </c>
      <c r="I24" s="28">
        <v>285</v>
      </c>
      <c r="J24" s="55">
        <v>44464</v>
      </c>
      <c r="K24" s="56" t="s">
        <v>155</v>
      </c>
      <c r="L24" s="57">
        <v>10900</v>
      </c>
      <c r="M24" s="138">
        <f>20000+25920</f>
        <v>45920</v>
      </c>
      <c r="N24" s="30">
        <v>6292</v>
      </c>
      <c r="P24" s="83">
        <f t="shared" si="0"/>
        <v>64662</v>
      </c>
      <c r="Q24" s="9">
        <f t="shared" si="1"/>
        <v>2</v>
      </c>
      <c r="R24" s="26"/>
    </row>
    <row r="25" spans="1:19" ht="18" thickBot="1" x14ac:dyDescent="0.35">
      <c r="A25" s="20"/>
      <c r="B25" s="21">
        <v>44465</v>
      </c>
      <c r="C25" s="22">
        <v>132</v>
      </c>
      <c r="D25" s="31" t="s">
        <v>156</v>
      </c>
      <c r="E25" s="24">
        <v>44465</v>
      </c>
      <c r="F25" s="25">
        <v>73362</v>
      </c>
      <c r="G25" s="26"/>
      <c r="H25" s="32">
        <v>44465</v>
      </c>
      <c r="I25" s="28">
        <v>3000</v>
      </c>
      <c r="J25" s="58" t="s">
        <v>157</v>
      </c>
      <c r="K25" s="59"/>
      <c r="L25" s="60"/>
      <c r="M25" s="138">
        <f>55000+11514</f>
        <v>66514</v>
      </c>
      <c r="N25" s="30">
        <v>3716</v>
      </c>
      <c r="P25" s="83">
        <f t="shared" si="0"/>
        <v>73362</v>
      </c>
      <c r="Q25" s="9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44466</v>
      </c>
      <c r="C26" s="22">
        <v>3613.5</v>
      </c>
      <c r="D26" s="31" t="s">
        <v>158</v>
      </c>
      <c r="E26" s="24">
        <v>44466</v>
      </c>
      <c r="F26" s="25">
        <v>50804</v>
      </c>
      <c r="G26" s="26"/>
      <c r="H26" s="32">
        <v>44466</v>
      </c>
      <c r="I26" s="28">
        <v>8</v>
      </c>
      <c r="J26" s="33"/>
      <c r="K26" s="56"/>
      <c r="L26" s="43"/>
      <c r="M26" s="138">
        <f>38000+9182+160</f>
        <v>47342</v>
      </c>
      <c r="N26" s="30">
        <v>0</v>
      </c>
      <c r="P26" s="83">
        <f t="shared" si="0"/>
        <v>50963.5</v>
      </c>
      <c r="Q26" s="210">
        <f t="shared" si="1"/>
        <v>159.5</v>
      </c>
      <c r="R26" s="51"/>
    </row>
    <row r="27" spans="1:19" ht="18" thickBot="1" x14ac:dyDescent="0.35">
      <c r="A27" s="20"/>
      <c r="B27" s="21">
        <v>44467</v>
      </c>
      <c r="C27" s="22">
        <v>0</v>
      </c>
      <c r="D27" s="38"/>
      <c r="E27" s="24">
        <v>44467</v>
      </c>
      <c r="F27" s="25">
        <v>60651</v>
      </c>
      <c r="G27" s="26"/>
      <c r="H27" s="32">
        <v>44467</v>
      </c>
      <c r="I27" s="28">
        <v>120</v>
      </c>
      <c r="J27" s="61"/>
      <c r="K27" s="62"/>
      <c r="L27" s="60"/>
      <c r="M27" s="138">
        <f>30000+30510</f>
        <v>60510</v>
      </c>
      <c r="N27" s="30">
        <v>22</v>
      </c>
      <c r="P27" s="83">
        <f t="shared" si="0"/>
        <v>60652</v>
      </c>
      <c r="Q27" s="9">
        <f t="shared" si="1"/>
        <v>1</v>
      </c>
      <c r="R27" s="26"/>
    </row>
    <row r="28" spans="1:19" ht="18" thickBot="1" x14ac:dyDescent="0.35">
      <c r="A28" s="20"/>
      <c r="B28" s="21">
        <v>44468</v>
      </c>
      <c r="C28" s="22">
        <v>1949</v>
      </c>
      <c r="D28" s="38" t="s">
        <v>159</v>
      </c>
      <c r="E28" s="24">
        <v>44468</v>
      </c>
      <c r="F28" s="25">
        <v>35892</v>
      </c>
      <c r="G28" s="26"/>
      <c r="H28" s="32">
        <v>44468</v>
      </c>
      <c r="I28" s="28">
        <v>1006</v>
      </c>
      <c r="J28" s="63"/>
      <c r="K28" s="34"/>
      <c r="L28" s="60"/>
      <c r="M28" s="138">
        <f>22620+10000</f>
        <v>32620</v>
      </c>
      <c r="N28" s="30">
        <v>314</v>
      </c>
      <c r="P28" s="83">
        <f t="shared" si="0"/>
        <v>35889</v>
      </c>
      <c r="Q28" s="211">
        <f t="shared" si="1"/>
        <v>-3</v>
      </c>
      <c r="R28" s="26"/>
    </row>
    <row r="29" spans="1:19" ht="18" thickBot="1" x14ac:dyDescent="0.35">
      <c r="A29" s="20"/>
      <c r="B29" s="21">
        <v>44469</v>
      </c>
      <c r="C29" s="22">
        <v>1132</v>
      </c>
      <c r="D29" s="64" t="s">
        <v>160</v>
      </c>
      <c r="E29" s="24">
        <v>44469</v>
      </c>
      <c r="F29" s="25">
        <v>55710</v>
      </c>
      <c r="G29" s="26"/>
      <c r="H29" s="32">
        <v>44469</v>
      </c>
      <c r="I29" s="28">
        <v>16</v>
      </c>
      <c r="J29" s="65"/>
      <c r="K29" s="66"/>
      <c r="L29" s="60"/>
      <c r="M29" s="138">
        <f>34562+20000</f>
        <v>54562</v>
      </c>
      <c r="N29" s="30">
        <v>0</v>
      </c>
      <c r="P29" s="83">
        <f t="shared" si="0"/>
        <v>55710</v>
      </c>
      <c r="Q29" s="9">
        <f t="shared" si="1"/>
        <v>0</v>
      </c>
      <c r="R29" s="26"/>
    </row>
    <row r="30" spans="1:19" ht="18" thickBot="1" x14ac:dyDescent="0.35">
      <c r="A30" s="20"/>
      <c r="B30" s="21">
        <v>44470</v>
      </c>
      <c r="C30" s="22">
        <v>1812</v>
      </c>
      <c r="D30" s="64" t="s">
        <v>161</v>
      </c>
      <c r="E30" s="24">
        <v>44470</v>
      </c>
      <c r="F30" s="25">
        <v>85895</v>
      </c>
      <c r="G30" s="26"/>
      <c r="H30" s="32">
        <v>44470</v>
      </c>
      <c r="I30" s="28">
        <v>10</v>
      </c>
      <c r="J30" s="67"/>
      <c r="K30" s="68"/>
      <c r="L30" s="69"/>
      <c r="M30" s="138">
        <f>25000+43321+100+14800</f>
        <v>83221</v>
      </c>
      <c r="N30" s="30">
        <v>852</v>
      </c>
      <c r="P30" s="83">
        <f t="shared" si="0"/>
        <v>85895</v>
      </c>
      <c r="Q30" s="9">
        <f t="shared" si="1"/>
        <v>0</v>
      </c>
      <c r="R30" s="26"/>
    </row>
    <row r="31" spans="1:19" ht="18" thickBot="1" x14ac:dyDescent="0.35">
      <c r="A31" s="20"/>
      <c r="B31" s="21">
        <v>44471</v>
      </c>
      <c r="C31" s="22">
        <v>4573</v>
      </c>
      <c r="D31" s="70" t="s">
        <v>162</v>
      </c>
      <c r="E31" s="24">
        <v>44471</v>
      </c>
      <c r="F31" s="25">
        <v>87033</v>
      </c>
      <c r="G31" s="26"/>
      <c r="H31" s="32">
        <v>44471</v>
      </c>
      <c r="I31" s="28">
        <v>0</v>
      </c>
      <c r="J31" s="67">
        <v>44471</v>
      </c>
      <c r="K31" s="71" t="s">
        <v>163</v>
      </c>
      <c r="L31" s="72">
        <v>10300</v>
      </c>
      <c r="M31" s="138">
        <f>31620+35000</f>
        <v>66620</v>
      </c>
      <c r="N31" s="30">
        <v>5534</v>
      </c>
      <c r="P31" s="83">
        <f t="shared" si="0"/>
        <v>87027</v>
      </c>
      <c r="Q31" s="211">
        <f t="shared" si="1"/>
        <v>-6</v>
      </c>
      <c r="R31" s="26"/>
    </row>
    <row r="32" spans="1:19" ht="18" thickBot="1" x14ac:dyDescent="0.35">
      <c r="A32" s="20"/>
      <c r="B32" s="21">
        <v>44472</v>
      </c>
      <c r="C32" s="22">
        <v>0</v>
      </c>
      <c r="D32" s="73"/>
      <c r="E32" s="24">
        <v>44472</v>
      </c>
      <c r="F32" s="25">
        <v>71320</v>
      </c>
      <c r="G32" s="26"/>
      <c r="H32" s="32">
        <v>44472</v>
      </c>
      <c r="I32" s="28">
        <v>0</v>
      </c>
      <c r="J32" s="67"/>
      <c r="K32" s="68"/>
      <c r="L32" s="69"/>
      <c r="M32" s="138">
        <f>55000+11666</f>
        <v>66666</v>
      </c>
      <c r="N32" s="30">
        <v>4654</v>
      </c>
      <c r="P32" s="83">
        <f t="shared" si="0"/>
        <v>71320</v>
      </c>
      <c r="Q32" s="9">
        <f t="shared" si="1"/>
        <v>0</v>
      </c>
      <c r="R32" s="26"/>
    </row>
    <row r="33" spans="1:18" ht="18" thickBot="1" x14ac:dyDescent="0.35">
      <c r="A33" s="20"/>
      <c r="B33" s="21"/>
      <c r="C33" s="22">
        <v>0</v>
      </c>
      <c r="D33" s="74"/>
      <c r="E33" s="24"/>
      <c r="F33" s="25"/>
      <c r="G33" s="26"/>
      <c r="H33" s="32"/>
      <c r="I33" s="28"/>
      <c r="J33" s="67" t="s">
        <v>181</v>
      </c>
      <c r="K33" s="71" t="s">
        <v>182</v>
      </c>
      <c r="L33" s="75">
        <v>3422</v>
      </c>
      <c r="M33" s="138">
        <v>0</v>
      </c>
      <c r="N33" s="30">
        <v>0</v>
      </c>
      <c r="P33" s="83">
        <v>0</v>
      </c>
      <c r="Q33" s="9">
        <f t="shared" si="1"/>
        <v>0</v>
      </c>
      <c r="R33" s="26"/>
    </row>
    <row r="34" spans="1:18" ht="18" thickBot="1" x14ac:dyDescent="0.35">
      <c r="A34" s="20"/>
      <c r="B34" s="21"/>
      <c r="C34" s="22">
        <v>0</v>
      </c>
      <c r="D34" s="73"/>
      <c r="E34" s="24"/>
      <c r="F34" s="25">
        <v>0</v>
      </c>
      <c r="G34" s="26"/>
      <c r="H34" s="32"/>
      <c r="I34" s="28">
        <v>0</v>
      </c>
      <c r="J34" s="67" t="s">
        <v>181</v>
      </c>
      <c r="K34" s="213" t="s">
        <v>183</v>
      </c>
      <c r="L34" s="76">
        <v>4999.6000000000004</v>
      </c>
      <c r="M34" s="138">
        <v>0</v>
      </c>
      <c r="N34" s="30">
        <v>0</v>
      </c>
      <c r="P34" s="83">
        <v>0</v>
      </c>
      <c r="Q34" s="9">
        <f t="shared" si="1"/>
        <v>0</v>
      </c>
      <c r="R34" s="26"/>
    </row>
    <row r="35" spans="1:18" ht="18" thickBot="1" x14ac:dyDescent="0.35">
      <c r="A35" s="20"/>
      <c r="B35" s="21"/>
      <c r="C35" s="22">
        <v>0</v>
      </c>
      <c r="D35" s="77"/>
      <c r="E35" s="24"/>
      <c r="F35" s="25">
        <v>0</v>
      </c>
      <c r="G35" s="26"/>
      <c r="H35" s="32"/>
      <c r="I35" s="28">
        <v>0</v>
      </c>
      <c r="J35" s="67" t="s">
        <v>181</v>
      </c>
      <c r="K35" s="214" t="s">
        <v>183</v>
      </c>
      <c r="L35" s="75">
        <v>1195.68</v>
      </c>
      <c r="M35" s="138">
        <v>0</v>
      </c>
      <c r="N35" s="30">
        <v>0</v>
      </c>
      <c r="P35" s="83">
        <v>0</v>
      </c>
      <c r="Q35" s="9">
        <f t="shared" si="1"/>
        <v>0</v>
      </c>
      <c r="R35" s="26"/>
    </row>
    <row r="36" spans="1:18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 t="s">
        <v>181</v>
      </c>
      <c r="K36" s="78" t="s">
        <v>110</v>
      </c>
      <c r="L36" s="76">
        <v>1392</v>
      </c>
      <c r="M36" s="138">
        <v>0</v>
      </c>
      <c r="N36" s="30">
        <v>0</v>
      </c>
      <c r="P36" s="83">
        <v>0</v>
      </c>
      <c r="Q36" s="9">
        <f t="shared" si="1"/>
        <v>0</v>
      </c>
      <c r="R36" s="26"/>
    </row>
    <row r="37" spans="1:18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 t="s">
        <v>181</v>
      </c>
      <c r="K37" s="184" t="s">
        <v>184</v>
      </c>
      <c r="L37" s="76">
        <v>836.84</v>
      </c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8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/>
      <c r="K38" s="71"/>
      <c r="L38" s="75"/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8" ht="18.7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/>
      <c r="K39" s="82"/>
      <c r="L39" s="69"/>
      <c r="M39" s="239">
        <f>SUM(M5:M38)</f>
        <v>1464441</v>
      </c>
      <c r="N39" s="241">
        <f>SUM(N5:N38)</f>
        <v>53494</v>
      </c>
      <c r="P39" s="83">
        <f>SUM(P5:P38)</f>
        <v>1627955.65</v>
      </c>
      <c r="Q39" s="9">
        <f>SUM(Q5:Q38)</f>
        <v>167.65000000000146</v>
      </c>
    </row>
    <row r="40" spans="1:18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71"/>
      <c r="L40" s="69"/>
      <c r="M40" s="240"/>
      <c r="N40" s="242"/>
      <c r="P40" s="83"/>
      <c r="Q40" s="9"/>
    </row>
    <row r="41" spans="1:18" ht="18" thickBot="1" x14ac:dyDescent="0.35">
      <c r="A41" s="20"/>
      <c r="B41" s="21"/>
      <c r="C41" s="84"/>
      <c r="D41" s="194"/>
      <c r="E41" s="195"/>
      <c r="F41" s="196"/>
      <c r="G41" s="26"/>
      <c r="H41" s="197"/>
      <c r="I41" s="85"/>
      <c r="J41" s="67"/>
      <c r="K41" s="71"/>
      <c r="L41" s="75"/>
      <c r="M41" s="199"/>
      <c r="N41" s="198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/>
      <c r="K42" s="71"/>
      <c r="L42" s="75"/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/>
      <c r="K43" s="71"/>
      <c r="L43" s="75"/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8" ht="18" hidden="1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0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52224.5</v>
      </c>
      <c r="D50" s="94"/>
      <c r="E50" s="95" t="s">
        <v>5</v>
      </c>
      <c r="F50" s="96">
        <f>SUM(F5:F49)</f>
        <v>1627788</v>
      </c>
      <c r="G50" s="94"/>
      <c r="H50" s="97" t="s">
        <v>6</v>
      </c>
      <c r="I50" s="98">
        <f>SUM(I5:I49)</f>
        <v>10539</v>
      </c>
      <c r="J50" s="99"/>
      <c r="K50" s="100" t="s">
        <v>7</v>
      </c>
      <c r="L50" s="101">
        <f>SUM(L5:L49)</f>
        <v>59103.27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27" t="s">
        <v>8</v>
      </c>
      <c r="I52" s="228"/>
      <c r="J52" s="106"/>
      <c r="K52" s="229">
        <f>I50+L50</f>
        <v>69642.26999999999</v>
      </c>
      <c r="L52" s="230"/>
      <c r="M52" s="218">
        <f>N39+M39</f>
        <v>1517935</v>
      </c>
      <c r="N52" s="219"/>
      <c r="P52" s="83"/>
      <c r="Q52" s="9"/>
    </row>
    <row r="53" spans="1:17" ht="15.75" x14ac:dyDescent="0.25">
      <c r="D53" s="231" t="s">
        <v>9</v>
      </c>
      <c r="E53" s="231"/>
      <c r="F53" s="107">
        <f>F50-K52-C50</f>
        <v>1505921.23</v>
      </c>
      <c r="I53" s="108"/>
      <c r="J53" s="109"/>
      <c r="P53" s="83"/>
      <c r="Q53" s="9"/>
    </row>
    <row r="54" spans="1:17" ht="18.75" x14ac:dyDescent="0.3">
      <c r="D54" s="232" t="s">
        <v>10</v>
      </c>
      <c r="E54" s="232"/>
      <c r="F54" s="102">
        <v>-1424333.95</v>
      </c>
      <c r="I54" s="233" t="s">
        <v>11</v>
      </c>
      <c r="J54" s="234"/>
      <c r="K54" s="235">
        <f>F56+F57+F58</f>
        <v>222140.17000000004</v>
      </c>
      <c r="L54" s="236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81587.280000000028</v>
      </c>
      <c r="H56" s="20"/>
      <c r="I56" s="116" t="s">
        <v>13</v>
      </c>
      <c r="J56" s="117"/>
      <c r="K56" s="220">
        <f>-C4</f>
        <v>-136234.76999999999</v>
      </c>
      <c r="L56" s="221"/>
    </row>
    <row r="57" spans="1:17" ht="16.5" thickBot="1" x14ac:dyDescent="0.3">
      <c r="D57" s="118" t="s">
        <v>14</v>
      </c>
      <c r="E57" s="104" t="s">
        <v>15</v>
      </c>
      <c r="F57" s="119">
        <v>5704</v>
      </c>
    </row>
    <row r="58" spans="1:17" ht="20.25" thickTop="1" thickBot="1" x14ac:dyDescent="0.35">
      <c r="C58" s="120">
        <v>44472</v>
      </c>
      <c r="D58" s="222" t="s">
        <v>16</v>
      </c>
      <c r="E58" s="223"/>
      <c r="F58" s="121">
        <v>134848.89000000001</v>
      </c>
      <c r="I58" s="224" t="s">
        <v>17</v>
      </c>
      <c r="J58" s="225"/>
      <c r="K58" s="226">
        <f>K54+K56</f>
        <v>85905.400000000052</v>
      </c>
      <c r="L58" s="226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2"/>
      <c r="J60" s="192"/>
      <c r="K60" s="193"/>
      <c r="L60" s="193"/>
    </row>
    <row r="61" spans="1:17" ht="16.5" customHeight="1" x14ac:dyDescent="0.25">
      <c r="B61" s="127"/>
      <c r="C61" s="128"/>
      <c r="D61" s="129"/>
      <c r="E61" s="83"/>
      <c r="I61" s="192"/>
      <c r="J61" s="192"/>
      <c r="K61" s="193"/>
      <c r="L61" s="193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134"/>
  <sheetViews>
    <sheetView topLeftCell="A43" workbookViewId="0">
      <selection activeCell="A43" sqref="A1:XFD1048576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201" t="s">
        <v>22</v>
      </c>
      <c r="B2" s="201" t="s">
        <v>23</v>
      </c>
      <c r="C2" s="202" t="s">
        <v>24</v>
      </c>
      <c r="D2" s="201" t="s">
        <v>25</v>
      </c>
      <c r="E2" s="202" t="s">
        <v>26</v>
      </c>
      <c r="F2" s="140" t="s">
        <v>24</v>
      </c>
    </row>
    <row r="3" spans="1:7" ht="18.75" x14ac:dyDescent="0.3">
      <c r="A3" s="141">
        <v>44445</v>
      </c>
      <c r="B3" s="179" t="s">
        <v>122</v>
      </c>
      <c r="C3" s="79">
        <v>42896.2</v>
      </c>
      <c r="D3" s="203"/>
      <c r="E3" s="79"/>
      <c r="F3" s="143">
        <f>C3-E3</f>
        <v>42896.2</v>
      </c>
    </row>
    <row r="4" spans="1:7" ht="18.75" x14ac:dyDescent="0.3">
      <c r="A4" s="141">
        <v>44446</v>
      </c>
      <c r="B4" s="179" t="s">
        <v>123</v>
      </c>
      <c r="C4" s="79">
        <v>673.2</v>
      </c>
      <c r="D4" s="203"/>
      <c r="E4" s="79"/>
      <c r="F4" s="145">
        <f>F3+C4-E4</f>
        <v>43569.399999999994</v>
      </c>
      <c r="G4" s="146"/>
    </row>
    <row r="5" spans="1:7" ht="15.75" x14ac:dyDescent="0.25">
      <c r="A5" s="141">
        <v>44447</v>
      </c>
      <c r="B5" s="179" t="s">
        <v>124</v>
      </c>
      <c r="C5" s="79">
        <v>59000.22</v>
      </c>
      <c r="D5" s="203"/>
      <c r="E5" s="79"/>
      <c r="F5" s="145">
        <f t="shared" ref="F5:F68" si="0">F4+C5-E5</f>
        <v>102569.62</v>
      </c>
    </row>
    <row r="6" spans="1:7" ht="15.75" x14ac:dyDescent="0.25">
      <c r="A6" s="141">
        <v>44447</v>
      </c>
      <c r="B6" s="179" t="s">
        <v>125</v>
      </c>
      <c r="C6" s="79">
        <v>11075.4</v>
      </c>
      <c r="D6" s="203"/>
      <c r="E6" s="79"/>
      <c r="F6" s="145">
        <f t="shared" si="0"/>
        <v>113645.01999999999</v>
      </c>
    </row>
    <row r="7" spans="1:7" ht="15.75" x14ac:dyDescent="0.25">
      <c r="A7" s="141">
        <v>44448</v>
      </c>
      <c r="B7" s="179" t="s">
        <v>126</v>
      </c>
      <c r="C7" s="79">
        <v>8608.6</v>
      </c>
      <c r="D7" s="203"/>
      <c r="E7" s="79"/>
      <c r="F7" s="145">
        <f t="shared" si="0"/>
        <v>122253.62</v>
      </c>
    </row>
    <row r="8" spans="1:7" ht="15.75" x14ac:dyDescent="0.25">
      <c r="A8" s="141">
        <v>44448</v>
      </c>
      <c r="B8" s="179" t="s">
        <v>127</v>
      </c>
      <c r="C8" s="79">
        <v>45033.9</v>
      </c>
      <c r="D8" s="203"/>
      <c r="E8" s="79"/>
      <c r="F8" s="145">
        <f t="shared" si="0"/>
        <v>167287.51999999999</v>
      </c>
    </row>
    <row r="9" spans="1:7" ht="15.75" x14ac:dyDescent="0.25">
      <c r="A9" s="141">
        <v>44448</v>
      </c>
      <c r="B9" s="179" t="s">
        <v>128</v>
      </c>
      <c r="C9" s="79">
        <v>2191.8000000000002</v>
      </c>
      <c r="D9" s="203"/>
      <c r="E9" s="79"/>
      <c r="F9" s="145">
        <f t="shared" si="0"/>
        <v>169479.31999999998</v>
      </c>
    </row>
    <row r="10" spans="1:7" ht="18.75" x14ac:dyDescent="0.3">
      <c r="A10" s="141">
        <v>44449</v>
      </c>
      <c r="B10" s="179" t="s">
        <v>129</v>
      </c>
      <c r="C10" s="79">
        <v>6894.34</v>
      </c>
      <c r="D10" s="203"/>
      <c r="E10" s="79"/>
      <c r="F10" s="145">
        <f t="shared" si="0"/>
        <v>176373.65999999997</v>
      </c>
      <c r="G10" s="146"/>
    </row>
    <row r="11" spans="1:7" ht="15.75" x14ac:dyDescent="0.25">
      <c r="A11" s="141">
        <v>44449</v>
      </c>
      <c r="B11" s="142" t="s">
        <v>130</v>
      </c>
      <c r="C11" s="79">
        <v>12957.4</v>
      </c>
      <c r="D11" s="144"/>
      <c r="E11" s="79"/>
      <c r="F11" s="145">
        <f t="shared" si="0"/>
        <v>189331.05999999997</v>
      </c>
    </row>
    <row r="12" spans="1:7" ht="15.75" x14ac:dyDescent="0.25">
      <c r="A12" s="144">
        <v>44450</v>
      </c>
      <c r="B12" s="142" t="s">
        <v>131</v>
      </c>
      <c r="C12" s="79">
        <v>88426.6</v>
      </c>
      <c r="D12" s="144"/>
      <c r="E12" s="79"/>
      <c r="F12" s="145">
        <f t="shared" si="0"/>
        <v>277757.65999999997</v>
      </c>
    </row>
    <row r="13" spans="1:7" ht="15.75" x14ac:dyDescent="0.25">
      <c r="A13" s="144">
        <v>44451</v>
      </c>
      <c r="B13" s="142" t="s">
        <v>132</v>
      </c>
      <c r="C13" s="79">
        <v>789.96</v>
      </c>
      <c r="D13" s="144"/>
      <c r="E13" s="79"/>
      <c r="F13" s="145">
        <f t="shared" si="0"/>
        <v>278547.62</v>
      </c>
    </row>
    <row r="14" spans="1:7" ht="15.75" x14ac:dyDescent="0.25">
      <c r="A14" s="144">
        <v>44452</v>
      </c>
      <c r="B14" s="142" t="s">
        <v>133</v>
      </c>
      <c r="C14" s="79">
        <v>41682.5</v>
      </c>
      <c r="D14" s="144"/>
      <c r="E14" s="79"/>
      <c r="F14" s="145">
        <f t="shared" si="0"/>
        <v>320230.12</v>
      </c>
    </row>
    <row r="15" spans="1:7" ht="15.75" x14ac:dyDescent="0.25">
      <c r="A15" s="144">
        <v>44452</v>
      </c>
      <c r="B15" s="142" t="s">
        <v>134</v>
      </c>
      <c r="C15" s="79">
        <v>21216.5</v>
      </c>
      <c r="D15" s="144">
        <v>44456</v>
      </c>
      <c r="E15" s="79">
        <v>336878.8</v>
      </c>
      <c r="F15" s="145">
        <f t="shared" si="0"/>
        <v>4567.820000000007</v>
      </c>
    </row>
    <row r="16" spans="1:7" ht="15.75" x14ac:dyDescent="0.25">
      <c r="A16" s="144">
        <v>44452</v>
      </c>
      <c r="B16" s="142" t="s">
        <v>135</v>
      </c>
      <c r="C16" s="79">
        <v>13948.78</v>
      </c>
      <c r="D16" s="144"/>
      <c r="E16" s="79"/>
      <c r="F16" s="145">
        <f t="shared" si="0"/>
        <v>18516.600000000006</v>
      </c>
    </row>
    <row r="17" spans="1:7" ht="15.75" x14ac:dyDescent="0.25">
      <c r="A17" s="144">
        <v>44453</v>
      </c>
      <c r="B17" s="142" t="s">
        <v>136</v>
      </c>
      <c r="C17" s="79">
        <v>69059.98</v>
      </c>
      <c r="D17" s="144"/>
      <c r="E17" s="79"/>
      <c r="F17" s="145">
        <f t="shared" si="0"/>
        <v>87576.58</v>
      </c>
    </row>
    <row r="18" spans="1:7" ht="15.75" x14ac:dyDescent="0.25">
      <c r="A18" s="144">
        <v>44453</v>
      </c>
      <c r="B18" s="142" t="s">
        <v>137</v>
      </c>
      <c r="C18" s="79">
        <v>23621.5</v>
      </c>
      <c r="D18" s="144"/>
      <c r="E18" s="79"/>
      <c r="F18" s="145">
        <f t="shared" si="0"/>
        <v>111198.08</v>
      </c>
    </row>
    <row r="19" spans="1:7" ht="15.75" x14ac:dyDescent="0.25">
      <c r="A19" s="144">
        <v>44453</v>
      </c>
      <c r="B19" s="142" t="s">
        <v>138</v>
      </c>
      <c r="C19" s="79">
        <v>10612.8</v>
      </c>
      <c r="D19" s="144"/>
      <c r="E19" s="79"/>
      <c r="F19" s="145">
        <f t="shared" si="0"/>
        <v>121810.88</v>
      </c>
    </row>
    <row r="20" spans="1:7" ht="15.75" x14ac:dyDescent="0.25">
      <c r="A20" s="144">
        <v>44455</v>
      </c>
      <c r="B20" s="142" t="s">
        <v>139</v>
      </c>
      <c r="C20" s="79">
        <v>5853.76</v>
      </c>
      <c r="D20" s="144"/>
      <c r="E20" s="79"/>
      <c r="F20" s="145">
        <f t="shared" si="0"/>
        <v>127664.64</v>
      </c>
    </row>
    <row r="21" spans="1:7" ht="15.75" x14ac:dyDescent="0.25">
      <c r="A21" s="144">
        <v>44455</v>
      </c>
      <c r="B21" s="142" t="s">
        <v>140</v>
      </c>
      <c r="C21" s="79">
        <v>42482</v>
      </c>
      <c r="D21" s="144"/>
      <c r="E21" s="79"/>
      <c r="F21" s="145">
        <f t="shared" si="0"/>
        <v>170146.64</v>
      </c>
    </row>
    <row r="22" spans="1:7" ht="18.75" x14ac:dyDescent="0.3">
      <c r="A22" s="144">
        <v>44456</v>
      </c>
      <c r="B22" s="142" t="s">
        <v>141</v>
      </c>
      <c r="C22" s="79">
        <v>45247.6</v>
      </c>
      <c r="D22" s="144"/>
      <c r="E22" s="79"/>
      <c r="F22" s="145">
        <f t="shared" si="0"/>
        <v>215394.24000000002</v>
      </c>
      <c r="G22" s="146"/>
    </row>
    <row r="23" spans="1:7" ht="15.75" x14ac:dyDescent="0.25">
      <c r="A23" s="144">
        <v>44456</v>
      </c>
      <c r="B23" s="142" t="s">
        <v>142</v>
      </c>
      <c r="C23" s="79">
        <v>1281.5999999999999</v>
      </c>
      <c r="D23" s="144"/>
      <c r="E23" s="79"/>
      <c r="F23" s="145">
        <f t="shared" si="0"/>
        <v>216675.84000000003</v>
      </c>
    </row>
    <row r="24" spans="1:7" ht="15.75" x14ac:dyDescent="0.25">
      <c r="A24" s="144">
        <v>44456</v>
      </c>
      <c r="B24" s="142" t="s">
        <v>143</v>
      </c>
      <c r="C24" s="79">
        <v>19709.2</v>
      </c>
      <c r="D24" s="144"/>
      <c r="E24" s="79"/>
      <c r="F24" s="145">
        <f t="shared" si="0"/>
        <v>236385.04000000004</v>
      </c>
    </row>
    <row r="25" spans="1:7" ht="15.75" x14ac:dyDescent="0.25">
      <c r="A25" s="144">
        <v>44457</v>
      </c>
      <c r="B25" s="142" t="s">
        <v>144</v>
      </c>
      <c r="C25" s="79">
        <v>102622.38</v>
      </c>
      <c r="D25" s="144"/>
      <c r="E25" s="79"/>
      <c r="F25" s="145">
        <f t="shared" si="0"/>
        <v>339007.42000000004</v>
      </c>
    </row>
    <row r="26" spans="1:7" ht="15.75" x14ac:dyDescent="0.25">
      <c r="A26" s="144">
        <v>44457</v>
      </c>
      <c r="B26" s="142" t="s">
        <v>145</v>
      </c>
      <c r="C26" s="79">
        <v>2353.4</v>
      </c>
      <c r="D26" s="144"/>
      <c r="E26" s="79"/>
      <c r="F26" s="145">
        <f t="shared" si="0"/>
        <v>341360.82000000007</v>
      </c>
    </row>
    <row r="27" spans="1:7" ht="15.75" x14ac:dyDescent="0.25">
      <c r="A27" s="144">
        <v>44458</v>
      </c>
      <c r="B27" s="142" t="s">
        <v>146</v>
      </c>
      <c r="C27" s="79">
        <v>607.20000000000005</v>
      </c>
      <c r="D27" s="144"/>
      <c r="E27" s="79"/>
      <c r="F27" s="145">
        <f t="shared" si="0"/>
        <v>341968.02000000008</v>
      </c>
    </row>
    <row r="28" spans="1:7" ht="15.75" x14ac:dyDescent="0.25">
      <c r="A28" s="144">
        <v>44459</v>
      </c>
      <c r="B28" s="142" t="s">
        <v>164</v>
      </c>
      <c r="C28" s="79">
        <v>31885.45</v>
      </c>
      <c r="D28" s="144">
        <v>44463</v>
      </c>
      <c r="E28" s="79">
        <v>350000</v>
      </c>
      <c r="F28" s="145">
        <f t="shared" si="0"/>
        <v>23853.470000000088</v>
      </c>
    </row>
    <row r="29" spans="1:7" ht="15.75" x14ac:dyDescent="0.25">
      <c r="A29" s="144">
        <v>44460</v>
      </c>
      <c r="B29" s="142" t="s">
        <v>165</v>
      </c>
      <c r="C29" s="79">
        <v>36425.199999999997</v>
      </c>
      <c r="D29" s="144"/>
      <c r="E29" s="79"/>
      <c r="F29" s="145">
        <f t="shared" si="0"/>
        <v>60278.670000000086</v>
      </c>
    </row>
    <row r="30" spans="1:7" ht="18.75" x14ac:dyDescent="0.3">
      <c r="A30" s="144">
        <v>44461</v>
      </c>
      <c r="B30" s="142" t="s">
        <v>166</v>
      </c>
      <c r="C30" s="79">
        <v>50568.800000000003</v>
      </c>
      <c r="D30" s="144"/>
      <c r="E30" s="79"/>
      <c r="F30" s="145">
        <f t="shared" si="0"/>
        <v>110847.47000000009</v>
      </c>
      <c r="G30" s="146"/>
    </row>
    <row r="31" spans="1:7" ht="15.75" x14ac:dyDescent="0.25">
      <c r="A31" s="144">
        <v>44462</v>
      </c>
      <c r="B31" s="142" t="s">
        <v>167</v>
      </c>
      <c r="C31" s="79">
        <v>59040.6</v>
      </c>
      <c r="D31" s="144"/>
      <c r="E31" s="79"/>
      <c r="F31" s="145">
        <f t="shared" si="0"/>
        <v>169888.07000000009</v>
      </c>
    </row>
    <row r="32" spans="1:7" ht="15.75" x14ac:dyDescent="0.25">
      <c r="A32" s="144">
        <v>44463</v>
      </c>
      <c r="B32" s="142" t="s">
        <v>168</v>
      </c>
      <c r="C32" s="79">
        <v>79386.06</v>
      </c>
      <c r="D32" s="144"/>
      <c r="E32" s="79"/>
      <c r="F32" s="145">
        <f t="shared" si="0"/>
        <v>249274.13000000009</v>
      </c>
    </row>
    <row r="33" spans="1:6" ht="15.75" x14ac:dyDescent="0.25">
      <c r="A33" s="144">
        <v>44463</v>
      </c>
      <c r="B33" s="142" t="s">
        <v>169</v>
      </c>
      <c r="C33" s="79">
        <v>975</v>
      </c>
      <c r="D33" s="144"/>
      <c r="E33" s="79"/>
      <c r="F33" s="145">
        <f t="shared" si="0"/>
        <v>250249.13000000009</v>
      </c>
    </row>
    <row r="34" spans="1:6" ht="15.75" x14ac:dyDescent="0.25">
      <c r="A34" s="144">
        <v>44464</v>
      </c>
      <c r="B34" s="142" t="s">
        <v>170</v>
      </c>
      <c r="C34" s="79">
        <v>26659.84</v>
      </c>
      <c r="D34" s="144"/>
      <c r="E34" s="79"/>
      <c r="F34" s="145">
        <f t="shared" si="0"/>
        <v>276908.97000000009</v>
      </c>
    </row>
    <row r="35" spans="1:6" ht="15.75" x14ac:dyDescent="0.25">
      <c r="A35" s="144">
        <v>44464</v>
      </c>
      <c r="B35" s="142" t="s">
        <v>171</v>
      </c>
      <c r="C35" s="79">
        <v>63162.2</v>
      </c>
      <c r="D35" s="144"/>
      <c r="E35" s="79"/>
      <c r="F35" s="145">
        <f t="shared" si="0"/>
        <v>340071.1700000001</v>
      </c>
    </row>
    <row r="36" spans="1:6" ht="15.75" x14ac:dyDescent="0.25">
      <c r="A36" s="144">
        <v>44466</v>
      </c>
      <c r="B36" s="142" t="s">
        <v>172</v>
      </c>
      <c r="C36" s="79">
        <v>42269.1</v>
      </c>
      <c r="D36" s="144"/>
      <c r="E36" s="79"/>
      <c r="F36" s="145">
        <f t="shared" si="0"/>
        <v>382340.27000000008</v>
      </c>
    </row>
    <row r="37" spans="1:6" ht="15.75" x14ac:dyDescent="0.25">
      <c r="A37" s="144">
        <v>44466</v>
      </c>
      <c r="B37" s="142" t="s">
        <v>173</v>
      </c>
      <c r="C37" s="79">
        <v>3041</v>
      </c>
      <c r="D37" s="144"/>
      <c r="E37" s="79"/>
      <c r="F37" s="145">
        <f t="shared" si="0"/>
        <v>385381.27000000008</v>
      </c>
    </row>
    <row r="38" spans="1:6" ht="15.75" x14ac:dyDescent="0.25">
      <c r="A38" s="187">
        <v>44467</v>
      </c>
      <c r="B38" s="185" t="s">
        <v>174</v>
      </c>
      <c r="C38" s="186">
        <v>59570.38</v>
      </c>
      <c r="D38" s="144">
        <v>44470</v>
      </c>
      <c r="E38" s="79">
        <v>400000</v>
      </c>
      <c r="F38" s="145">
        <f t="shared" si="0"/>
        <v>44951.650000000081</v>
      </c>
    </row>
    <row r="39" spans="1:6" ht="15.75" x14ac:dyDescent="0.25">
      <c r="A39" s="187">
        <v>44467</v>
      </c>
      <c r="B39" s="185" t="s">
        <v>175</v>
      </c>
      <c r="C39" s="186">
        <v>7939.6</v>
      </c>
      <c r="D39" s="144"/>
      <c r="E39" s="79"/>
      <c r="F39" s="145">
        <f t="shared" si="0"/>
        <v>52891.25000000008</v>
      </c>
    </row>
    <row r="40" spans="1:6" ht="15.75" x14ac:dyDescent="0.25">
      <c r="A40" s="187">
        <v>44468</v>
      </c>
      <c r="B40" s="185" t="s">
        <v>176</v>
      </c>
      <c r="C40" s="186">
        <v>38874.400000000001</v>
      </c>
      <c r="D40" s="144"/>
      <c r="E40" s="79"/>
      <c r="F40" s="145">
        <f t="shared" si="0"/>
        <v>91765.650000000081</v>
      </c>
    </row>
    <row r="41" spans="1:6" ht="15.75" x14ac:dyDescent="0.25">
      <c r="A41" s="187">
        <v>44469</v>
      </c>
      <c r="B41" s="185" t="s">
        <v>177</v>
      </c>
      <c r="C41" s="186">
        <v>92182.8</v>
      </c>
      <c r="D41" s="144"/>
      <c r="E41" s="79"/>
      <c r="F41" s="145">
        <f t="shared" si="0"/>
        <v>183948.45000000007</v>
      </c>
    </row>
    <row r="42" spans="1:6" ht="15.75" x14ac:dyDescent="0.25">
      <c r="A42" s="187">
        <v>44470</v>
      </c>
      <c r="B42" s="185" t="s">
        <v>178</v>
      </c>
      <c r="C42" s="186">
        <v>66246</v>
      </c>
      <c r="D42" s="144"/>
      <c r="E42" s="79"/>
      <c r="F42" s="145">
        <f t="shared" si="0"/>
        <v>250194.45000000007</v>
      </c>
    </row>
    <row r="43" spans="1:6" ht="15.75" x14ac:dyDescent="0.25">
      <c r="A43" s="187">
        <v>44471</v>
      </c>
      <c r="B43" s="185" t="s">
        <v>179</v>
      </c>
      <c r="C43" s="186">
        <v>85535.7</v>
      </c>
      <c r="D43" s="144"/>
      <c r="E43" s="79"/>
      <c r="F43" s="145">
        <f t="shared" si="0"/>
        <v>335730.15000000008</v>
      </c>
    </row>
    <row r="44" spans="1:6" ht="15.75" x14ac:dyDescent="0.25">
      <c r="A44" s="187">
        <v>44471</v>
      </c>
      <c r="B44" s="185" t="s">
        <v>180</v>
      </c>
      <c r="C44" s="186">
        <v>1725</v>
      </c>
      <c r="D44" s="144"/>
      <c r="E44" s="79"/>
      <c r="F44" s="145">
        <f t="shared" si="0"/>
        <v>337455.15000000008</v>
      </c>
    </row>
    <row r="45" spans="1:6" ht="15.75" x14ac:dyDescent="0.25">
      <c r="A45" s="144"/>
      <c r="B45" s="142"/>
      <c r="C45" s="79"/>
      <c r="D45" s="144"/>
      <c r="E45" s="79"/>
      <c r="F45" s="145">
        <f t="shared" si="0"/>
        <v>337455.15000000008</v>
      </c>
    </row>
    <row r="46" spans="1:6" ht="15.75" x14ac:dyDescent="0.25">
      <c r="A46" s="144"/>
      <c r="B46" s="142"/>
      <c r="C46" s="79"/>
      <c r="D46" s="144"/>
      <c r="E46" s="79"/>
      <c r="F46" s="145">
        <f t="shared" si="0"/>
        <v>337455.15000000008</v>
      </c>
    </row>
    <row r="47" spans="1:6" ht="15.75" x14ac:dyDescent="0.25">
      <c r="A47" s="144"/>
      <c r="B47" s="142"/>
      <c r="C47" s="79"/>
      <c r="D47" s="144"/>
      <c r="E47" s="79"/>
      <c r="F47" s="145">
        <f t="shared" si="0"/>
        <v>337455.15000000008</v>
      </c>
    </row>
    <row r="48" spans="1:6" ht="15.75" x14ac:dyDescent="0.25">
      <c r="A48" s="144"/>
      <c r="B48" s="142"/>
      <c r="C48" s="79"/>
      <c r="D48" s="144"/>
      <c r="E48" s="79"/>
      <c r="F48" s="145">
        <f t="shared" si="0"/>
        <v>337455.15000000008</v>
      </c>
    </row>
    <row r="49" spans="1:6" ht="15.75" x14ac:dyDescent="0.25">
      <c r="A49" s="144"/>
      <c r="B49" s="142"/>
      <c r="C49" s="79"/>
      <c r="D49" s="144"/>
      <c r="E49" s="79"/>
      <c r="F49" s="145">
        <f t="shared" si="0"/>
        <v>337455.15000000008</v>
      </c>
    </row>
    <row r="50" spans="1:6" ht="15.75" x14ac:dyDescent="0.25">
      <c r="A50" s="144"/>
      <c r="B50" s="142"/>
      <c r="C50" s="79"/>
      <c r="D50" s="144"/>
      <c r="E50" s="79"/>
      <c r="F50" s="145">
        <f t="shared" si="0"/>
        <v>337455.15000000008</v>
      </c>
    </row>
    <row r="51" spans="1:6" ht="15.75" x14ac:dyDescent="0.25">
      <c r="A51" s="144"/>
      <c r="B51" s="142"/>
      <c r="C51" s="79"/>
      <c r="D51" s="144"/>
      <c r="E51" s="79"/>
      <c r="F51" s="145">
        <f t="shared" si="0"/>
        <v>337455.15000000008</v>
      </c>
    </row>
    <row r="52" spans="1:6" ht="15.75" x14ac:dyDescent="0.25">
      <c r="A52" s="144"/>
      <c r="B52" s="142"/>
      <c r="C52" s="79"/>
      <c r="D52" s="144"/>
      <c r="E52" s="79"/>
      <c r="F52" s="145">
        <f t="shared" si="0"/>
        <v>337455.15000000008</v>
      </c>
    </row>
    <row r="53" spans="1:6" ht="15.75" x14ac:dyDescent="0.25">
      <c r="A53" s="144"/>
      <c r="B53" s="142"/>
      <c r="C53" s="79"/>
      <c r="D53" s="144"/>
      <c r="E53" s="79"/>
      <c r="F53" s="145">
        <f t="shared" si="0"/>
        <v>337455.15000000008</v>
      </c>
    </row>
    <row r="54" spans="1:6" ht="15.75" x14ac:dyDescent="0.25">
      <c r="A54" s="141"/>
      <c r="B54" s="142"/>
      <c r="C54" s="79"/>
      <c r="D54" s="144"/>
      <c r="E54" s="79"/>
      <c r="F54" s="145">
        <f t="shared" si="0"/>
        <v>337455.15000000008</v>
      </c>
    </row>
    <row r="55" spans="1:6" ht="15.75" x14ac:dyDescent="0.25">
      <c r="A55" s="141"/>
      <c r="B55" s="142"/>
      <c r="C55" s="79"/>
      <c r="D55" s="144"/>
      <c r="E55" s="79"/>
      <c r="F55" s="145">
        <f t="shared" si="0"/>
        <v>337455.15000000008</v>
      </c>
    </row>
    <row r="56" spans="1:6" ht="15.75" x14ac:dyDescent="0.25">
      <c r="A56" s="141"/>
      <c r="B56" s="142"/>
      <c r="C56" s="79"/>
      <c r="D56" s="144"/>
      <c r="E56" s="79"/>
      <c r="F56" s="145">
        <f t="shared" si="0"/>
        <v>337455.15000000008</v>
      </c>
    </row>
    <row r="57" spans="1:6" ht="15.75" x14ac:dyDescent="0.25">
      <c r="A57" s="144"/>
      <c r="B57" s="142"/>
      <c r="C57" s="79"/>
      <c r="D57" s="144"/>
      <c r="E57" s="79"/>
      <c r="F57" s="145">
        <f t="shared" si="0"/>
        <v>337455.15000000008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337455.15000000008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337455.15000000008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337455.15000000008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337455.15000000008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337455.15000000008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337455.15000000008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337455.15000000008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337455.15000000008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337455.15000000008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337455.15000000008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337455.15000000008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337455.15000000008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337455.15000000008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337455.15000000008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337455.15000000008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337455.15000000008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337455.15000000008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337455.15000000008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337455.15000000008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337455.15000000008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337455.15000000008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337455.15000000008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337455.15000000008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337455.15000000008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337455.15000000008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337455.15000000008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337455.15000000008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337455.15000000008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337455.15000000008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337455.15000000008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337455.15000000008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337455.15000000008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337455.15000000008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337455.15000000008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337455.15000000008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337455.15000000008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337455.15000000008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337455.15000000008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337455.15000000008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337455.15000000008</v>
      </c>
    </row>
    <row r="98" spans="1:6" ht="18.75" x14ac:dyDescent="0.3">
      <c r="B98" s="104"/>
      <c r="C98" s="3">
        <f>SUM(C3:C97)</f>
        <v>1424333.9499999997</v>
      </c>
      <c r="D98" s="103"/>
      <c r="E98" s="3">
        <f>SUM(E3:E97)</f>
        <v>1086878.8</v>
      </c>
      <c r="F98" s="153">
        <f>F97</f>
        <v>337455.15000000008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00"/>
  </sheetPr>
  <dimension ref="A1:S80"/>
  <sheetViews>
    <sheetView tabSelected="1" topLeftCell="G16" workbookViewId="0">
      <selection activeCell="R32" sqref="R32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style="26" customWidth="1"/>
  </cols>
  <sheetData>
    <row r="1" spans="1:18" ht="23.25" x14ac:dyDescent="0.35">
      <c r="B1" s="243"/>
      <c r="C1" s="252" t="s">
        <v>185</v>
      </c>
      <c r="D1" s="253"/>
      <c r="E1" s="253"/>
      <c r="F1" s="253"/>
      <c r="G1" s="253"/>
      <c r="H1" s="253"/>
      <c r="I1" s="253"/>
      <c r="J1" s="253"/>
      <c r="K1" s="253"/>
      <c r="L1" s="253"/>
      <c r="M1" s="253"/>
    </row>
    <row r="2" spans="1:18" ht="16.5" thickBot="1" x14ac:dyDescent="0.3">
      <c r="B2" s="244"/>
      <c r="C2" s="4"/>
      <c r="H2" s="6"/>
      <c r="I2" s="2"/>
      <c r="J2" s="7"/>
      <c r="L2" s="8"/>
      <c r="M2" s="2"/>
      <c r="N2" s="9"/>
    </row>
    <row r="3" spans="1:18" ht="21.75" thickBot="1" x14ac:dyDescent="0.35">
      <c r="B3" s="245" t="s">
        <v>0</v>
      </c>
      <c r="C3" s="246"/>
      <c r="D3" s="10"/>
      <c r="E3" s="11"/>
      <c r="F3" s="11"/>
      <c r="H3" s="247" t="s">
        <v>18</v>
      </c>
      <c r="I3" s="247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134848.89000000001</v>
      </c>
      <c r="D4" s="16">
        <v>44472</v>
      </c>
      <c r="E4" s="248" t="s">
        <v>2</v>
      </c>
      <c r="F4" s="249"/>
      <c r="H4" s="250" t="s">
        <v>3</v>
      </c>
      <c r="I4" s="251"/>
      <c r="J4" s="17"/>
      <c r="K4" s="18"/>
      <c r="L4" s="19"/>
      <c r="M4" s="159" t="s">
        <v>20</v>
      </c>
      <c r="N4" s="160" t="s">
        <v>29</v>
      </c>
      <c r="P4" s="237" t="s">
        <v>28</v>
      </c>
      <c r="Q4" s="238"/>
    </row>
    <row r="5" spans="1:18" ht="18" thickBot="1" x14ac:dyDescent="0.35">
      <c r="A5" s="20" t="s">
        <v>4</v>
      </c>
      <c r="B5" s="21">
        <v>44473</v>
      </c>
      <c r="C5" s="22">
        <v>0</v>
      </c>
      <c r="D5" s="23"/>
      <c r="E5" s="24">
        <v>44473</v>
      </c>
      <c r="F5" s="25">
        <v>45417</v>
      </c>
      <c r="G5" s="26"/>
      <c r="H5" s="27">
        <v>44473</v>
      </c>
      <c r="I5" s="28">
        <v>10</v>
      </c>
      <c r="J5" s="7"/>
      <c r="K5" s="29"/>
      <c r="L5" s="9"/>
      <c r="M5" s="138">
        <f>23000+24867</f>
        <v>47867</v>
      </c>
      <c r="N5" s="30">
        <v>0</v>
      </c>
      <c r="O5" s="26"/>
      <c r="P5" s="83">
        <f>N5+M5+L5+I5+C5</f>
        <v>47877</v>
      </c>
      <c r="Q5" s="216">
        <f>P5-F5</f>
        <v>2460</v>
      </c>
      <c r="R5" s="51"/>
    </row>
    <row r="6" spans="1:18" ht="18" thickBot="1" x14ac:dyDescent="0.35">
      <c r="A6" s="20"/>
      <c r="B6" s="21">
        <v>44474</v>
      </c>
      <c r="C6" s="22">
        <v>0</v>
      </c>
      <c r="D6" s="31"/>
      <c r="E6" s="24">
        <v>44474</v>
      </c>
      <c r="F6" s="25">
        <v>39717</v>
      </c>
      <c r="G6" s="26"/>
      <c r="H6" s="32">
        <v>44474</v>
      </c>
      <c r="I6" s="28">
        <v>0</v>
      </c>
      <c r="J6" s="33">
        <v>44474</v>
      </c>
      <c r="K6" s="46" t="s">
        <v>186</v>
      </c>
      <c r="L6" s="35">
        <v>2000</v>
      </c>
      <c r="M6" s="138">
        <f>17261+23000</f>
        <v>40261</v>
      </c>
      <c r="N6" s="30">
        <v>700</v>
      </c>
      <c r="O6" s="26"/>
      <c r="P6" s="83">
        <f t="shared" ref="P6:P32" si="0">N6+M6+L6+I6+C6</f>
        <v>42961</v>
      </c>
      <c r="Q6" s="216">
        <f t="shared" ref="Q6:Q38" si="1">P6-F6</f>
        <v>3244</v>
      </c>
      <c r="R6" s="26"/>
    </row>
    <row r="7" spans="1:18" ht="18" thickBot="1" x14ac:dyDescent="0.35">
      <c r="A7" s="20"/>
      <c r="B7" s="21">
        <v>44475</v>
      </c>
      <c r="C7" s="22">
        <v>1148</v>
      </c>
      <c r="D7" s="36" t="s">
        <v>187</v>
      </c>
      <c r="E7" s="24">
        <v>44475</v>
      </c>
      <c r="F7" s="25">
        <v>33467</v>
      </c>
      <c r="G7" s="26"/>
      <c r="H7" s="32">
        <v>44475</v>
      </c>
      <c r="I7" s="28">
        <v>8</v>
      </c>
      <c r="J7" s="33"/>
      <c r="K7" s="37"/>
      <c r="L7" s="35"/>
      <c r="M7" s="138">
        <f>15000+16393</f>
        <v>31393</v>
      </c>
      <c r="N7" s="30">
        <v>918</v>
      </c>
      <c r="O7" s="26"/>
      <c r="P7" s="83">
        <f t="shared" si="0"/>
        <v>33467</v>
      </c>
      <c r="Q7" s="9">
        <f t="shared" si="1"/>
        <v>0</v>
      </c>
      <c r="R7" s="26"/>
    </row>
    <row r="8" spans="1:18" ht="18" thickBot="1" x14ac:dyDescent="0.35">
      <c r="A8" s="20"/>
      <c r="B8" s="21">
        <v>44476</v>
      </c>
      <c r="C8" s="22">
        <v>0</v>
      </c>
      <c r="D8" s="38"/>
      <c r="E8" s="24">
        <v>44476</v>
      </c>
      <c r="F8" s="25">
        <v>61488</v>
      </c>
      <c r="G8" s="26"/>
      <c r="H8" s="32">
        <v>44476</v>
      </c>
      <c r="I8" s="28">
        <v>20</v>
      </c>
      <c r="J8" s="39"/>
      <c r="K8" s="40"/>
      <c r="L8" s="35"/>
      <c r="M8" s="138">
        <f>30629+30000</f>
        <v>60629</v>
      </c>
      <c r="N8" s="30">
        <v>839</v>
      </c>
      <c r="O8" s="26"/>
      <c r="P8" s="83">
        <f t="shared" si="0"/>
        <v>61488</v>
      </c>
      <c r="Q8" s="76">
        <f t="shared" si="1"/>
        <v>0</v>
      </c>
      <c r="R8" s="51"/>
    </row>
    <row r="9" spans="1:18" ht="18" thickBot="1" x14ac:dyDescent="0.35">
      <c r="A9" s="20"/>
      <c r="B9" s="21">
        <v>44477</v>
      </c>
      <c r="C9" s="22">
        <v>0</v>
      </c>
      <c r="D9" s="38"/>
      <c r="E9" s="24">
        <v>44477</v>
      </c>
      <c r="F9" s="25">
        <v>76038</v>
      </c>
      <c r="G9" s="26"/>
      <c r="H9" s="32">
        <v>44477</v>
      </c>
      <c r="I9" s="28">
        <v>52</v>
      </c>
      <c r="J9" s="33"/>
      <c r="K9" s="41"/>
      <c r="L9" s="35"/>
      <c r="M9" s="138">
        <f>40000+34832</f>
        <v>74832</v>
      </c>
      <c r="N9" s="30">
        <v>1154</v>
      </c>
      <c r="O9" s="26"/>
      <c r="P9" s="83">
        <f>N9+M9+L9+I9+C9</f>
        <v>76038</v>
      </c>
      <c r="Q9" s="9">
        <f>P9-F9</f>
        <v>0</v>
      </c>
      <c r="R9" s="26"/>
    </row>
    <row r="10" spans="1:18" ht="18" thickBot="1" x14ac:dyDescent="0.35">
      <c r="A10" s="20"/>
      <c r="B10" s="21">
        <v>44478</v>
      </c>
      <c r="C10" s="22">
        <v>4462</v>
      </c>
      <c r="D10" s="36" t="s">
        <v>188</v>
      </c>
      <c r="E10" s="24">
        <v>44478</v>
      </c>
      <c r="F10" s="25">
        <v>78963</v>
      </c>
      <c r="G10" s="26"/>
      <c r="H10" s="32">
        <v>44478</v>
      </c>
      <c r="I10" s="28">
        <v>0</v>
      </c>
      <c r="J10" s="33">
        <v>44478</v>
      </c>
      <c r="K10" s="42" t="s">
        <v>189</v>
      </c>
      <c r="L10" s="43">
        <v>11214</v>
      </c>
      <c r="M10" s="138">
        <f>18690+35000</f>
        <v>53690</v>
      </c>
      <c r="N10" s="30">
        <v>9600</v>
      </c>
      <c r="O10" s="26"/>
      <c r="P10" s="83">
        <f t="shared" si="0"/>
        <v>78966</v>
      </c>
      <c r="Q10" s="9">
        <f t="shared" si="1"/>
        <v>3</v>
      </c>
      <c r="R10" s="51"/>
    </row>
    <row r="11" spans="1:18" ht="18" thickBot="1" x14ac:dyDescent="0.35">
      <c r="A11" s="20"/>
      <c r="B11" s="21">
        <v>44479</v>
      </c>
      <c r="C11" s="22">
        <v>0</v>
      </c>
      <c r="D11" s="31"/>
      <c r="E11" s="24">
        <v>44479</v>
      </c>
      <c r="F11" s="25">
        <v>67914</v>
      </c>
      <c r="G11" s="26"/>
      <c r="H11" s="32">
        <v>44479</v>
      </c>
      <c r="I11" s="28">
        <v>0</v>
      </c>
      <c r="J11" s="39">
        <v>44479</v>
      </c>
      <c r="K11" s="44" t="s">
        <v>157</v>
      </c>
      <c r="L11" s="35">
        <v>3000</v>
      </c>
      <c r="M11" s="138">
        <f>50000+14016</f>
        <v>64016</v>
      </c>
      <c r="N11" s="30">
        <v>898</v>
      </c>
      <c r="O11" s="26"/>
      <c r="P11" s="83">
        <f>N11+M11+L11+I11+C11</f>
        <v>67914</v>
      </c>
      <c r="Q11" s="9">
        <f t="shared" si="1"/>
        <v>0</v>
      </c>
      <c r="R11" s="26"/>
    </row>
    <row r="12" spans="1:18" ht="18" thickBot="1" x14ac:dyDescent="0.35">
      <c r="A12" s="20"/>
      <c r="B12" s="21">
        <v>44480</v>
      </c>
      <c r="C12" s="22">
        <v>2188</v>
      </c>
      <c r="D12" s="31" t="s">
        <v>190</v>
      </c>
      <c r="E12" s="24">
        <v>44480</v>
      </c>
      <c r="F12" s="25">
        <v>52127</v>
      </c>
      <c r="G12" s="26"/>
      <c r="H12" s="32">
        <v>44480</v>
      </c>
      <c r="I12" s="28">
        <v>10</v>
      </c>
      <c r="J12" s="33"/>
      <c r="K12" s="45"/>
      <c r="L12" s="35"/>
      <c r="M12" s="138">
        <f>100+21200+28206</f>
        <v>49506</v>
      </c>
      <c r="N12" s="30">
        <v>425</v>
      </c>
      <c r="O12" s="26"/>
      <c r="P12" s="83">
        <f t="shared" si="0"/>
        <v>52129</v>
      </c>
      <c r="Q12" s="9">
        <f t="shared" si="1"/>
        <v>2</v>
      </c>
      <c r="R12" s="26"/>
    </row>
    <row r="13" spans="1:18" ht="18" thickBot="1" x14ac:dyDescent="0.35">
      <c r="A13" s="20"/>
      <c r="B13" s="21">
        <v>44481</v>
      </c>
      <c r="C13" s="22">
        <v>0</v>
      </c>
      <c r="D13" s="38"/>
      <c r="E13" s="24">
        <v>44481</v>
      </c>
      <c r="F13" s="25">
        <v>48834</v>
      </c>
      <c r="G13" s="26" t="s">
        <v>4</v>
      </c>
      <c r="H13" s="32">
        <v>44481</v>
      </c>
      <c r="I13" s="28">
        <v>10</v>
      </c>
      <c r="J13" s="33"/>
      <c r="K13" s="46"/>
      <c r="L13" s="35"/>
      <c r="M13" s="138">
        <f>25000+23824</f>
        <v>48824</v>
      </c>
      <c r="N13" s="30">
        <v>0</v>
      </c>
      <c r="O13" s="26"/>
      <c r="P13" s="83">
        <f t="shared" si="0"/>
        <v>48834</v>
      </c>
      <c r="Q13" s="136">
        <f t="shared" si="1"/>
        <v>0</v>
      </c>
      <c r="R13" s="204"/>
    </row>
    <row r="14" spans="1:18" ht="18" thickBot="1" x14ac:dyDescent="0.35">
      <c r="A14" s="20"/>
      <c r="B14" s="21">
        <v>44482</v>
      </c>
      <c r="C14" s="22">
        <v>0</v>
      </c>
      <c r="D14" s="36"/>
      <c r="E14" s="24">
        <v>44482</v>
      </c>
      <c r="F14" s="25">
        <v>31591</v>
      </c>
      <c r="G14" s="26"/>
      <c r="H14" s="32">
        <v>44482</v>
      </c>
      <c r="I14" s="28">
        <v>0</v>
      </c>
      <c r="J14" s="33"/>
      <c r="K14" s="40"/>
      <c r="L14" s="35"/>
      <c r="M14" s="138">
        <f>15000+16600</f>
        <v>31600</v>
      </c>
      <c r="N14" s="30">
        <v>0</v>
      </c>
      <c r="O14" s="26"/>
      <c r="P14" s="83">
        <f t="shared" si="0"/>
        <v>31600</v>
      </c>
      <c r="Q14" s="136">
        <f t="shared" si="1"/>
        <v>9</v>
      </c>
      <c r="R14" s="204"/>
    </row>
    <row r="15" spans="1:18" ht="18" thickBot="1" x14ac:dyDescent="0.35">
      <c r="A15" s="20"/>
      <c r="B15" s="21">
        <v>44483</v>
      </c>
      <c r="C15" s="22">
        <v>321</v>
      </c>
      <c r="D15" s="36" t="s">
        <v>191</v>
      </c>
      <c r="E15" s="24">
        <v>44483</v>
      </c>
      <c r="F15" s="25">
        <v>58526</v>
      </c>
      <c r="G15" s="26"/>
      <c r="H15" s="32">
        <v>44483</v>
      </c>
      <c r="I15" s="28">
        <v>52</v>
      </c>
      <c r="J15" s="33"/>
      <c r="K15" s="40"/>
      <c r="L15" s="35"/>
      <c r="M15" s="138">
        <f>37100+20000</f>
        <v>57100</v>
      </c>
      <c r="N15" s="30">
        <v>1050</v>
      </c>
      <c r="P15" s="83">
        <f t="shared" si="0"/>
        <v>58523</v>
      </c>
      <c r="Q15" s="217">
        <f t="shared" si="1"/>
        <v>-3</v>
      </c>
      <c r="R15" s="26"/>
    </row>
    <row r="16" spans="1:18" ht="18" thickBot="1" x14ac:dyDescent="0.35">
      <c r="A16" s="20"/>
      <c r="B16" s="21">
        <v>44484</v>
      </c>
      <c r="C16" s="22">
        <v>0</v>
      </c>
      <c r="D16" s="31"/>
      <c r="E16" s="24">
        <v>44484</v>
      </c>
      <c r="F16" s="25">
        <v>68808</v>
      </c>
      <c r="G16" s="26"/>
      <c r="H16" s="32">
        <v>44484</v>
      </c>
      <c r="I16" s="28">
        <v>10</v>
      </c>
      <c r="J16" s="33"/>
      <c r="K16" s="40"/>
      <c r="L16" s="9"/>
      <c r="M16" s="138">
        <f>35000+33430</f>
        <v>68430</v>
      </c>
      <c r="N16" s="30">
        <v>368</v>
      </c>
      <c r="P16" s="83">
        <f t="shared" si="0"/>
        <v>68808</v>
      </c>
      <c r="Q16" s="9">
        <f t="shared" si="1"/>
        <v>0</v>
      </c>
      <c r="R16" s="26"/>
    </row>
    <row r="17" spans="1:19" ht="18" thickBot="1" x14ac:dyDescent="0.35">
      <c r="A17" s="20"/>
      <c r="B17" s="21">
        <v>44485</v>
      </c>
      <c r="C17" s="22">
        <v>6242</v>
      </c>
      <c r="D17" s="38" t="s">
        <v>192</v>
      </c>
      <c r="E17" s="24">
        <v>44485</v>
      </c>
      <c r="F17" s="25">
        <v>72182</v>
      </c>
      <c r="G17" s="26"/>
      <c r="H17" s="32">
        <v>44485</v>
      </c>
      <c r="I17" s="28">
        <v>0</v>
      </c>
      <c r="J17" s="33">
        <v>44485</v>
      </c>
      <c r="K17" s="40" t="s">
        <v>193</v>
      </c>
      <c r="L17" s="43">
        <v>12019</v>
      </c>
      <c r="M17" s="138">
        <f>30000+16890</f>
        <v>46890</v>
      </c>
      <c r="N17" s="30">
        <v>7036</v>
      </c>
      <c r="P17" s="83">
        <f t="shared" si="0"/>
        <v>72187</v>
      </c>
      <c r="Q17" s="9">
        <f t="shared" si="1"/>
        <v>5</v>
      </c>
      <c r="R17" s="26"/>
    </row>
    <row r="18" spans="1:19" ht="18" thickBot="1" x14ac:dyDescent="0.35">
      <c r="A18" s="20"/>
      <c r="B18" s="21">
        <v>44486</v>
      </c>
      <c r="C18" s="22">
        <v>214</v>
      </c>
      <c r="D18" s="31" t="s">
        <v>194</v>
      </c>
      <c r="E18" s="24">
        <v>44486</v>
      </c>
      <c r="F18" s="25">
        <v>89324</v>
      </c>
      <c r="G18" s="26"/>
      <c r="H18" s="32">
        <v>44486</v>
      </c>
      <c r="I18" s="28">
        <v>7.5</v>
      </c>
      <c r="J18" s="33"/>
      <c r="K18" s="47"/>
      <c r="L18" s="35"/>
      <c r="M18" s="138">
        <f>19690+65000</f>
        <v>84690</v>
      </c>
      <c r="N18" s="30">
        <v>4413</v>
      </c>
      <c r="P18" s="83">
        <f t="shared" si="0"/>
        <v>89324.5</v>
      </c>
      <c r="Q18" s="9">
        <f t="shared" si="1"/>
        <v>0.5</v>
      </c>
      <c r="R18" s="26"/>
    </row>
    <row r="19" spans="1:19" ht="18" thickBot="1" x14ac:dyDescent="0.35">
      <c r="A19" s="20"/>
      <c r="B19" s="21">
        <v>44487</v>
      </c>
      <c r="C19" s="22">
        <v>0</v>
      </c>
      <c r="D19" s="31"/>
      <c r="E19" s="24">
        <v>44487</v>
      </c>
      <c r="F19" s="25">
        <v>57179</v>
      </c>
      <c r="G19" s="26"/>
      <c r="H19" s="32">
        <v>44487</v>
      </c>
      <c r="I19" s="28">
        <v>10</v>
      </c>
      <c r="J19" s="33"/>
      <c r="K19" s="48"/>
      <c r="L19" s="49"/>
      <c r="M19" s="138">
        <f>22800+34369</f>
        <v>57169</v>
      </c>
      <c r="N19" s="30">
        <v>0</v>
      </c>
      <c r="P19" s="83">
        <f t="shared" si="0"/>
        <v>57179</v>
      </c>
      <c r="Q19" s="9">
        <f t="shared" si="1"/>
        <v>0</v>
      </c>
      <c r="R19" s="26"/>
    </row>
    <row r="20" spans="1:19" ht="18" thickBot="1" x14ac:dyDescent="0.35">
      <c r="A20" s="20"/>
      <c r="B20" s="21">
        <v>44488</v>
      </c>
      <c r="C20" s="22">
        <v>0</v>
      </c>
      <c r="D20" s="31"/>
      <c r="E20" s="24">
        <v>44488</v>
      </c>
      <c r="F20" s="25">
        <v>49927</v>
      </c>
      <c r="G20" s="26"/>
      <c r="H20" s="32">
        <v>44488</v>
      </c>
      <c r="I20" s="28">
        <v>10</v>
      </c>
      <c r="J20" s="33"/>
      <c r="K20" s="50"/>
      <c r="L20" s="43"/>
      <c r="M20" s="138">
        <f>15000+31972</f>
        <v>46972</v>
      </c>
      <c r="N20" s="30">
        <v>2945</v>
      </c>
      <c r="P20" s="83">
        <f t="shared" si="0"/>
        <v>49927</v>
      </c>
      <c r="Q20" s="9">
        <f t="shared" si="1"/>
        <v>0</v>
      </c>
      <c r="R20" s="26"/>
    </row>
    <row r="21" spans="1:19" ht="18" thickBot="1" x14ac:dyDescent="0.35">
      <c r="A21" s="20"/>
      <c r="B21" s="21">
        <v>44489</v>
      </c>
      <c r="C21" s="22">
        <v>5743</v>
      </c>
      <c r="D21" s="31" t="s">
        <v>195</v>
      </c>
      <c r="E21" s="24">
        <v>44489</v>
      </c>
      <c r="F21" s="25">
        <v>33425</v>
      </c>
      <c r="G21" s="26"/>
      <c r="H21" s="32">
        <v>44489</v>
      </c>
      <c r="I21" s="28">
        <v>15</v>
      </c>
      <c r="J21" s="33"/>
      <c r="K21" s="177"/>
      <c r="L21" s="43"/>
      <c r="M21" s="138">
        <f>10000+17627</f>
        <v>27627</v>
      </c>
      <c r="N21" s="30">
        <v>40</v>
      </c>
      <c r="P21" s="83">
        <f t="shared" si="0"/>
        <v>33425</v>
      </c>
      <c r="Q21" s="9">
        <f t="shared" si="1"/>
        <v>0</v>
      </c>
      <c r="R21" s="26"/>
    </row>
    <row r="22" spans="1:19" ht="18" thickBot="1" x14ac:dyDescent="0.35">
      <c r="A22" s="20"/>
      <c r="B22" s="21">
        <v>44490</v>
      </c>
      <c r="C22" s="22">
        <v>0</v>
      </c>
      <c r="D22" s="31"/>
      <c r="E22" s="24">
        <v>44490</v>
      </c>
      <c r="F22" s="25">
        <v>35561</v>
      </c>
      <c r="G22" s="26"/>
      <c r="H22" s="32">
        <v>44490</v>
      </c>
      <c r="I22" s="28">
        <v>885</v>
      </c>
      <c r="J22" s="33"/>
      <c r="K22" s="51"/>
      <c r="L22" s="52"/>
      <c r="M22" s="138">
        <f>10000+23676</f>
        <v>33676</v>
      </c>
      <c r="N22" s="30">
        <v>1000</v>
      </c>
      <c r="P22" s="83">
        <f t="shared" si="0"/>
        <v>35561</v>
      </c>
      <c r="Q22" s="9" t="s">
        <v>4</v>
      </c>
      <c r="R22" s="26"/>
    </row>
    <row r="23" spans="1:19" ht="18" thickBot="1" x14ac:dyDescent="0.35">
      <c r="A23" s="20"/>
      <c r="B23" s="21">
        <v>44491</v>
      </c>
      <c r="C23" s="22">
        <v>1612</v>
      </c>
      <c r="D23" s="31" t="s">
        <v>196</v>
      </c>
      <c r="E23" s="24">
        <v>44491</v>
      </c>
      <c r="F23" s="25">
        <v>97455</v>
      </c>
      <c r="G23" s="26"/>
      <c r="H23" s="32">
        <v>44491</v>
      </c>
      <c r="I23" s="28">
        <v>20</v>
      </c>
      <c r="J23" s="53"/>
      <c r="K23" s="54"/>
      <c r="L23" s="43"/>
      <c r="M23" s="138">
        <f>30000+45000+18535</f>
        <v>93535</v>
      </c>
      <c r="N23" s="30">
        <v>2288</v>
      </c>
      <c r="P23" s="83">
        <f t="shared" si="0"/>
        <v>97455</v>
      </c>
      <c r="Q23" s="9">
        <f t="shared" si="1"/>
        <v>0</v>
      </c>
      <c r="R23" s="26"/>
    </row>
    <row r="24" spans="1:19" ht="18" thickBot="1" x14ac:dyDescent="0.35">
      <c r="A24" s="20"/>
      <c r="B24" s="21">
        <v>44492</v>
      </c>
      <c r="C24" s="22">
        <v>1203</v>
      </c>
      <c r="D24" s="31" t="s">
        <v>197</v>
      </c>
      <c r="E24" s="24">
        <v>44492</v>
      </c>
      <c r="F24" s="25">
        <v>90650</v>
      </c>
      <c r="G24" s="26"/>
      <c r="H24" s="32">
        <v>44492</v>
      </c>
      <c r="I24" s="28">
        <v>15</v>
      </c>
      <c r="J24" s="55">
        <v>44492</v>
      </c>
      <c r="K24" s="56" t="s">
        <v>198</v>
      </c>
      <c r="L24" s="57">
        <v>13007</v>
      </c>
      <c r="M24" s="138">
        <f>35000+34635</f>
        <v>69635</v>
      </c>
      <c r="N24" s="30">
        <v>6790</v>
      </c>
      <c r="P24" s="83">
        <f t="shared" si="0"/>
        <v>90650</v>
      </c>
      <c r="Q24" s="9">
        <f t="shared" si="1"/>
        <v>0</v>
      </c>
      <c r="R24" s="26"/>
    </row>
    <row r="25" spans="1:19" ht="18" thickBot="1" x14ac:dyDescent="0.35">
      <c r="A25" s="20"/>
      <c r="B25" s="21">
        <v>44493</v>
      </c>
      <c r="C25" s="22">
        <v>14</v>
      </c>
      <c r="D25" s="31" t="s">
        <v>199</v>
      </c>
      <c r="E25" s="24">
        <v>44493</v>
      </c>
      <c r="F25" s="25">
        <v>77766</v>
      </c>
      <c r="G25" s="26"/>
      <c r="H25" s="32">
        <v>44493</v>
      </c>
      <c r="I25" s="28">
        <v>105</v>
      </c>
      <c r="J25" s="58"/>
      <c r="K25" s="59"/>
      <c r="L25" s="60"/>
      <c r="M25" s="138">
        <f>60000+16647</f>
        <v>76647</v>
      </c>
      <c r="N25" s="30">
        <v>1000</v>
      </c>
      <c r="P25" s="83">
        <f t="shared" si="0"/>
        <v>77766</v>
      </c>
      <c r="Q25" s="9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44494</v>
      </c>
      <c r="C26" s="22">
        <v>0</v>
      </c>
      <c r="D26" s="31"/>
      <c r="E26" s="24">
        <v>44494</v>
      </c>
      <c r="F26" s="25">
        <v>36129</v>
      </c>
      <c r="G26" s="26"/>
      <c r="H26" s="32">
        <v>44494</v>
      </c>
      <c r="I26" s="28">
        <v>0</v>
      </c>
      <c r="J26" s="33"/>
      <c r="K26" s="56"/>
      <c r="L26" s="43"/>
      <c r="M26" s="138">
        <f>13400+22729</f>
        <v>36129</v>
      </c>
      <c r="N26" s="30">
        <v>0</v>
      </c>
      <c r="P26" s="83">
        <f t="shared" si="0"/>
        <v>36129</v>
      </c>
      <c r="Q26" s="9">
        <f t="shared" si="1"/>
        <v>0</v>
      </c>
      <c r="R26" s="51"/>
    </row>
    <row r="27" spans="1:19" ht="18" thickBot="1" x14ac:dyDescent="0.35">
      <c r="A27" s="20"/>
      <c r="B27" s="21">
        <v>44495</v>
      </c>
      <c r="C27" s="22">
        <v>0</v>
      </c>
      <c r="D27" s="38"/>
      <c r="E27" s="24">
        <v>44495</v>
      </c>
      <c r="F27" s="25">
        <v>61533</v>
      </c>
      <c r="G27" s="26"/>
      <c r="H27" s="32">
        <v>44495</v>
      </c>
      <c r="I27" s="28">
        <v>150</v>
      </c>
      <c r="J27" s="61"/>
      <c r="K27" s="62"/>
      <c r="L27" s="60"/>
      <c r="M27" s="138">
        <f>31383+30000</f>
        <v>61383</v>
      </c>
      <c r="N27" s="30">
        <v>0</v>
      </c>
      <c r="P27" s="83">
        <f t="shared" si="0"/>
        <v>61533</v>
      </c>
      <c r="Q27" s="9">
        <f t="shared" si="1"/>
        <v>0</v>
      </c>
      <c r="R27" s="26"/>
    </row>
    <row r="28" spans="1:19" ht="18" thickBot="1" x14ac:dyDescent="0.35">
      <c r="A28" s="20"/>
      <c r="B28" s="21">
        <v>44496</v>
      </c>
      <c r="C28" s="22">
        <v>4153.5</v>
      </c>
      <c r="D28" s="38" t="s">
        <v>200</v>
      </c>
      <c r="E28" s="24">
        <v>44496</v>
      </c>
      <c r="F28" s="25">
        <v>47918</v>
      </c>
      <c r="G28" s="26"/>
      <c r="H28" s="32">
        <v>44496</v>
      </c>
      <c r="I28" s="28">
        <v>12</v>
      </c>
      <c r="J28" s="63"/>
      <c r="K28" s="34"/>
      <c r="L28" s="60"/>
      <c r="M28" s="138">
        <f>15000+28517.5</f>
        <v>43517.5</v>
      </c>
      <c r="N28" s="30">
        <v>235</v>
      </c>
      <c r="P28" s="83">
        <f t="shared" si="0"/>
        <v>47918</v>
      </c>
      <c r="Q28" s="9">
        <f t="shared" si="1"/>
        <v>0</v>
      </c>
      <c r="R28" s="26"/>
    </row>
    <row r="29" spans="1:19" ht="18" thickBot="1" x14ac:dyDescent="0.35">
      <c r="A29" s="20"/>
      <c r="B29" s="21">
        <v>44497</v>
      </c>
      <c r="C29" s="22">
        <v>0</v>
      </c>
      <c r="D29" s="64"/>
      <c r="E29" s="24">
        <v>44497</v>
      </c>
      <c r="F29" s="25">
        <v>57506</v>
      </c>
      <c r="G29" s="26"/>
      <c r="H29" s="32">
        <v>44497</v>
      </c>
      <c r="I29" s="28">
        <v>41</v>
      </c>
      <c r="J29" s="65"/>
      <c r="K29" s="66"/>
      <c r="L29" s="60"/>
      <c r="M29" s="138">
        <f>20000+36825</f>
        <v>56825</v>
      </c>
      <c r="N29" s="30">
        <v>640</v>
      </c>
      <c r="P29" s="83">
        <f t="shared" si="0"/>
        <v>57506</v>
      </c>
      <c r="Q29" s="9">
        <f t="shared" si="1"/>
        <v>0</v>
      </c>
      <c r="R29" s="26"/>
    </row>
    <row r="30" spans="1:19" ht="18" thickBot="1" x14ac:dyDescent="0.35">
      <c r="A30" s="20"/>
      <c r="B30" s="21">
        <v>44498</v>
      </c>
      <c r="C30" s="22">
        <v>0</v>
      </c>
      <c r="D30" s="64"/>
      <c r="E30" s="24">
        <v>44498</v>
      </c>
      <c r="F30" s="25">
        <v>73966</v>
      </c>
      <c r="G30" s="26"/>
      <c r="H30" s="32">
        <v>44498</v>
      </c>
      <c r="I30" s="28">
        <v>15</v>
      </c>
      <c r="J30" s="67"/>
      <c r="K30" s="68"/>
      <c r="L30" s="69"/>
      <c r="M30" s="138">
        <f>20000+52129+109</f>
        <v>72238</v>
      </c>
      <c r="N30" s="30">
        <v>1713</v>
      </c>
      <c r="P30" s="83">
        <f t="shared" si="0"/>
        <v>73966</v>
      </c>
      <c r="Q30" s="9">
        <f t="shared" si="1"/>
        <v>0</v>
      </c>
      <c r="R30" s="26"/>
    </row>
    <row r="31" spans="1:19" ht="18" thickBot="1" x14ac:dyDescent="0.35">
      <c r="A31" s="20"/>
      <c r="B31" s="21">
        <v>44499</v>
      </c>
      <c r="C31" s="22">
        <v>0</v>
      </c>
      <c r="D31" s="70"/>
      <c r="E31" s="24">
        <v>44499</v>
      </c>
      <c r="F31" s="25">
        <v>68798</v>
      </c>
      <c r="G31" s="26"/>
      <c r="H31" s="32">
        <v>44499</v>
      </c>
      <c r="I31" s="28">
        <v>35</v>
      </c>
      <c r="J31" s="67">
        <v>44499</v>
      </c>
      <c r="K31" s="71" t="s">
        <v>204</v>
      </c>
      <c r="L31" s="72">
        <v>11707</v>
      </c>
      <c r="M31" s="138">
        <f>30000+23056</f>
        <v>53056</v>
      </c>
      <c r="N31" s="30">
        <v>4000</v>
      </c>
      <c r="P31" s="83">
        <f t="shared" si="0"/>
        <v>68798</v>
      </c>
      <c r="Q31" s="9">
        <f t="shared" si="1"/>
        <v>0</v>
      </c>
      <c r="R31" s="26"/>
    </row>
    <row r="32" spans="1:19" ht="18" thickBot="1" x14ac:dyDescent="0.35">
      <c r="A32" s="20"/>
      <c r="B32" s="21">
        <v>44500</v>
      </c>
      <c r="C32" s="22">
        <v>0</v>
      </c>
      <c r="D32" s="73"/>
      <c r="E32" s="24">
        <v>44500</v>
      </c>
      <c r="F32" s="25">
        <f>77638+3511</f>
        <v>81149</v>
      </c>
      <c r="G32" s="26"/>
      <c r="H32" s="32">
        <v>44500</v>
      </c>
      <c r="I32" s="28">
        <v>0</v>
      </c>
      <c r="J32" s="67"/>
      <c r="K32" s="68"/>
      <c r="L32" s="69"/>
      <c r="M32" s="138">
        <f>60000+20883</f>
        <v>80883</v>
      </c>
      <c r="N32" s="30">
        <v>266</v>
      </c>
      <c r="P32" s="83">
        <f t="shared" si="0"/>
        <v>81149</v>
      </c>
      <c r="Q32" s="9">
        <f t="shared" si="1"/>
        <v>0</v>
      </c>
      <c r="R32" s="26"/>
    </row>
    <row r="33" spans="1:18" ht="18" thickBot="1" x14ac:dyDescent="0.35">
      <c r="A33" s="20"/>
      <c r="B33" s="21"/>
      <c r="C33" s="22"/>
      <c r="D33" s="74"/>
      <c r="E33" s="24"/>
      <c r="F33" s="25"/>
      <c r="G33" s="26"/>
      <c r="H33" s="32"/>
      <c r="I33" s="28"/>
      <c r="J33" s="67"/>
      <c r="K33" s="71"/>
      <c r="L33" s="75"/>
      <c r="M33" s="138">
        <v>0</v>
      </c>
      <c r="N33" s="30">
        <v>0</v>
      </c>
      <c r="P33" s="83">
        <v>0</v>
      </c>
      <c r="Q33" s="9">
        <f t="shared" si="1"/>
        <v>0</v>
      </c>
      <c r="R33" s="26"/>
    </row>
    <row r="34" spans="1:18" ht="18" thickBot="1" x14ac:dyDescent="0.35">
      <c r="A34" s="20"/>
      <c r="B34" s="21"/>
      <c r="C34" s="22">
        <v>0</v>
      </c>
      <c r="D34" s="73"/>
      <c r="E34" s="24"/>
      <c r="F34" s="25">
        <v>0</v>
      </c>
      <c r="G34" s="26"/>
      <c r="H34" s="32"/>
      <c r="I34" s="28">
        <v>0</v>
      </c>
      <c r="J34" s="67"/>
      <c r="K34" s="215"/>
      <c r="L34" s="76"/>
      <c r="M34" s="138">
        <v>0</v>
      </c>
      <c r="N34" s="30">
        <v>0</v>
      </c>
      <c r="P34" s="83">
        <v>0</v>
      </c>
      <c r="Q34" s="9">
        <f t="shared" si="1"/>
        <v>0</v>
      </c>
      <c r="R34" s="26"/>
    </row>
    <row r="35" spans="1:18" ht="18" thickBot="1" x14ac:dyDescent="0.35">
      <c r="A35" s="20"/>
      <c r="B35" s="21"/>
      <c r="C35" s="22">
        <v>0</v>
      </c>
      <c r="D35" s="77"/>
      <c r="E35" s="24"/>
      <c r="F35" s="25">
        <v>0</v>
      </c>
      <c r="G35" s="26"/>
      <c r="H35" s="32"/>
      <c r="I35" s="28">
        <v>0</v>
      </c>
      <c r="J35" s="67"/>
      <c r="K35" s="71"/>
      <c r="L35" s="75"/>
      <c r="M35" s="138">
        <v>0</v>
      </c>
      <c r="N35" s="30">
        <v>0</v>
      </c>
      <c r="P35" s="83">
        <v>0</v>
      </c>
      <c r="Q35" s="9">
        <f t="shared" si="1"/>
        <v>0</v>
      </c>
      <c r="R35" s="26"/>
    </row>
    <row r="36" spans="1:18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/>
      <c r="K36" s="78"/>
      <c r="L36" s="76"/>
      <c r="M36" s="138"/>
      <c r="N36" s="30"/>
      <c r="P36" s="83">
        <v>0</v>
      </c>
      <c r="Q36" s="9">
        <f t="shared" si="1"/>
        <v>0</v>
      </c>
      <c r="R36" s="26"/>
    </row>
    <row r="37" spans="1:18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/>
      <c r="K37" s="184"/>
      <c r="L37" s="76"/>
      <c r="M37" s="138"/>
      <c r="N37" s="30"/>
      <c r="P37" s="83">
        <v>0</v>
      </c>
      <c r="Q37" s="9">
        <f t="shared" si="1"/>
        <v>0</v>
      </c>
    </row>
    <row r="38" spans="1:18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/>
      <c r="K38" s="71"/>
      <c r="L38" s="75"/>
      <c r="M38" s="138"/>
      <c r="N38" s="30"/>
      <c r="P38" s="83">
        <v>0</v>
      </c>
      <c r="Q38" s="9">
        <f t="shared" si="1"/>
        <v>0</v>
      </c>
    </row>
    <row r="39" spans="1:18" ht="18.7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/>
      <c r="K39" s="82"/>
      <c r="L39" s="69"/>
      <c r="M39" s="239">
        <f>SUM(M5:M38)</f>
        <v>1569020.5</v>
      </c>
      <c r="N39" s="241">
        <f>SUM(N5:N38)</f>
        <v>48318</v>
      </c>
      <c r="P39" s="83">
        <f>SUM(P5:P38)</f>
        <v>1699078.5</v>
      </c>
      <c r="Q39" s="9">
        <f>SUM(Q5:Q38)</f>
        <v>5720.5</v>
      </c>
    </row>
    <row r="40" spans="1:18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71"/>
      <c r="L40" s="69"/>
      <c r="M40" s="240"/>
      <c r="N40" s="242"/>
      <c r="P40" s="83"/>
      <c r="Q40" s="9"/>
    </row>
    <row r="41" spans="1:18" ht="18" thickBot="1" x14ac:dyDescent="0.35">
      <c r="A41" s="20"/>
      <c r="B41" s="21"/>
      <c r="C41" s="84"/>
      <c r="D41" s="194"/>
      <c r="E41" s="195"/>
      <c r="F41" s="196"/>
      <c r="G41" s="26"/>
      <c r="H41" s="197"/>
      <c r="I41" s="85"/>
      <c r="J41" s="67"/>
      <c r="K41" s="71"/>
      <c r="L41" s="75"/>
      <c r="M41" s="199"/>
      <c r="N41" s="198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/>
      <c r="K42" s="71"/>
      <c r="L42" s="75"/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/>
      <c r="K43" s="71"/>
      <c r="L43" s="75"/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8" ht="18" hidden="1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0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27300.5</v>
      </c>
      <c r="D50" s="94"/>
      <c r="E50" s="95" t="s">
        <v>5</v>
      </c>
      <c r="F50" s="96">
        <f>SUM(F5:F49)</f>
        <v>1693358</v>
      </c>
      <c r="G50" s="94"/>
      <c r="H50" s="97" t="s">
        <v>6</v>
      </c>
      <c r="I50" s="98">
        <f>SUM(I5:I49)</f>
        <v>1492.5</v>
      </c>
      <c r="J50" s="99"/>
      <c r="K50" s="100" t="s">
        <v>7</v>
      </c>
      <c r="L50" s="101">
        <f>SUM(L5:L49)</f>
        <v>52947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27" t="s">
        <v>8</v>
      </c>
      <c r="I52" s="228"/>
      <c r="J52" s="106"/>
      <c r="K52" s="229">
        <f>I50+L50</f>
        <v>54439.5</v>
      </c>
      <c r="L52" s="230"/>
      <c r="M52" s="218">
        <f>N39+M39</f>
        <v>1617338.5</v>
      </c>
      <c r="N52" s="219"/>
      <c r="P52" s="83"/>
      <c r="Q52" s="9"/>
    </row>
    <row r="53" spans="1:17" ht="15.75" x14ac:dyDescent="0.25">
      <c r="D53" s="231" t="s">
        <v>9</v>
      </c>
      <c r="E53" s="231"/>
      <c r="F53" s="107">
        <f>F50-K52-C50</f>
        <v>1611618</v>
      </c>
      <c r="I53" s="108"/>
      <c r="J53" s="109"/>
      <c r="P53" s="83"/>
      <c r="Q53" s="9"/>
    </row>
    <row r="54" spans="1:17" ht="18.75" x14ac:dyDescent="0.3">
      <c r="D54" s="232" t="s">
        <v>10</v>
      </c>
      <c r="E54" s="232"/>
      <c r="F54" s="102">
        <v>0</v>
      </c>
      <c r="I54" s="233" t="s">
        <v>11</v>
      </c>
      <c r="J54" s="234"/>
      <c r="K54" s="235">
        <f>F56+F57+F58</f>
        <v>1611618</v>
      </c>
      <c r="L54" s="236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1611618</v>
      </c>
      <c r="H56" s="20"/>
      <c r="I56" s="116" t="s">
        <v>13</v>
      </c>
      <c r="J56" s="117"/>
      <c r="K56" s="220">
        <f>-C4</f>
        <v>-134848.89000000001</v>
      </c>
      <c r="L56" s="221"/>
    </row>
    <row r="57" spans="1:17" ht="16.5" thickBot="1" x14ac:dyDescent="0.3">
      <c r="D57" s="118" t="s">
        <v>14</v>
      </c>
      <c r="E57" s="104" t="s">
        <v>15</v>
      </c>
      <c r="F57" s="119">
        <v>0</v>
      </c>
    </row>
    <row r="58" spans="1:17" ht="20.25" thickTop="1" thickBot="1" x14ac:dyDescent="0.35">
      <c r="C58" s="120">
        <v>44472</v>
      </c>
      <c r="D58" s="222" t="s">
        <v>16</v>
      </c>
      <c r="E58" s="223"/>
      <c r="F58" s="121">
        <v>0</v>
      </c>
      <c r="I58" s="224" t="s">
        <v>17</v>
      </c>
      <c r="J58" s="225"/>
      <c r="K58" s="226">
        <f>K54+K56</f>
        <v>1476769.1099999999</v>
      </c>
      <c r="L58" s="226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2"/>
      <c r="J60" s="192"/>
      <c r="K60" s="193"/>
      <c r="L60" s="193"/>
    </row>
    <row r="61" spans="1:17" ht="16.5" customHeight="1" x14ac:dyDescent="0.25">
      <c r="B61" s="127"/>
      <c r="C61" s="128"/>
      <c r="D61" s="129"/>
      <c r="E61" s="83"/>
      <c r="I61" s="192"/>
      <c r="J61" s="192"/>
      <c r="K61" s="193"/>
      <c r="L61" s="193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17" right="0.16" top="0.3" bottom="0.25" header="0.3" footer="0.3"/>
  <pageSetup orientation="landscape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G134"/>
  <sheetViews>
    <sheetView workbookViewId="0">
      <selection activeCell="H20" sqref="H20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201" t="s">
        <v>22</v>
      </c>
      <c r="B2" s="201" t="s">
        <v>23</v>
      </c>
      <c r="C2" s="202" t="s">
        <v>24</v>
      </c>
      <c r="D2" s="201" t="s">
        <v>25</v>
      </c>
      <c r="E2" s="202" t="s">
        <v>26</v>
      </c>
      <c r="F2" s="140" t="s">
        <v>24</v>
      </c>
    </row>
    <row r="3" spans="1:7" ht="18.75" x14ac:dyDescent="0.3">
      <c r="A3" s="141"/>
      <c r="B3" s="179"/>
      <c r="C3" s="79"/>
      <c r="D3" s="203"/>
      <c r="E3" s="79"/>
      <c r="F3" s="143">
        <f>C3-E3</f>
        <v>0</v>
      </c>
    </row>
    <row r="4" spans="1:7" ht="18.75" x14ac:dyDescent="0.3">
      <c r="A4" s="141"/>
      <c r="B4" s="179"/>
      <c r="C4" s="79"/>
      <c r="D4" s="203"/>
      <c r="E4" s="79"/>
      <c r="F4" s="145">
        <f>F3+C4-E4</f>
        <v>0</v>
      </c>
      <c r="G4" s="146"/>
    </row>
    <row r="5" spans="1:7" ht="15.75" x14ac:dyDescent="0.25">
      <c r="A5" s="141"/>
      <c r="B5" s="179"/>
      <c r="C5" s="79"/>
      <c r="D5" s="203"/>
      <c r="E5" s="79"/>
      <c r="F5" s="145">
        <f t="shared" ref="F5:F68" si="0">F4+C5-E5</f>
        <v>0</v>
      </c>
    </row>
    <row r="6" spans="1:7" ht="15.75" x14ac:dyDescent="0.25">
      <c r="A6" s="141"/>
      <c r="B6" s="179"/>
      <c r="C6" s="79"/>
      <c r="D6" s="203"/>
      <c r="E6" s="79"/>
      <c r="F6" s="145">
        <f t="shared" si="0"/>
        <v>0</v>
      </c>
    </row>
    <row r="7" spans="1:7" ht="15.75" x14ac:dyDescent="0.25">
      <c r="A7" s="141"/>
      <c r="B7" s="179"/>
      <c r="C7" s="79"/>
      <c r="D7" s="203"/>
      <c r="E7" s="79"/>
      <c r="F7" s="145">
        <f t="shared" si="0"/>
        <v>0</v>
      </c>
    </row>
    <row r="8" spans="1:7" ht="15.75" x14ac:dyDescent="0.25">
      <c r="A8" s="141"/>
      <c r="B8" s="179"/>
      <c r="C8" s="79"/>
      <c r="D8" s="203"/>
      <c r="E8" s="79"/>
      <c r="F8" s="145">
        <f t="shared" si="0"/>
        <v>0</v>
      </c>
    </row>
    <row r="9" spans="1:7" ht="15.75" x14ac:dyDescent="0.25">
      <c r="A9" s="141"/>
      <c r="B9" s="179"/>
      <c r="C9" s="79"/>
      <c r="D9" s="203"/>
      <c r="E9" s="79"/>
      <c r="F9" s="145">
        <f t="shared" si="0"/>
        <v>0</v>
      </c>
    </row>
    <row r="10" spans="1:7" ht="18.75" x14ac:dyDescent="0.3">
      <c r="A10" s="141"/>
      <c r="B10" s="179"/>
      <c r="C10" s="79"/>
      <c r="D10" s="203"/>
      <c r="E10" s="79"/>
      <c r="F10" s="145">
        <f t="shared" si="0"/>
        <v>0</v>
      </c>
      <c r="G10" s="146"/>
    </row>
    <row r="11" spans="1:7" ht="15.75" x14ac:dyDescent="0.25">
      <c r="A11" s="141"/>
      <c r="B11" s="142"/>
      <c r="C11" s="79"/>
      <c r="D11" s="144"/>
      <c r="E11" s="79"/>
      <c r="F11" s="145">
        <f t="shared" si="0"/>
        <v>0</v>
      </c>
    </row>
    <row r="12" spans="1:7" ht="15.75" x14ac:dyDescent="0.25">
      <c r="A12" s="144"/>
      <c r="B12" s="142"/>
      <c r="C12" s="79"/>
      <c r="D12" s="144"/>
      <c r="E12" s="79"/>
      <c r="F12" s="145">
        <f t="shared" si="0"/>
        <v>0</v>
      </c>
    </row>
    <row r="13" spans="1:7" ht="15.75" x14ac:dyDescent="0.25">
      <c r="A13" s="144"/>
      <c r="B13" s="142"/>
      <c r="C13" s="79"/>
      <c r="D13" s="144"/>
      <c r="E13" s="79"/>
      <c r="F13" s="145">
        <f t="shared" si="0"/>
        <v>0</v>
      </c>
    </row>
    <row r="14" spans="1:7" ht="15.75" x14ac:dyDescent="0.25">
      <c r="A14" s="144"/>
      <c r="B14" s="142"/>
      <c r="C14" s="79"/>
      <c r="D14" s="144"/>
      <c r="E14" s="79"/>
      <c r="F14" s="145">
        <f t="shared" si="0"/>
        <v>0</v>
      </c>
    </row>
    <row r="15" spans="1:7" ht="15.75" x14ac:dyDescent="0.25">
      <c r="A15" s="144"/>
      <c r="B15" s="142"/>
      <c r="C15" s="79"/>
      <c r="D15" s="144"/>
      <c r="E15" s="79"/>
      <c r="F15" s="145">
        <f t="shared" si="0"/>
        <v>0</v>
      </c>
    </row>
    <row r="16" spans="1:7" ht="15.75" x14ac:dyDescent="0.25">
      <c r="A16" s="144"/>
      <c r="B16" s="142"/>
      <c r="C16" s="79"/>
      <c r="D16" s="144"/>
      <c r="E16" s="79"/>
      <c r="F16" s="145">
        <f t="shared" si="0"/>
        <v>0</v>
      </c>
    </row>
    <row r="17" spans="1:7" ht="15.75" x14ac:dyDescent="0.25">
      <c r="A17" s="144"/>
      <c r="B17" s="142"/>
      <c r="C17" s="79"/>
      <c r="D17" s="144"/>
      <c r="E17" s="79"/>
      <c r="F17" s="145">
        <f t="shared" si="0"/>
        <v>0</v>
      </c>
    </row>
    <row r="18" spans="1:7" ht="15.75" x14ac:dyDescent="0.25">
      <c r="A18" s="144"/>
      <c r="B18" s="142"/>
      <c r="C18" s="79"/>
      <c r="D18" s="144"/>
      <c r="E18" s="79"/>
      <c r="F18" s="145">
        <f t="shared" si="0"/>
        <v>0</v>
      </c>
    </row>
    <row r="19" spans="1:7" ht="15.75" x14ac:dyDescent="0.25">
      <c r="A19" s="144"/>
      <c r="B19" s="142"/>
      <c r="C19" s="79"/>
      <c r="D19" s="144"/>
      <c r="E19" s="79"/>
      <c r="F19" s="145">
        <f t="shared" si="0"/>
        <v>0</v>
      </c>
    </row>
    <row r="20" spans="1:7" ht="15.75" x14ac:dyDescent="0.25">
      <c r="A20" s="144"/>
      <c r="B20" s="142"/>
      <c r="C20" s="79"/>
      <c r="D20" s="144"/>
      <c r="E20" s="79"/>
      <c r="F20" s="145">
        <f t="shared" si="0"/>
        <v>0</v>
      </c>
    </row>
    <row r="21" spans="1:7" ht="15.75" x14ac:dyDescent="0.25">
      <c r="A21" s="144"/>
      <c r="B21" s="142"/>
      <c r="C21" s="79"/>
      <c r="D21" s="144"/>
      <c r="E21" s="79"/>
      <c r="F21" s="145">
        <f t="shared" si="0"/>
        <v>0</v>
      </c>
    </row>
    <row r="22" spans="1:7" ht="18.75" x14ac:dyDescent="0.3">
      <c r="A22" s="144"/>
      <c r="B22" s="142"/>
      <c r="C22" s="79"/>
      <c r="D22" s="144"/>
      <c r="E22" s="79"/>
      <c r="F22" s="145">
        <f t="shared" si="0"/>
        <v>0</v>
      </c>
      <c r="G22" s="146"/>
    </row>
    <row r="23" spans="1:7" ht="15.75" x14ac:dyDescent="0.25">
      <c r="A23" s="144"/>
      <c r="B23" s="142"/>
      <c r="C23" s="79"/>
      <c r="D23" s="144"/>
      <c r="E23" s="79"/>
      <c r="F23" s="145">
        <f t="shared" si="0"/>
        <v>0</v>
      </c>
    </row>
    <row r="24" spans="1:7" ht="15.75" x14ac:dyDescent="0.25">
      <c r="A24" s="144"/>
      <c r="B24" s="142"/>
      <c r="C24" s="79"/>
      <c r="D24" s="144"/>
      <c r="E24" s="79"/>
      <c r="F24" s="145">
        <f t="shared" si="0"/>
        <v>0</v>
      </c>
    </row>
    <row r="25" spans="1:7" ht="15.75" x14ac:dyDescent="0.25">
      <c r="A25" s="144"/>
      <c r="B25" s="142"/>
      <c r="C25" s="79"/>
      <c r="D25" s="144"/>
      <c r="E25" s="79"/>
      <c r="F25" s="145">
        <f t="shared" si="0"/>
        <v>0</v>
      </c>
    </row>
    <row r="26" spans="1:7" ht="15.75" x14ac:dyDescent="0.25">
      <c r="A26" s="144"/>
      <c r="B26" s="142"/>
      <c r="C26" s="79"/>
      <c r="D26" s="144"/>
      <c r="E26" s="79"/>
      <c r="F26" s="145">
        <f t="shared" si="0"/>
        <v>0</v>
      </c>
    </row>
    <row r="27" spans="1:7" ht="15.75" x14ac:dyDescent="0.25">
      <c r="A27" s="144"/>
      <c r="B27" s="142"/>
      <c r="C27" s="79"/>
      <c r="D27" s="144"/>
      <c r="E27" s="79"/>
      <c r="F27" s="145">
        <f t="shared" si="0"/>
        <v>0</v>
      </c>
    </row>
    <row r="28" spans="1:7" ht="15.75" x14ac:dyDescent="0.25">
      <c r="A28" s="144"/>
      <c r="B28" s="142"/>
      <c r="C28" s="79"/>
      <c r="D28" s="144"/>
      <c r="E28" s="79"/>
      <c r="F28" s="145">
        <f t="shared" si="0"/>
        <v>0</v>
      </c>
    </row>
    <row r="29" spans="1:7" ht="15.75" x14ac:dyDescent="0.25">
      <c r="A29" s="144"/>
      <c r="B29" s="142"/>
      <c r="C29" s="79"/>
      <c r="D29" s="144"/>
      <c r="E29" s="79"/>
      <c r="F29" s="145">
        <f t="shared" si="0"/>
        <v>0</v>
      </c>
    </row>
    <row r="30" spans="1:7" ht="18.75" x14ac:dyDescent="0.3">
      <c r="A30" s="144"/>
      <c r="B30" s="142"/>
      <c r="C30" s="79"/>
      <c r="D30" s="144"/>
      <c r="E30" s="79"/>
      <c r="F30" s="145">
        <f t="shared" si="0"/>
        <v>0</v>
      </c>
      <c r="G30" s="146"/>
    </row>
    <row r="31" spans="1:7" ht="15.75" x14ac:dyDescent="0.25">
      <c r="A31" s="144"/>
      <c r="B31" s="142"/>
      <c r="C31" s="79"/>
      <c r="D31" s="144"/>
      <c r="E31" s="79"/>
      <c r="F31" s="145">
        <f t="shared" si="0"/>
        <v>0</v>
      </c>
    </row>
    <row r="32" spans="1:7" ht="15.75" x14ac:dyDescent="0.25">
      <c r="A32" s="144"/>
      <c r="B32" s="142"/>
      <c r="C32" s="79"/>
      <c r="D32" s="144"/>
      <c r="E32" s="79"/>
      <c r="F32" s="145">
        <f t="shared" si="0"/>
        <v>0</v>
      </c>
    </row>
    <row r="33" spans="1:6" ht="15.75" x14ac:dyDescent="0.25">
      <c r="A33" s="144"/>
      <c r="B33" s="142"/>
      <c r="C33" s="79"/>
      <c r="D33" s="144"/>
      <c r="E33" s="79"/>
      <c r="F33" s="145">
        <f t="shared" si="0"/>
        <v>0</v>
      </c>
    </row>
    <row r="34" spans="1:6" ht="15.75" x14ac:dyDescent="0.25">
      <c r="A34" s="144"/>
      <c r="B34" s="142"/>
      <c r="C34" s="79"/>
      <c r="D34" s="144"/>
      <c r="E34" s="79"/>
      <c r="F34" s="145">
        <f t="shared" si="0"/>
        <v>0</v>
      </c>
    </row>
    <row r="35" spans="1:6" ht="15.75" x14ac:dyDescent="0.25">
      <c r="A35" s="144"/>
      <c r="B35" s="142"/>
      <c r="C35" s="79"/>
      <c r="D35" s="144"/>
      <c r="E35" s="79"/>
      <c r="F35" s="145">
        <f t="shared" si="0"/>
        <v>0</v>
      </c>
    </row>
    <row r="36" spans="1:6" ht="15.75" x14ac:dyDescent="0.25">
      <c r="A36" s="144"/>
      <c r="B36" s="142"/>
      <c r="C36" s="79"/>
      <c r="D36" s="144"/>
      <c r="E36" s="79"/>
      <c r="F36" s="145">
        <f t="shared" si="0"/>
        <v>0</v>
      </c>
    </row>
    <row r="37" spans="1:6" ht="15.75" x14ac:dyDescent="0.25">
      <c r="A37" s="144"/>
      <c r="B37" s="142"/>
      <c r="C37" s="79"/>
      <c r="D37" s="144"/>
      <c r="E37" s="79"/>
      <c r="F37" s="145">
        <f t="shared" si="0"/>
        <v>0</v>
      </c>
    </row>
    <row r="38" spans="1:6" ht="15.75" x14ac:dyDescent="0.25">
      <c r="A38" s="144"/>
      <c r="B38" s="142"/>
      <c r="C38" s="79"/>
      <c r="D38" s="144"/>
      <c r="E38" s="79"/>
      <c r="F38" s="145">
        <f t="shared" si="0"/>
        <v>0</v>
      </c>
    </row>
    <row r="39" spans="1:6" ht="15.75" x14ac:dyDescent="0.25">
      <c r="A39" s="144"/>
      <c r="B39" s="142"/>
      <c r="C39" s="79"/>
      <c r="D39" s="144"/>
      <c r="E39" s="79"/>
      <c r="F39" s="145">
        <f t="shared" si="0"/>
        <v>0</v>
      </c>
    </row>
    <row r="40" spans="1:6" ht="15.75" x14ac:dyDescent="0.25">
      <c r="A40" s="144"/>
      <c r="B40" s="142"/>
      <c r="C40" s="79"/>
      <c r="D40" s="144"/>
      <c r="E40" s="79"/>
      <c r="F40" s="145">
        <f t="shared" si="0"/>
        <v>0</v>
      </c>
    </row>
    <row r="41" spans="1:6" ht="15.75" x14ac:dyDescent="0.25">
      <c r="A41" s="144"/>
      <c r="B41" s="142"/>
      <c r="C41" s="79"/>
      <c r="D41" s="144"/>
      <c r="E41" s="79"/>
      <c r="F41" s="145">
        <f t="shared" si="0"/>
        <v>0</v>
      </c>
    </row>
    <row r="42" spans="1:6" ht="15.75" x14ac:dyDescent="0.25">
      <c r="A42" s="144"/>
      <c r="B42" s="142"/>
      <c r="C42" s="79"/>
      <c r="D42" s="144"/>
      <c r="E42" s="79"/>
      <c r="F42" s="145">
        <f t="shared" si="0"/>
        <v>0</v>
      </c>
    </row>
    <row r="43" spans="1:6" ht="15.75" x14ac:dyDescent="0.25">
      <c r="A43" s="144"/>
      <c r="B43" s="142"/>
      <c r="C43" s="79"/>
      <c r="D43" s="144"/>
      <c r="E43" s="79"/>
      <c r="F43" s="145">
        <f t="shared" si="0"/>
        <v>0</v>
      </c>
    </row>
    <row r="44" spans="1:6" ht="15.75" x14ac:dyDescent="0.25">
      <c r="A44" s="144"/>
      <c r="B44" s="142"/>
      <c r="C44" s="79"/>
      <c r="D44" s="144"/>
      <c r="E44" s="79"/>
      <c r="F44" s="145">
        <f t="shared" si="0"/>
        <v>0</v>
      </c>
    </row>
    <row r="45" spans="1:6" ht="15.75" x14ac:dyDescent="0.25">
      <c r="A45" s="144"/>
      <c r="B45" s="142"/>
      <c r="C45" s="79"/>
      <c r="D45" s="144"/>
      <c r="E45" s="79"/>
      <c r="F45" s="145">
        <f t="shared" si="0"/>
        <v>0</v>
      </c>
    </row>
    <row r="46" spans="1:6" ht="15.75" x14ac:dyDescent="0.25">
      <c r="A46" s="144"/>
      <c r="B46" s="142"/>
      <c r="C46" s="79"/>
      <c r="D46" s="144"/>
      <c r="E46" s="79"/>
      <c r="F46" s="145">
        <f t="shared" si="0"/>
        <v>0</v>
      </c>
    </row>
    <row r="47" spans="1:6" ht="15.75" x14ac:dyDescent="0.25">
      <c r="A47" s="144"/>
      <c r="B47" s="142"/>
      <c r="C47" s="79"/>
      <c r="D47" s="144"/>
      <c r="E47" s="79"/>
      <c r="F47" s="145">
        <f t="shared" si="0"/>
        <v>0</v>
      </c>
    </row>
    <row r="48" spans="1:6" ht="15.75" x14ac:dyDescent="0.25">
      <c r="A48" s="144"/>
      <c r="B48" s="142"/>
      <c r="C48" s="79"/>
      <c r="D48" s="144"/>
      <c r="E48" s="79"/>
      <c r="F48" s="145">
        <f t="shared" si="0"/>
        <v>0</v>
      </c>
    </row>
    <row r="49" spans="1:6" ht="15.75" x14ac:dyDescent="0.25">
      <c r="A49" s="144"/>
      <c r="B49" s="142"/>
      <c r="C49" s="79"/>
      <c r="D49" s="144"/>
      <c r="E49" s="79"/>
      <c r="F49" s="145">
        <f t="shared" si="0"/>
        <v>0</v>
      </c>
    </row>
    <row r="50" spans="1:6" ht="15.75" x14ac:dyDescent="0.25">
      <c r="A50" s="144"/>
      <c r="B50" s="142"/>
      <c r="C50" s="79"/>
      <c r="D50" s="144"/>
      <c r="E50" s="79"/>
      <c r="F50" s="145">
        <f t="shared" si="0"/>
        <v>0</v>
      </c>
    </row>
    <row r="51" spans="1:6" ht="15.75" x14ac:dyDescent="0.25">
      <c r="A51" s="144"/>
      <c r="B51" s="142"/>
      <c r="C51" s="79"/>
      <c r="D51" s="144"/>
      <c r="E51" s="79"/>
      <c r="F51" s="145">
        <f t="shared" si="0"/>
        <v>0</v>
      </c>
    </row>
    <row r="52" spans="1:6" ht="15.75" x14ac:dyDescent="0.25">
      <c r="A52" s="144"/>
      <c r="B52" s="142"/>
      <c r="C52" s="79"/>
      <c r="D52" s="144"/>
      <c r="E52" s="79"/>
      <c r="F52" s="145">
        <f t="shared" si="0"/>
        <v>0</v>
      </c>
    </row>
    <row r="53" spans="1:6" ht="15.75" x14ac:dyDescent="0.25">
      <c r="A53" s="144"/>
      <c r="B53" s="142"/>
      <c r="C53" s="79"/>
      <c r="D53" s="144"/>
      <c r="E53" s="79"/>
      <c r="F53" s="145">
        <f t="shared" si="0"/>
        <v>0</v>
      </c>
    </row>
    <row r="54" spans="1:6" ht="15.75" x14ac:dyDescent="0.25">
      <c r="A54" s="141"/>
      <c r="B54" s="142"/>
      <c r="C54" s="79"/>
      <c r="D54" s="144"/>
      <c r="E54" s="79"/>
      <c r="F54" s="145">
        <f t="shared" si="0"/>
        <v>0</v>
      </c>
    </row>
    <row r="55" spans="1:6" ht="15.75" x14ac:dyDescent="0.25">
      <c r="A55" s="141"/>
      <c r="B55" s="142"/>
      <c r="C55" s="79"/>
      <c r="D55" s="144"/>
      <c r="E55" s="79"/>
      <c r="F55" s="145">
        <f t="shared" si="0"/>
        <v>0</v>
      </c>
    </row>
    <row r="56" spans="1:6" ht="15.75" x14ac:dyDescent="0.25">
      <c r="A56" s="141"/>
      <c r="B56" s="142"/>
      <c r="C56" s="79"/>
      <c r="D56" s="144"/>
      <c r="E56" s="79"/>
      <c r="F56" s="145">
        <f t="shared" si="0"/>
        <v>0</v>
      </c>
    </row>
    <row r="57" spans="1:6" ht="15.75" x14ac:dyDescent="0.25">
      <c r="A57" s="144"/>
      <c r="B57" s="142"/>
      <c r="C57" s="79"/>
      <c r="D57" s="144"/>
      <c r="E57" s="79"/>
      <c r="F57" s="145">
        <f t="shared" si="0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0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0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0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0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0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0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0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0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0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0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0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0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0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0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0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0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0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0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0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0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0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0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0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0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0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0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0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0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0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0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0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0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0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0</v>
      </c>
      <c r="D98" s="103"/>
      <c r="E98" s="3">
        <f>SUM(E3:E97)</f>
        <v>0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3:G54"/>
  <sheetViews>
    <sheetView topLeftCell="A23" workbookViewId="0">
      <selection activeCell="G39" sqref="G39"/>
    </sheetView>
  </sheetViews>
  <sheetFormatPr baseColWidth="10" defaultRowHeight="15" x14ac:dyDescent="0.25"/>
  <cols>
    <col min="1" max="1" width="12" bestFit="1" customWidth="1"/>
    <col min="2" max="2" width="12.140625" customWidth="1"/>
    <col min="3" max="4" width="13.85546875" bestFit="1" customWidth="1"/>
    <col min="5" max="5" width="14.85546875" customWidth="1"/>
    <col min="6" max="6" width="15.85546875" customWidth="1"/>
  </cols>
  <sheetData>
    <row r="23" spans="1:1" x14ac:dyDescent="0.25">
      <c r="A23" t="s">
        <v>115</v>
      </c>
    </row>
    <row r="30" spans="1:1" ht="14.25" customHeight="1" x14ac:dyDescent="0.25"/>
    <row r="44" spans="1:7" ht="15.75" thickBot="1" x14ac:dyDescent="0.3"/>
    <row r="45" spans="1:7" ht="16.5" thickBot="1" x14ac:dyDescent="0.3">
      <c r="A45" s="163"/>
      <c r="B45" s="257" t="s">
        <v>31</v>
      </c>
      <c r="C45" s="258"/>
      <c r="D45" s="258"/>
      <c r="E45" s="259"/>
      <c r="F45" s="3"/>
    </row>
    <row r="46" spans="1:7" ht="19.5" customHeight="1" x14ac:dyDescent="0.25">
      <c r="A46" s="168">
        <v>44499</v>
      </c>
      <c r="B46" s="169" t="s">
        <v>202</v>
      </c>
      <c r="C46" s="170">
        <v>75</v>
      </c>
      <c r="D46" s="171" t="s">
        <v>32</v>
      </c>
      <c r="E46" s="172" t="s">
        <v>203</v>
      </c>
      <c r="F46" s="107">
        <v>56</v>
      </c>
      <c r="G46" s="209"/>
    </row>
    <row r="47" spans="1:7" ht="19.5" customHeight="1" x14ac:dyDescent="0.25">
      <c r="A47" s="168"/>
      <c r="B47" s="169" t="s">
        <v>201</v>
      </c>
      <c r="C47" s="170">
        <v>0</v>
      </c>
      <c r="D47" s="173" t="s">
        <v>32</v>
      </c>
      <c r="E47" s="172" t="s">
        <v>33</v>
      </c>
      <c r="F47" s="107">
        <v>0</v>
      </c>
      <c r="G47" s="208"/>
    </row>
    <row r="48" spans="1:7" ht="19.5" hidden="1" customHeight="1" x14ac:dyDescent="0.25">
      <c r="A48" s="168"/>
      <c r="B48" s="169" t="s">
        <v>201</v>
      </c>
      <c r="C48" s="170">
        <v>0</v>
      </c>
      <c r="D48" s="173" t="s">
        <v>32</v>
      </c>
      <c r="E48" s="172" t="s">
        <v>33</v>
      </c>
      <c r="F48" s="107">
        <v>0</v>
      </c>
    </row>
    <row r="49" spans="1:6" ht="18.75" hidden="1" customHeight="1" x14ac:dyDescent="0.25">
      <c r="A49" s="168"/>
      <c r="B49" s="169" t="s">
        <v>201</v>
      </c>
      <c r="C49" s="170">
        <v>0</v>
      </c>
      <c r="D49" s="173" t="s">
        <v>32</v>
      </c>
      <c r="E49" s="172" t="s">
        <v>33</v>
      </c>
      <c r="F49" s="107">
        <v>0</v>
      </c>
    </row>
    <row r="50" spans="1:6" ht="15.75" hidden="1" x14ac:dyDescent="0.25">
      <c r="A50" s="164"/>
      <c r="B50" s="169" t="s">
        <v>201</v>
      </c>
      <c r="C50" s="170">
        <v>0</v>
      </c>
      <c r="D50" s="165" t="s">
        <v>32</v>
      </c>
      <c r="E50" s="172" t="s">
        <v>33</v>
      </c>
      <c r="F50" s="107">
        <v>0</v>
      </c>
    </row>
    <row r="51" spans="1:6" ht="15.75" hidden="1" x14ac:dyDescent="0.25">
      <c r="A51" s="164"/>
      <c r="B51" s="169" t="s">
        <v>201</v>
      </c>
      <c r="C51" s="170">
        <v>0</v>
      </c>
      <c r="D51" s="165" t="s">
        <v>32</v>
      </c>
      <c r="E51" s="172" t="s">
        <v>33</v>
      </c>
      <c r="F51" s="107">
        <v>0</v>
      </c>
    </row>
    <row r="52" spans="1:6" ht="15.75" hidden="1" x14ac:dyDescent="0.25">
      <c r="A52" s="164"/>
      <c r="B52" s="169" t="s">
        <v>201</v>
      </c>
      <c r="C52" s="170">
        <v>0</v>
      </c>
      <c r="D52" s="165" t="s">
        <v>32</v>
      </c>
      <c r="E52" s="172" t="s">
        <v>33</v>
      </c>
      <c r="F52" s="107">
        <v>0</v>
      </c>
    </row>
    <row r="53" spans="1:6" ht="16.5" hidden="1" thickBot="1" x14ac:dyDescent="0.3">
      <c r="A53" s="166"/>
      <c r="B53" s="169" t="s">
        <v>201</v>
      </c>
      <c r="C53" s="170">
        <v>0</v>
      </c>
      <c r="D53" s="167" t="s">
        <v>32</v>
      </c>
      <c r="E53" s="172" t="s">
        <v>33</v>
      </c>
      <c r="F53" s="107">
        <v>0</v>
      </c>
    </row>
    <row r="54" spans="1:6" ht="14.25" customHeight="1" x14ac:dyDescent="0.25"/>
  </sheetData>
  <sortState ref="A46:F47">
    <sortCondition ref="B46:B47"/>
  </sortState>
  <mergeCells count="1">
    <mergeCell ref="B45:E45"/>
  </mergeCells>
  <pageMargins left="0.39" right="0.13" top="0.75" bottom="0.27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 G O S T O    2 0 2 1     </vt:lpstr>
      <vt:lpstr>REMISIONES  AGOSTO 2021    </vt:lpstr>
      <vt:lpstr>SEPTIEMBRE    2 0 2 1   </vt:lpstr>
      <vt:lpstr>REMISIONES  SEPTIEMBRE  2021  </vt:lpstr>
      <vt:lpstr>OCTUBRE   2 0 2 1             </vt:lpstr>
      <vt:lpstr>REMISIONES OCTUBRE  2021     </vt:lpstr>
      <vt:lpstr>Hoja3</vt:lpstr>
      <vt:lpstr>CANCELACIONES    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2021-11-08T18:09:33Z</cp:lastPrinted>
  <dcterms:created xsi:type="dcterms:W3CDTF">2021-08-25T18:04:32Z</dcterms:created>
  <dcterms:modified xsi:type="dcterms:W3CDTF">2021-11-08T18:40:03Z</dcterms:modified>
</cp:coreProperties>
</file>