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5405" windowHeight="11250" activeTab="1"/>
  </bookViews>
  <sheets>
    <sheet name="ENERO 02" sheetId="1" r:id="rId1"/>
    <sheet name="ABRIL 3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3" i="2" l="1"/>
  <c r="G337" i="2" s="1"/>
  <c r="E44" i="2"/>
  <c r="E89" i="2"/>
  <c r="E134" i="2"/>
  <c r="E179" i="2"/>
  <c r="I263" i="2"/>
  <c r="G262" i="2"/>
  <c r="I262" i="2" s="1"/>
  <c r="G261" i="2"/>
  <c r="I261" i="2" s="1"/>
  <c r="I260" i="2"/>
  <c r="G259" i="2"/>
  <c r="I259" i="2" s="1"/>
  <c r="I258" i="2"/>
  <c r="I257" i="2"/>
  <c r="G257" i="2"/>
  <c r="I256" i="2"/>
  <c r="I255" i="2"/>
  <c r="I254" i="2"/>
  <c r="G254" i="2"/>
  <c r="G253" i="2"/>
  <c r="I253" i="2" s="1"/>
  <c r="I252" i="2"/>
  <c r="I251" i="2"/>
  <c r="G250" i="2"/>
  <c r="I250" i="2" s="1"/>
  <c r="I249" i="2"/>
  <c r="I248" i="2"/>
  <c r="I247" i="2"/>
  <c r="I246" i="2"/>
  <c r="I245" i="2"/>
  <c r="I244" i="2"/>
  <c r="I243" i="2"/>
  <c r="I242" i="2"/>
  <c r="G242" i="2"/>
  <c r="G241" i="2"/>
  <c r="I241" i="2" s="1"/>
  <c r="I240" i="2"/>
  <c r="I239" i="2"/>
  <c r="G239" i="2"/>
  <c r="I238" i="2"/>
  <c r="I237" i="2"/>
  <c r="I236" i="2"/>
  <c r="I235" i="2"/>
  <c r="I234" i="2"/>
  <c r="I233" i="2"/>
  <c r="G233" i="2"/>
  <c r="I232" i="2"/>
  <c r="I231" i="2"/>
  <c r="I230" i="2"/>
  <c r="I229" i="2"/>
  <c r="G228" i="2"/>
  <c r="I228" i="2" s="1"/>
  <c r="I227" i="2"/>
  <c r="G227" i="2"/>
  <c r="I226" i="2"/>
  <c r="I225" i="2"/>
  <c r="E263" i="2"/>
  <c r="E308" i="2"/>
  <c r="I335" i="2"/>
  <c r="I334" i="2"/>
  <c r="I333" i="2"/>
  <c r="G332" i="2"/>
  <c r="I332" i="2" s="1"/>
  <c r="I331" i="2"/>
  <c r="G330" i="2"/>
  <c r="I330" i="2" s="1"/>
  <c r="I329" i="2"/>
  <c r="G329" i="2"/>
  <c r="I328" i="2"/>
  <c r="I327" i="2"/>
  <c r="I326" i="2"/>
  <c r="I325" i="2"/>
  <c r="G325" i="2"/>
  <c r="I324" i="2"/>
  <c r="I323" i="2"/>
  <c r="I322" i="2"/>
  <c r="G322" i="2"/>
  <c r="G321" i="2"/>
  <c r="I321" i="2" s="1"/>
  <c r="I320" i="2"/>
  <c r="G320" i="2"/>
  <c r="G319" i="2"/>
  <c r="I319" i="2" s="1"/>
  <c r="I318" i="2"/>
  <c r="G317" i="2"/>
  <c r="I317" i="2" s="1"/>
  <c r="G316" i="2"/>
  <c r="I316" i="2" s="1"/>
  <c r="I315" i="2"/>
  <c r="I314" i="2"/>
  <c r="I313" i="2"/>
  <c r="I312" i="2"/>
  <c r="I311" i="2"/>
  <c r="I310" i="2"/>
  <c r="E310" i="2"/>
  <c r="E335" i="2"/>
  <c r="E337" i="2" l="1"/>
  <c r="C239" i="2" l="1"/>
  <c r="C194" i="2"/>
  <c r="E329" i="2"/>
  <c r="E330" i="2"/>
  <c r="E331" i="2"/>
  <c r="E332" i="2"/>
  <c r="E333" i="2"/>
  <c r="E334" i="2"/>
  <c r="C332" i="2"/>
  <c r="C242" i="2"/>
  <c r="C171" i="2"/>
  <c r="C117" i="2"/>
  <c r="C168" i="2"/>
  <c r="C137" i="2"/>
  <c r="C192" i="2"/>
  <c r="C172" i="2"/>
  <c r="C284" i="2"/>
  <c r="C127" i="2"/>
  <c r="C306" i="2"/>
  <c r="C161" i="2"/>
  <c r="C181" i="2"/>
  <c r="C126" i="2"/>
  <c r="C145" i="2"/>
  <c r="C157" i="2"/>
  <c r="C329" i="2"/>
  <c r="C278" i="2"/>
  <c r="C50" i="2"/>
  <c r="C241" i="2"/>
  <c r="C307" i="2"/>
  <c r="C169" i="2"/>
  <c r="C187" i="2"/>
  <c r="C129" i="2"/>
  <c r="C115" i="2"/>
  <c r="C111" i="2"/>
  <c r="C130" i="2"/>
  <c r="C165" i="2"/>
  <c r="C228" i="2"/>
  <c r="C164" i="2"/>
  <c r="C330" i="2"/>
  <c r="C158" i="2"/>
  <c r="C47" i="2"/>
  <c r="C104" i="2"/>
  <c r="C110" i="2"/>
  <c r="C188" i="2"/>
  <c r="C233" i="2"/>
  <c r="C123" i="2"/>
  <c r="C107" i="2"/>
  <c r="C153" i="2"/>
  <c r="C159" i="2"/>
  <c r="C128" i="2"/>
  <c r="C152" i="2"/>
  <c r="C156" i="2"/>
  <c r="C160" i="2"/>
  <c r="C149" i="2"/>
  <c r="C186" i="2"/>
  <c r="C197" i="2" l="1"/>
  <c r="C275" i="2"/>
  <c r="C170" i="2"/>
  <c r="C121" i="2"/>
  <c r="C191" i="2"/>
  <c r="C174" i="2"/>
  <c r="C4" i="2"/>
  <c r="C101" i="2"/>
  <c r="C163" i="2"/>
  <c r="C257" i="2"/>
  <c r="C322" i="2"/>
  <c r="C141" i="2"/>
  <c r="C140" i="2"/>
  <c r="E328" i="2"/>
  <c r="C316" i="2"/>
  <c r="C204" i="2"/>
  <c r="C265" i="2" l="1"/>
  <c r="C259" i="2"/>
  <c r="E321" i="2"/>
  <c r="E322" i="2"/>
  <c r="E323" i="2"/>
  <c r="E324" i="2"/>
  <c r="E325" i="2"/>
  <c r="E326" i="2"/>
  <c r="E327" i="2"/>
  <c r="C296" i="2"/>
  <c r="C262" i="2"/>
  <c r="C269" i="2"/>
  <c r="C200" i="2"/>
  <c r="C112" i="2"/>
  <c r="C317" i="2"/>
  <c r="C277" i="2"/>
  <c r="C198" i="2"/>
  <c r="C162" i="2"/>
  <c r="C304" i="2"/>
  <c r="C305" i="2"/>
  <c r="C321" i="2"/>
  <c r="C320" i="2"/>
  <c r="E320" i="2" s="1"/>
  <c r="C325" i="2"/>
  <c r="C267" i="2"/>
  <c r="C261" i="2"/>
  <c r="C266" i="2"/>
  <c r="C106" i="2"/>
  <c r="C99" i="2"/>
  <c r="C114" i="2"/>
  <c r="C103" i="2"/>
  <c r="C105" i="2"/>
  <c r="C167" i="2"/>
  <c r="C178" i="2"/>
  <c r="C202" i="2"/>
  <c r="C143" i="2"/>
  <c r="C142" i="2"/>
  <c r="C108" i="2"/>
  <c r="C131" i="2"/>
  <c r="C118" i="2"/>
  <c r="C201" i="2"/>
  <c r="C125" i="2" l="1"/>
  <c r="C122" i="2"/>
  <c r="C319" i="2" l="1"/>
  <c r="C67" i="2"/>
  <c r="C217" i="2"/>
  <c r="C71" i="2"/>
  <c r="C81" i="2"/>
  <c r="C16" i="2"/>
  <c r="C54" i="2"/>
  <c r="C15" i="2"/>
  <c r="C9" i="2"/>
  <c r="C51" i="2"/>
  <c r="C98" i="2"/>
  <c r="C203" i="2"/>
  <c r="C48" i="2"/>
  <c r="C49" i="2"/>
  <c r="C254" i="2"/>
  <c r="C34" i="2"/>
  <c r="C42" i="2"/>
  <c r="C227" i="2"/>
  <c r="C5" i="2"/>
  <c r="C250" i="2"/>
  <c r="C53" i="2"/>
  <c r="C7" i="2"/>
  <c r="C32" i="2"/>
  <c r="C40" i="2"/>
  <c r="C253" i="2"/>
  <c r="C72" i="2"/>
  <c r="C56" i="2"/>
  <c r="C100" i="2"/>
  <c r="C59" i="2"/>
  <c r="C58" i="2"/>
  <c r="C184" i="2"/>
  <c r="C57" i="2"/>
  <c r="E319" i="2"/>
  <c r="C209" i="2"/>
  <c r="C102" i="2"/>
  <c r="C96" i="2"/>
  <c r="C60" i="2"/>
  <c r="C82" i="2"/>
  <c r="E339" i="2" l="1"/>
  <c r="E318" i="2"/>
  <c r="E317" i="2"/>
  <c r="E316" i="2"/>
  <c r="E315" i="2"/>
  <c r="E314" i="2"/>
  <c r="E313" i="2"/>
  <c r="E312" i="2"/>
  <c r="E311" i="2"/>
  <c r="C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2" i="2"/>
  <c r="E261" i="2"/>
  <c r="E260" i="2"/>
  <c r="E259" i="2"/>
  <c r="E258" i="2"/>
  <c r="E257" i="2"/>
  <c r="E256" i="2"/>
  <c r="E255" i="2"/>
  <c r="E254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2" i="2"/>
  <c r="E221" i="2"/>
  <c r="E220" i="2"/>
  <c r="E219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C44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263" i="2" l="1"/>
  <c r="C335" i="2" s="1"/>
  <c r="E30" i="2"/>
  <c r="C89" i="2"/>
  <c r="C134" i="2" s="1"/>
  <c r="C179" i="2" s="1"/>
  <c r="C223" i="2" s="1"/>
  <c r="E253" i="2"/>
  <c r="E44" i="1"/>
  <c r="E89" i="1"/>
  <c r="E134" i="1"/>
  <c r="E179" i="1"/>
  <c r="E223" i="1"/>
  <c r="E321" i="1" s="1"/>
  <c r="E263" i="1"/>
  <c r="E308" i="1"/>
  <c r="E319" i="1"/>
  <c r="C321" i="1"/>
  <c r="E310" i="1"/>
  <c r="E311" i="1"/>
  <c r="C262" i="1"/>
  <c r="E262" i="1" s="1"/>
  <c r="E222" i="1"/>
  <c r="E178" i="1"/>
  <c r="C175" i="1"/>
  <c r="E175" i="1" s="1"/>
  <c r="E133" i="1"/>
  <c r="C82" i="1"/>
  <c r="E82" i="1" s="1"/>
  <c r="E318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6" i="1"/>
  <c r="E312" i="1"/>
  <c r="E313" i="1"/>
  <c r="E314" i="1"/>
  <c r="E315" i="1"/>
  <c r="E316" i="1"/>
  <c r="E317" i="1"/>
  <c r="C305" i="1"/>
  <c r="E305" i="1" s="1"/>
  <c r="C145" i="1"/>
  <c r="C277" i="1"/>
  <c r="C273" i="1"/>
  <c r="C269" i="1"/>
  <c r="C268" i="1"/>
  <c r="C257" i="1"/>
  <c r="C266" i="1"/>
  <c r="C129" i="1"/>
  <c r="C235" i="1"/>
  <c r="C242" i="1"/>
  <c r="C236" i="1"/>
  <c r="C307" i="1"/>
  <c r="E307" i="1" s="1"/>
  <c r="C99" i="1"/>
  <c r="C265" i="1"/>
  <c r="C261" i="1"/>
  <c r="C267" i="1"/>
  <c r="C120" i="1"/>
  <c r="C166" i="1"/>
  <c r="C126" i="1"/>
  <c r="C115" i="1"/>
  <c r="C104" i="1"/>
  <c r="C124" i="1"/>
  <c r="C107" i="1"/>
  <c r="C105" i="1"/>
  <c r="C103" i="1"/>
  <c r="C174" i="1"/>
  <c r="C275" i="1"/>
  <c r="C111" i="1"/>
  <c r="C142" i="1"/>
  <c r="C143" i="1"/>
  <c r="C106" i="1"/>
  <c r="C118" i="1"/>
  <c r="C112" i="1"/>
  <c r="C157" i="1"/>
  <c r="C241" i="1"/>
  <c r="C123" i="1"/>
  <c r="C110" i="1"/>
  <c r="C246" i="1"/>
  <c r="C153" i="1"/>
  <c r="C152" i="1"/>
  <c r="C138" i="1"/>
  <c r="C198" i="1"/>
  <c r="C131" i="1"/>
  <c r="C140" i="1"/>
  <c r="C141" i="1"/>
  <c r="C121" i="1"/>
  <c r="C177" i="1"/>
  <c r="C201" i="1"/>
  <c r="C165" i="1"/>
  <c r="C137" i="1"/>
  <c r="C191" i="1"/>
  <c r="C128" i="1"/>
  <c r="C159" i="1"/>
  <c r="C197" i="1"/>
  <c r="C194" i="1"/>
  <c r="C202" i="1"/>
  <c r="C147" i="1"/>
  <c r="C149" i="1"/>
  <c r="C193" i="1"/>
  <c r="C117" i="1"/>
  <c r="C168" i="1"/>
  <c r="C171" i="1"/>
  <c r="C122" i="1"/>
  <c r="C125" i="1"/>
  <c r="C127" i="1"/>
  <c r="C189" i="1"/>
  <c r="C47" i="1"/>
  <c r="C176" i="1"/>
  <c r="C233" i="1"/>
  <c r="C188" i="1"/>
  <c r="C183" i="1"/>
  <c r="C169" i="1"/>
  <c r="C192" i="1"/>
  <c r="C170" i="1"/>
  <c r="C172" i="1"/>
  <c r="C256" i="1"/>
  <c r="C196" i="1"/>
  <c r="C113" i="1"/>
  <c r="C164" i="1"/>
  <c r="C4" i="1"/>
  <c r="C337" i="2" l="1"/>
  <c r="C72" i="1"/>
  <c r="C5" i="1"/>
  <c r="C31" i="1"/>
  <c r="C42" i="1"/>
  <c r="C6" i="1"/>
  <c r="C34" i="1"/>
  <c r="C40" i="1"/>
  <c r="C250" i="1"/>
  <c r="C35" i="1"/>
  <c r="C254" i="1"/>
  <c r="C51" i="1"/>
  <c r="C9" i="1"/>
  <c r="C55" i="1"/>
  <c r="C49" i="1"/>
  <c r="C48" i="1"/>
  <c r="C81" i="1"/>
  <c r="C96" i="1"/>
  <c r="C100" i="1"/>
  <c r="C71" i="1"/>
  <c r="C285" i="1"/>
  <c r="E285" i="1" s="1"/>
  <c r="C217" i="1"/>
  <c r="C218" i="1"/>
  <c r="C67" i="1"/>
  <c r="C56" i="1"/>
  <c r="C58" i="1"/>
  <c r="C57" i="1"/>
  <c r="C98" i="1"/>
  <c r="C184" i="1"/>
  <c r="C59" i="1"/>
  <c r="C52" i="1"/>
  <c r="C30" i="1"/>
  <c r="C53" i="1"/>
  <c r="C54" i="1"/>
  <c r="C253" i="1"/>
  <c r="C263" i="1" l="1"/>
  <c r="C308" i="1"/>
  <c r="C319" i="1"/>
  <c r="C89" i="1"/>
  <c r="C44" i="1"/>
  <c r="E26" i="1"/>
  <c r="C134" i="1" l="1"/>
  <c r="C179" i="1" s="1"/>
  <c r="C223" i="1" s="1"/>
  <c r="E252" i="1"/>
  <c r="E253" i="1"/>
  <c r="E254" i="1"/>
  <c r="E255" i="1"/>
  <c r="E256" i="1"/>
  <c r="E257" i="1"/>
  <c r="E258" i="1"/>
  <c r="E259" i="1"/>
  <c r="E260" i="1"/>
  <c r="E261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13" i="1"/>
  <c r="E214" i="1"/>
  <c r="E215" i="1"/>
  <c r="E216" i="1"/>
  <c r="E217" i="1"/>
  <c r="E218" i="1"/>
  <c r="E219" i="1"/>
  <c r="E220" i="1"/>
  <c r="E221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168" i="1"/>
  <c r="E169" i="1"/>
  <c r="E170" i="1"/>
  <c r="E171" i="1"/>
  <c r="E172" i="1"/>
  <c r="E173" i="1"/>
  <c r="E174" i="1"/>
  <c r="E176" i="1"/>
  <c r="E177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123" i="1"/>
  <c r="E124" i="1"/>
  <c r="E125" i="1"/>
  <c r="E126" i="1"/>
  <c r="E127" i="1"/>
  <c r="E128" i="1"/>
  <c r="E129" i="1"/>
  <c r="E130" i="1"/>
  <c r="E131" i="1"/>
  <c r="E132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77" i="1"/>
  <c r="E78" i="1"/>
  <c r="E79" i="1"/>
  <c r="E80" i="1"/>
  <c r="E81" i="1"/>
  <c r="E83" i="1"/>
  <c r="E84" i="1"/>
  <c r="E85" i="1"/>
  <c r="E86" i="1"/>
  <c r="E87" i="1"/>
  <c r="E88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42" i="1"/>
  <c r="E43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23" i="1"/>
  <c r="E251" i="1" l="1"/>
  <c r="E4" i="1" l="1"/>
  <c r="E212" i="1"/>
  <c r="E167" i="1" l="1"/>
  <c r="E41" i="1" l="1"/>
  <c r="E122" i="1"/>
</calcChain>
</file>

<file path=xl/sharedStrings.xml><?xml version="1.0" encoding="utf-8"?>
<sst xmlns="http://schemas.openxmlformats.org/spreadsheetml/2006/main" count="710" uniqueCount="330">
  <si>
    <t>SUCURSAL ZAVALETA 4 CARNES</t>
  </si>
  <si>
    <t>PRODUCTO</t>
  </si>
  <si>
    <t xml:space="preserve">KILOS </t>
  </si>
  <si>
    <t>PRECIO</t>
  </si>
  <si>
    <t>TOTAL</t>
  </si>
  <si>
    <t>SERRANO TAVERNETA PZA</t>
  </si>
  <si>
    <t>CASTELL PZA.</t>
  </si>
  <si>
    <t>MINI YORK TAVERNETA PZA.</t>
  </si>
  <si>
    <t>GLORIA 225G PLATA PZA.</t>
  </si>
  <si>
    <t>GLORIA UNTABLE AMRILLO PZA.</t>
  </si>
  <si>
    <t>GLORIA UNTABLE VERDE PZA.</t>
  </si>
  <si>
    <t>GLORIA UNTABLE AZUL PZA.</t>
  </si>
  <si>
    <t>MANTEQUILA LYNCONT 225G PZA.</t>
  </si>
  <si>
    <t xml:space="preserve">MANTEQUILLA LYNCONT UBTABLE PZA. </t>
  </si>
  <si>
    <t>MINI YOR TAVERNETA PZA.</t>
  </si>
  <si>
    <t>QUESO DE CABRA PZA.</t>
  </si>
  <si>
    <t>BOURSIN PAQUETE PZA.</t>
  </si>
  <si>
    <t>SUB-TOTAL</t>
  </si>
  <si>
    <t>MANTEQUILLA PANFILO KG</t>
  </si>
  <si>
    <t>PAQUETE PARRILLERO PZA</t>
  </si>
  <si>
    <t>GLORIA 225 G AMARILLA PZA.</t>
  </si>
  <si>
    <t>NEW YORK CHOICE KG</t>
  </si>
  <si>
    <t>DIEZMILLO C/H KG</t>
  </si>
  <si>
    <t>RIB EYE CHOICE KG</t>
  </si>
  <si>
    <t>JAMON DE LOMO Y MIEL KG</t>
  </si>
  <si>
    <t>CHORIZO ARGENTINO ESPE KG</t>
  </si>
  <si>
    <t>METZ SERRANO .250G PZA</t>
  </si>
  <si>
    <t>SALCHICHA DE PAVO FUD KG</t>
  </si>
  <si>
    <t>PANGASIUS PZA</t>
  </si>
  <si>
    <t>ARRACHERA NAT KG</t>
  </si>
  <si>
    <t>CARPACCIO KG</t>
  </si>
  <si>
    <t>CHISTORRA WINNIS KG</t>
  </si>
  <si>
    <t>GOUDA BOTANERO KG</t>
  </si>
  <si>
    <t>LONGANIZA CASERA KG</t>
  </si>
  <si>
    <t>LONGANIZA ECONOMICA KG</t>
  </si>
  <si>
    <t>CHORIZO OAXACA KG</t>
  </si>
  <si>
    <t>CHORIZO ARGENTINO KG</t>
  </si>
  <si>
    <t xml:space="preserve">BOTANERO PANFILO PZA. </t>
  </si>
  <si>
    <t>POSTRES PZA</t>
  </si>
  <si>
    <t>YOGHURT 1/2 PZA</t>
  </si>
  <si>
    <t>ZORAYDA CHICO PZA</t>
  </si>
  <si>
    <t>ASADEROS KG</t>
  </si>
  <si>
    <t>DELICIAS KG</t>
  </si>
  <si>
    <t>PECHUGA DE POLLO  KG</t>
  </si>
  <si>
    <t>LOMO DE CAÑA NAC KG</t>
  </si>
  <si>
    <t>CORTES AMERICANOS PCO KG</t>
  </si>
  <si>
    <t>CONDIMENTO CALIFORNIA PZA</t>
  </si>
  <si>
    <t>PERNIL KG</t>
  </si>
  <si>
    <t>FILETE FIGNON KG</t>
  </si>
  <si>
    <t>PIERNA Y MUSLO KG</t>
  </si>
  <si>
    <t>MILANESA DE POLLO KG</t>
  </si>
  <si>
    <t>CHISTORRA METZ 1/4 PZA</t>
  </si>
  <si>
    <t>QUESILLO CREMOSO KG</t>
  </si>
  <si>
    <t>CHULETA AHUMADA KG</t>
  </si>
  <si>
    <t>QUESO DE PUERCO PEÑARANDA KG</t>
  </si>
  <si>
    <t>GOUDA ALEMAN KG</t>
  </si>
  <si>
    <t>GALLINAKG</t>
  </si>
  <si>
    <t>COPETES KG</t>
  </si>
  <si>
    <t>TABLA 4 CARNES PZA</t>
  </si>
  <si>
    <t>DESCARNE DE RES KG</t>
  </si>
  <si>
    <t>PIÑON KG</t>
  </si>
  <si>
    <t>CABEZA DE LOMO TAVERNETTA KG</t>
  </si>
  <si>
    <t>GRASA DE RES KG</t>
  </si>
  <si>
    <t>YORK SABORI KG</t>
  </si>
  <si>
    <t>CREMA POR LITRO LIT</t>
  </si>
  <si>
    <t>IBERIA 1/2 PZA</t>
  </si>
  <si>
    <t>PIERNA DE PAVO AHUMADA KG</t>
  </si>
  <si>
    <t>GLORIA .90G PZA</t>
  </si>
  <si>
    <t>GALON DE LECHE PZA</t>
  </si>
  <si>
    <t>PARMESANO LAMINADO KG</t>
  </si>
  <si>
    <t>PARMESANO RAYADO KG</t>
  </si>
  <si>
    <t>PHILADELPHILA PZA</t>
  </si>
  <si>
    <t xml:space="preserve">TROZO DE PARMESANO KG </t>
  </si>
  <si>
    <t>PIERNA DE PAVO ADOBADA KG</t>
  </si>
  <si>
    <t>CREMA ALPURA DESLACTOSADA PZA</t>
  </si>
  <si>
    <t>PRIMAVERA UNTABLE PZA</t>
  </si>
  <si>
    <t>CREMA ALPURA NAT PZA</t>
  </si>
  <si>
    <t>QUESO DE PUERCO BOTANERO KG</t>
  </si>
  <si>
    <t>PATA NATURAL KG</t>
  </si>
  <si>
    <t>JAMON PISTACHE KG</t>
  </si>
  <si>
    <t>MARISCADA PZA</t>
  </si>
  <si>
    <t>SALCHICHA PARA ASAR PZA</t>
  </si>
  <si>
    <t>SURIMI KG</t>
  </si>
  <si>
    <t>ARRACHERA TEXANA KG</t>
  </si>
  <si>
    <t>TILAPIA KG</t>
  </si>
  <si>
    <t>CAMARON CHICO KG</t>
  </si>
  <si>
    <t>CAMARON GRANDE KG</t>
  </si>
  <si>
    <t>SESOS KG</t>
  </si>
  <si>
    <t>MANITAS KG</t>
  </si>
  <si>
    <t>PAPAS KG</t>
  </si>
  <si>
    <t>ARRACHERA MARINADA KG</t>
  </si>
  <si>
    <t>LENGUA DE RES KG</t>
  </si>
  <si>
    <t>CABEZA DE LOMO KG</t>
  </si>
  <si>
    <t>CABEZA  KG</t>
  </si>
  <si>
    <t>GLORIA 225 G VERDE PZA</t>
  </si>
  <si>
    <t>PECHUGA DE PAVO SAN RAFAEL</t>
  </si>
  <si>
    <t>SALCHICHA FRANKFURT KG</t>
  </si>
  <si>
    <t>QUESO DE PUERCO NU3 KG</t>
  </si>
  <si>
    <t>ANNY PARA HOT DOG</t>
  </si>
  <si>
    <t xml:space="preserve">ANNY PAVO </t>
  </si>
  <si>
    <t>TOTOPOS PZA</t>
  </si>
  <si>
    <t>TOCINO SALADO KG</t>
  </si>
  <si>
    <t>CAPISTRANO PIERNA KG</t>
  </si>
  <si>
    <t>PECHUGA DE PAVO NU3 KG</t>
  </si>
  <si>
    <t>YORK BONNA CARNE KG</t>
  </si>
  <si>
    <t>PIERNA AHUMADA KG</t>
  </si>
  <si>
    <t>VIRGINIA AHUMADO KG</t>
  </si>
  <si>
    <t>SERRANO CULATELLO KG</t>
  </si>
  <si>
    <t>SERRANO TAVERNETA KG</t>
  </si>
  <si>
    <t>LOMO EMBUCHADO TAVERNETA  KG</t>
  </si>
  <si>
    <t>DEGOLLADERO KG</t>
  </si>
  <si>
    <t>CANAL DE PUERCO KG</t>
  </si>
  <si>
    <t>MEDIO CAPOTE KG</t>
  </si>
  <si>
    <t>NEW YORK CHOICE REBANADO KG</t>
  </si>
  <si>
    <t>RIB-EYE PRIME REBANADO KG</t>
  </si>
  <si>
    <t>RIB EYE CHOICE REBANADO KG</t>
  </si>
  <si>
    <t>CONTRA NAC KG</t>
  </si>
  <si>
    <t>TARAS PZA</t>
  </si>
  <si>
    <t>ARRACHERA STERLING KG</t>
  </si>
  <si>
    <t>FALDA DE CERDO PARA DESHEBRAR KG</t>
  </si>
  <si>
    <t>ARRACHERA TEXANA WEST KG</t>
  </si>
  <si>
    <t>SHORT RIBS SILVER KG</t>
  </si>
  <si>
    <t>FILETE DE RES KG</t>
  </si>
  <si>
    <t>CANAL DE CARNERO KG</t>
  </si>
  <si>
    <t>GALLINA EXCEL KG</t>
  </si>
  <si>
    <t>COWBOY STERLING KG</t>
  </si>
  <si>
    <t>TOMAHAWK ANGUS PRIME KG</t>
  </si>
  <si>
    <t>SERRANO CINTA DE ORO KG</t>
  </si>
  <si>
    <t>JAMON IBERICO KG</t>
  </si>
  <si>
    <t>MOLE ALMENDRADO  KG</t>
  </si>
  <si>
    <t>MANTEQUILLA BUTTER PZA</t>
  </si>
  <si>
    <t>QUESO DE PUERCO CAPISTRANO KG</t>
  </si>
  <si>
    <t>PECHUGA PEÑARANDA KG</t>
  </si>
  <si>
    <t>YORK NU3 KG</t>
  </si>
  <si>
    <t>JAMON DE PAVO FUD KG</t>
  </si>
  <si>
    <t>PECHUGA SABORI KG</t>
  </si>
  <si>
    <t>URBY ALMENDRADO KG</t>
  </si>
  <si>
    <t>QUESO DE PUERCO FUD KG</t>
  </si>
  <si>
    <t>TOSTADAS NATURALES PZA</t>
  </si>
  <si>
    <t>URBY PISTACHE KG</t>
  </si>
  <si>
    <t>SALCHICHA HOT DOG KG</t>
  </si>
  <si>
    <t>PECHUGA DE PAVO WINNIS KG</t>
  </si>
  <si>
    <t>JAMON ARCOS KG</t>
  </si>
  <si>
    <t>YORK PEÑARANDA KG</t>
  </si>
  <si>
    <t>JAMON MARIETA KG</t>
  </si>
  <si>
    <t>SALAMI WINNIS KG</t>
  </si>
  <si>
    <t>PEPPERONI WINNIS KG</t>
  </si>
  <si>
    <t>CECINA KG</t>
  </si>
  <si>
    <t>YORK LEDO KG</t>
  </si>
  <si>
    <t>AMERICANO LEDO KG</t>
  </si>
  <si>
    <t>TOCINO WINNIS KG</t>
  </si>
  <si>
    <t>SALCHICHA ALEMANA PUERCO PZA</t>
  </si>
  <si>
    <t>SALCHICHA ALEMANA DE RES PZA</t>
  </si>
  <si>
    <t>SALSA PARRILERA PZA</t>
  </si>
  <si>
    <t>CONDIMENTOS 4 CARNES PZA</t>
  </si>
  <si>
    <t>SALSA DE 50 PZA</t>
  </si>
  <si>
    <t>IBERIA 1K PZA</t>
  </si>
  <si>
    <t>IBERIA 90G PZA</t>
  </si>
  <si>
    <t>MANTEQUILLA VILLITA PZA</t>
  </si>
  <si>
    <t>QUESO AÑEJO KG</t>
  </si>
  <si>
    <t>MOLE KG</t>
  </si>
  <si>
    <t>MOLE ARTESANAL ALMENDRADO KG</t>
  </si>
  <si>
    <t>MOLE TRADICIONAL KG</t>
  </si>
  <si>
    <t>MAIZ POBLANA PZA</t>
  </si>
  <si>
    <t>MAIZ ABUELA PZA</t>
  </si>
  <si>
    <t>MAIZ MORELOS PZA</t>
  </si>
  <si>
    <t>MANTECA  KG</t>
  </si>
  <si>
    <t>SALSA ARABE 1 L PZA</t>
  </si>
  <si>
    <t>SALSA ARABE 1/2 PZA</t>
  </si>
  <si>
    <t>SALSA ARABE 1/4 PZA</t>
  </si>
  <si>
    <t>PATA DE RES KG</t>
  </si>
  <si>
    <t>RECORTE DE TOCINO KG</t>
  </si>
  <si>
    <t>RECORTE DE CHULETA KG</t>
  </si>
  <si>
    <t>PAN ARABE PZA</t>
  </si>
  <si>
    <t>ALITAS KG</t>
  </si>
  <si>
    <t>CARNE ENCHILADA KG</t>
  </si>
  <si>
    <t>RECORTE DE JAMON KG</t>
  </si>
  <si>
    <t>TOCINO DE PIERNA  KG</t>
  </si>
  <si>
    <t>PATA PREPARADA KG</t>
  </si>
  <si>
    <t>TROZO LIMPIO KG</t>
  </si>
  <si>
    <t>CODILLO ENTERO KG</t>
  </si>
  <si>
    <t>TROZO ECO KG</t>
  </si>
  <si>
    <t>COSTILLA PARA ASAR KG</t>
  </si>
  <si>
    <t>COSTILLA  KG</t>
  </si>
  <si>
    <t>QUESO CAMEMBERT PZA</t>
  </si>
  <si>
    <t>RIÑON KG</t>
  </si>
  <si>
    <t>PUNTAS DE LOMO KG</t>
  </si>
  <si>
    <t>PICAÑA CHOICE KG</t>
  </si>
  <si>
    <t>CHAMBARETE CHOICE KG</t>
  </si>
  <si>
    <t>RIB-EYE SILVER KG</t>
  </si>
  <si>
    <t>CHAMBARETE S/H KG</t>
  </si>
  <si>
    <t>NEW YOR STERLING KG</t>
  </si>
  <si>
    <t>T-BONE STERLING KG</t>
  </si>
  <si>
    <t>TOP SIRLOIN STERLING KG</t>
  </si>
  <si>
    <t>PORTERHOUSE STERLING KG</t>
  </si>
  <si>
    <t>EXPORT RIB KG</t>
  </si>
  <si>
    <t>CUERO PAPEL KG</t>
  </si>
  <si>
    <t>CUERO DE PIERNA KG</t>
  </si>
  <si>
    <t>DESCARNE KG</t>
  </si>
  <si>
    <t>CEBO DE RES KG</t>
  </si>
  <si>
    <t>CORTES DE CERDO KG</t>
  </si>
  <si>
    <t>BUCHE KG</t>
  </si>
  <si>
    <t>CHORIZO ESPAÑOL KG</t>
  </si>
  <si>
    <t>CAPOTE KG</t>
  </si>
  <si>
    <t>DIEZMILLO S/H KG</t>
  </si>
  <si>
    <t>VACIOS KG</t>
  </si>
  <si>
    <t>CUETE DE RES KG</t>
  </si>
  <si>
    <t>CONTRA AMERICANA KG</t>
  </si>
  <si>
    <t>PORK BELLY KG</t>
  </si>
  <si>
    <t>PIERNA C/C KG</t>
  </si>
  <si>
    <t>FILETE DE PCO KG</t>
  </si>
  <si>
    <t>PLANCHAS KG</t>
  </si>
  <si>
    <t>VACIADA KG</t>
  </si>
  <si>
    <t>MOLIDA DE RES KG</t>
  </si>
  <si>
    <t>PULPA DE ESPALDILLA KG</t>
  </si>
  <si>
    <t>JAMON S/H KG</t>
  </si>
  <si>
    <t>MOLIDA MIXTA KG</t>
  </si>
  <si>
    <t>BISTEC DEL 7 KG</t>
  </si>
  <si>
    <t>NORTEÑO KG</t>
  </si>
  <si>
    <t>CHULETA NAT KG</t>
  </si>
  <si>
    <t>BANDERA KG</t>
  </si>
  <si>
    <t>TOP SIRLOIN CHOICE KG</t>
  </si>
  <si>
    <t>RANAS KG</t>
  </si>
  <si>
    <t>SURTIDO DE PCO KG</t>
  </si>
  <si>
    <t>ROASTBEFF KG</t>
  </si>
  <si>
    <t>BABY BACK KG</t>
  </si>
  <si>
    <t>MEDALLON DE LOMO KG</t>
  </si>
  <si>
    <t>PANZA DE RES PICADA KG</t>
  </si>
  <si>
    <t>PANZA DE RES REB KG</t>
  </si>
  <si>
    <t>NEW YORK PRIME KG</t>
  </si>
  <si>
    <t>PIERNA DE CARNERO KG</t>
  </si>
  <si>
    <t>ARRACHERA TAQUERA KG</t>
  </si>
  <si>
    <t>TUETANO KG</t>
  </si>
  <si>
    <t>ESPALDILLA DE CARNERO KG</t>
  </si>
  <si>
    <t>SABANA DE RES KG</t>
  </si>
  <si>
    <t>AGUJA DE RES KG</t>
  </si>
  <si>
    <t>CONCHA DE RES KG</t>
  </si>
  <si>
    <t>SUADERO  KG</t>
  </si>
  <si>
    <t>HAMB ECONOMICA KG</t>
  </si>
  <si>
    <t>HAMB ESPECIAL KG</t>
  </si>
  <si>
    <t>NATA PZA</t>
  </si>
  <si>
    <t>GALLINA CHOICE KG</t>
  </si>
  <si>
    <t>ESPINAZO KG</t>
  </si>
  <si>
    <t>TRIPAS PZA</t>
  </si>
  <si>
    <t>FAJITAS DE RES KG</t>
  </si>
  <si>
    <t>TAMPIQUEÑAS KG</t>
  </si>
  <si>
    <t>MILANESA DE RES KG</t>
  </si>
  <si>
    <t>BOLA DE RES KG</t>
  </si>
  <si>
    <t>CORTES AMERICANOS KG</t>
  </si>
  <si>
    <t>CENTRO DE CODILLO KG</t>
  </si>
  <si>
    <t>BISTEC DE PUERCO KG</t>
  </si>
  <si>
    <t>RETAZO DE RES KG</t>
  </si>
  <si>
    <t>PICADA DE RES KG</t>
  </si>
  <si>
    <t>RACK COSTILLAR KG</t>
  </si>
  <si>
    <t>CARRILLERA KG</t>
  </si>
  <si>
    <t>BISTEC PARA ASAR KG</t>
  </si>
  <si>
    <t>BARRIGA KG</t>
  </si>
  <si>
    <t>PERICO KG</t>
  </si>
  <si>
    <t>PULPA FINA DE RES KG</t>
  </si>
  <si>
    <t>ATUN KG</t>
  </si>
  <si>
    <t>MOLIDA DE PCO KG</t>
  </si>
  <si>
    <t>BROCHETA DE RES KG</t>
  </si>
  <si>
    <t>CHAMBARETE KG</t>
  </si>
  <si>
    <t>ARABE KG</t>
  </si>
  <si>
    <t>ESPALDILLA C/H KG</t>
  </si>
  <si>
    <t>SALMON KG</t>
  </si>
  <si>
    <t>ABIERTA KG</t>
  </si>
  <si>
    <t>HUESO DE PCO KG</t>
  </si>
  <si>
    <t>CHICHARRON KG</t>
  </si>
  <si>
    <t>PRENSADO KG</t>
  </si>
  <si>
    <t>TOTAL PESO</t>
  </si>
  <si>
    <t>TOTAL DINERO</t>
  </si>
  <si>
    <t>INVENTARIO 27 DE MARZO</t>
  </si>
  <si>
    <t>IBERIA 95G PZA.</t>
  </si>
  <si>
    <t>PECHO DE PCO KG</t>
  </si>
  <si>
    <t>ROASTBEFF AHUMADO PZA</t>
  </si>
  <si>
    <t>QUESO PANELA</t>
  </si>
  <si>
    <t>QUESO AZUL</t>
  </si>
  <si>
    <t>ADOBO</t>
  </si>
  <si>
    <t>CREMA ALPURA R/G PZA</t>
  </si>
  <si>
    <t>CASTELL CAJA</t>
  </si>
  <si>
    <t>TOCINO</t>
  </si>
  <si>
    <t>QUESO DABEHE</t>
  </si>
  <si>
    <t>QUESO ROMANCE</t>
  </si>
  <si>
    <t>QUESO FRESCO ARTESANAL</t>
  </si>
  <si>
    <t>BOURSIN TUBO</t>
  </si>
  <si>
    <t>QUESO REDONDO PZA</t>
  </si>
  <si>
    <t>PAQUETE ESPECIAL</t>
  </si>
  <si>
    <t>PAQUETE PARRILLERO ESPE</t>
  </si>
  <si>
    <t>EMPANADA ARGENTINA</t>
  </si>
  <si>
    <t>PANZA CAJA</t>
  </si>
  <si>
    <t>PAPA RECTA</t>
  </si>
  <si>
    <t>CAMARON 21-25</t>
  </si>
  <si>
    <t>CAMARON U-12</t>
  </si>
  <si>
    <t>CAMARON U-10</t>
  </si>
  <si>
    <t>CAMARON 16-20</t>
  </si>
  <si>
    <t>CAMARON U-15</t>
  </si>
  <si>
    <t>CAMAROM 21-25</t>
  </si>
  <si>
    <t>CAMARON 10-20</t>
  </si>
  <si>
    <t>NUGGETS</t>
  </si>
  <si>
    <t>COLIFLOR EMPANIZADA</t>
  </si>
  <si>
    <t>PESCUEZO</t>
  </si>
  <si>
    <t>MIXIOTE</t>
  </si>
  <si>
    <t>JAMON C/H</t>
  </si>
  <si>
    <t>CARBON</t>
  </si>
  <si>
    <t>TOMAHAWK DE PCO</t>
  </si>
  <si>
    <t>RIB-EYE ROLL</t>
  </si>
  <si>
    <t>CAMARON C/C 10-20</t>
  </si>
  <si>
    <t>PAPAS ONDULADAS</t>
  </si>
  <si>
    <t>PAPAS GAJO</t>
  </si>
  <si>
    <t>PALITOS DE QUESO</t>
  </si>
  <si>
    <t>PAPAS RECTAS</t>
  </si>
  <si>
    <t>INVENTARIO 01 DE MAYO</t>
  </si>
  <si>
    <t>QUESO COMQUE</t>
  </si>
  <si>
    <t>MINI PIZZAS</t>
  </si>
  <si>
    <t>ALITAS FOSTER</t>
  </si>
  <si>
    <t>BARBACOA</t>
  </si>
  <si>
    <t>MACHA 100G</t>
  </si>
  <si>
    <t>MACHA 200G</t>
  </si>
  <si>
    <t>CABRERIA VISA DEL NORTE</t>
  </si>
  <si>
    <t>TILAPIA POR CAJA</t>
  </si>
  <si>
    <t>BONELESS</t>
  </si>
  <si>
    <t>PECHO DE RES</t>
  </si>
  <si>
    <t>CORTES MADURADOS</t>
  </si>
  <si>
    <t>COSTILLA CARGADA</t>
  </si>
  <si>
    <t>BANDERA</t>
  </si>
  <si>
    <t>HUESO DE RES</t>
  </si>
  <si>
    <t>CODOS</t>
  </si>
  <si>
    <t>RETAZO DE POLLO</t>
  </si>
  <si>
    <t>VALOR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</si>
</sst>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FF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164" fontId="6" fillId="0" borderId="0" xfId="0" applyNumberFormat="1" applyFont="1"/>
    <xf numFmtId="0" fontId="4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Font="1"/>
    <xf numFmtId="0" fontId="0" fillId="5" borderId="0" xfId="0" applyFill="1"/>
    <xf numFmtId="0" fontId="0" fillId="8" borderId="0" xfId="0" applyFill="1"/>
    <xf numFmtId="0" fontId="0" fillId="7" borderId="0" xfId="0" applyFill="1" applyAlignment="1">
      <alignment wrapText="1"/>
    </xf>
    <xf numFmtId="0" fontId="0" fillId="7" borderId="0" xfId="0" applyFont="1" applyFill="1" applyAlignment="1">
      <alignment wrapText="1"/>
    </xf>
    <xf numFmtId="2" fontId="0" fillId="6" borderId="0" xfId="0" applyNumberFormat="1" applyFill="1"/>
    <xf numFmtId="2" fontId="0" fillId="9" borderId="0" xfId="0" applyNumberFormat="1" applyFill="1"/>
    <xf numFmtId="2" fontId="0" fillId="9" borderId="0" xfId="1" applyNumberFormat="1" applyFont="1" applyFill="1"/>
    <xf numFmtId="2" fontId="0" fillId="9" borderId="0" xfId="0" applyNumberFormat="1" applyFont="1" applyFill="1"/>
    <xf numFmtId="2" fontId="5" fillId="0" borderId="0" xfId="0" applyNumberFormat="1" applyFont="1" applyFill="1"/>
    <xf numFmtId="0" fontId="7" fillId="12" borderId="2" xfId="0" applyFont="1" applyFill="1" applyBorder="1" applyAlignment="1">
      <alignment horizontal="center" vertical="center" wrapText="1"/>
    </xf>
    <xf numFmtId="2" fontId="0" fillId="10" borderId="0" xfId="0" applyNumberFormat="1" applyFill="1"/>
    <xf numFmtId="0" fontId="0" fillId="0" borderId="0" xfId="0" applyFill="1"/>
    <xf numFmtId="0" fontId="7" fillId="13" borderId="2" xfId="0" applyFont="1" applyFill="1" applyBorder="1" applyAlignment="1">
      <alignment horizontal="left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4" fillId="11" borderId="0" xfId="0" applyFont="1" applyFill="1" applyAlignment="1">
      <alignment horizontal="right" wrapText="1"/>
    </xf>
    <xf numFmtId="2" fontId="5" fillId="2" borderId="0" xfId="0" applyNumberFormat="1" applyFont="1" applyFill="1"/>
    <xf numFmtId="164" fontId="6" fillId="14" borderId="0" xfId="0" applyNumberFormat="1" applyFont="1" applyFill="1"/>
    <xf numFmtId="0" fontId="10" fillId="0" borderId="0" xfId="0" applyFont="1" applyAlignment="1">
      <alignment horizontal="right"/>
    </xf>
    <xf numFmtId="0" fontId="9" fillId="5" borderId="0" xfId="0" applyFont="1" applyFill="1"/>
    <xf numFmtId="0" fontId="6" fillId="2" borderId="0" xfId="0" applyNumberFormat="1" applyFont="1" applyFill="1"/>
    <xf numFmtId="0" fontId="9" fillId="12" borderId="1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left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0" fontId="4" fillId="5" borderId="0" xfId="0" applyFont="1" applyFill="1"/>
    <xf numFmtId="0" fontId="4" fillId="5" borderId="1" xfId="0" applyFont="1" applyFill="1" applyBorder="1" applyAlignment="1">
      <alignment horizontal="center"/>
    </xf>
    <xf numFmtId="0" fontId="4" fillId="8" borderId="0" xfId="0" applyFont="1" applyFill="1"/>
    <xf numFmtId="164" fontId="0" fillId="10" borderId="0" xfId="0" applyNumberFormat="1" applyFill="1"/>
    <xf numFmtId="164" fontId="5" fillId="0" borderId="0" xfId="2" applyNumberFormat="1" applyFont="1" applyFill="1"/>
    <xf numFmtId="164" fontId="5" fillId="14" borderId="0" xfId="2" applyNumberFormat="1" applyFont="1" applyFill="1"/>
    <xf numFmtId="164" fontId="5" fillId="0" borderId="0" xfId="0" applyNumberFormat="1" applyFont="1" applyFill="1"/>
    <xf numFmtId="164" fontId="0" fillId="10" borderId="0" xfId="0" applyNumberFormat="1" applyFont="1" applyFill="1"/>
    <xf numFmtId="164" fontId="0" fillId="6" borderId="0" xfId="0" applyNumberFormat="1" applyFill="1"/>
    <xf numFmtId="2" fontId="0" fillId="9" borderId="0" xfId="0" applyNumberFormat="1" applyFill="1" applyAlignment="1">
      <alignment horizontal="right"/>
    </xf>
    <xf numFmtId="2" fontId="6" fillId="0" borderId="0" xfId="0" applyNumberFormat="1" applyFont="1" applyFill="1"/>
    <xf numFmtId="0" fontId="0" fillId="15" borderId="0" xfId="0" applyFill="1" applyAlignment="1">
      <alignment wrapText="1"/>
    </xf>
    <xf numFmtId="0" fontId="0" fillId="15" borderId="0" xfId="0" applyFont="1" applyFill="1" applyAlignment="1">
      <alignment wrapText="1"/>
    </xf>
    <xf numFmtId="0" fontId="0" fillId="13" borderId="0" xfId="0" applyFill="1" applyAlignment="1">
      <alignment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2" fontId="0" fillId="0" borderId="0" xfId="0" applyNumberFormat="1" applyFill="1"/>
    <xf numFmtId="164" fontId="0" fillId="0" borderId="0" xfId="0" applyNumberFormat="1" applyFill="1"/>
    <xf numFmtId="2" fontId="0" fillId="0" borderId="0" xfId="1" applyNumberFormat="1" applyFont="1" applyFill="1"/>
    <xf numFmtId="2" fontId="0" fillId="0" borderId="0" xfId="0" applyNumberFormat="1" applyFont="1" applyFill="1"/>
    <xf numFmtId="164" fontId="0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6" fillId="0" borderId="0" xfId="0" applyNumberFormat="1" applyFont="1" applyFill="1"/>
    <xf numFmtId="164" fontId="6" fillId="0" borderId="0" xfId="0" applyNumberFormat="1" applyFont="1" applyFill="1"/>
    <xf numFmtId="0" fontId="10" fillId="0" borderId="0" xfId="0" applyFont="1" applyFill="1" applyAlignment="1">
      <alignment horizontal="right"/>
    </xf>
    <xf numFmtId="0" fontId="7" fillId="16" borderId="2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8" fillId="13" borderId="0" xfId="0" applyFont="1" applyFill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164" fontId="7" fillId="17" borderId="0" xfId="0" applyNumberFormat="1" applyFont="1" applyFill="1"/>
    <xf numFmtId="2" fontId="4" fillId="17" borderId="0" xfId="0" applyNumberFormat="1" applyFont="1" applyFill="1"/>
    <xf numFmtId="164" fontId="4" fillId="17" borderId="0" xfId="0" applyNumberFormat="1" applyFont="1" applyFill="1"/>
    <xf numFmtId="2" fontId="4" fillId="17" borderId="0" xfId="0" applyNumberFormat="1" applyFont="1" applyFill="1" applyAlignment="1">
      <alignment horizontal="right"/>
    </xf>
    <xf numFmtId="164" fontId="7" fillId="18" borderId="0" xfId="0" applyNumberFormat="1" applyFont="1" applyFill="1"/>
    <xf numFmtId="2" fontId="4" fillId="19" borderId="0" xfId="0" applyNumberFormat="1" applyFont="1" applyFill="1"/>
    <xf numFmtId="164" fontId="4" fillId="19" borderId="0" xfId="0" applyNumberFormat="1" applyFont="1" applyFill="1"/>
    <xf numFmtId="164" fontId="11" fillId="18" borderId="5" xfId="0" applyNumberFormat="1" applyFont="1" applyFill="1" applyBorder="1" applyAlignment="1">
      <alignment horizontal="center"/>
    </xf>
    <xf numFmtId="0" fontId="11" fillId="18" borderId="6" xfId="0" applyFont="1" applyFill="1" applyBorder="1" applyAlignment="1">
      <alignment horizontal="center"/>
    </xf>
    <xf numFmtId="0" fontId="3" fillId="17" borderId="7" xfId="0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3" fillId="17" borderId="9" xfId="0" applyFont="1" applyFill="1" applyBorder="1" applyAlignment="1">
      <alignment horizontal="center" vertical="center"/>
    </xf>
    <xf numFmtId="0" fontId="3" fillId="17" borderId="10" xfId="0" applyFont="1" applyFill="1" applyBorder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33CCFF"/>
      <color rgb="FF0000FF"/>
      <color rgb="FFFF6600"/>
      <color rgb="FFFF3300"/>
      <color rgb="FFFF9900"/>
      <color rgb="FF5242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1</xdr:rowOff>
    </xdr:from>
    <xdr:to>
      <xdr:col>4</xdr:col>
      <xdr:colOff>1095375</xdr:colOff>
      <xdr:row>2</xdr:row>
      <xdr:rowOff>9525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6350" y="1"/>
          <a:ext cx="647700" cy="64769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1</xdr:rowOff>
    </xdr:from>
    <xdr:to>
      <xdr:col>4</xdr:col>
      <xdr:colOff>1076325</xdr:colOff>
      <xdr:row>1</xdr:row>
      <xdr:rowOff>295275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025" y="1"/>
          <a:ext cx="628650" cy="62864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zoomScale="87" zoomScaleNormal="87" workbookViewId="0">
      <selection activeCell="K27" sqref="K27"/>
    </sheetView>
  </sheetViews>
  <sheetFormatPr baseColWidth="10" defaultRowHeight="15" x14ac:dyDescent="0.25"/>
  <cols>
    <col min="1" max="1" width="5.5703125" customWidth="1"/>
    <col min="2" max="2" width="37" style="1" customWidth="1"/>
    <col min="3" max="3" width="14.140625" bestFit="1" customWidth="1"/>
    <col min="4" max="4" width="13.85546875" bestFit="1" customWidth="1"/>
    <col min="5" max="5" width="18.7109375" customWidth="1"/>
  </cols>
  <sheetData>
    <row r="1" spans="1:7" ht="26.25" customHeight="1" x14ac:dyDescent="0.4">
      <c r="A1" s="59" t="s">
        <v>272</v>
      </c>
      <c r="B1" s="59"/>
      <c r="C1" s="59"/>
      <c r="D1" s="59"/>
      <c r="E1" s="59"/>
      <c r="F1" s="4"/>
      <c r="G1" s="4"/>
    </row>
    <row r="2" spans="1:7" ht="24" thickBot="1" x14ac:dyDescent="0.4">
      <c r="A2" s="60" t="s">
        <v>0</v>
      </c>
      <c r="B2" s="60"/>
      <c r="C2" s="60"/>
      <c r="D2" s="60"/>
      <c r="E2" s="60"/>
      <c r="F2" s="5"/>
      <c r="G2" s="5"/>
    </row>
    <row r="3" spans="1:7" ht="20.25" customHeight="1" thickBot="1" x14ac:dyDescent="0.3">
      <c r="A3" s="28"/>
      <c r="B3" s="29" t="s">
        <v>1</v>
      </c>
      <c r="C3" s="16" t="s">
        <v>2</v>
      </c>
      <c r="D3" s="16" t="s">
        <v>3</v>
      </c>
      <c r="E3" s="30" t="s">
        <v>4</v>
      </c>
    </row>
    <row r="4" spans="1:7" x14ac:dyDescent="0.25">
      <c r="A4" s="31">
        <v>1</v>
      </c>
      <c r="B4" s="9" t="s">
        <v>101</v>
      </c>
      <c r="C4" s="12">
        <f>7.76+1.046+42.2</f>
        <v>51.006</v>
      </c>
      <c r="D4" s="35">
        <v>170</v>
      </c>
      <c r="E4" s="40">
        <f>C4*D4</f>
        <v>8671.02</v>
      </c>
    </row>
    <row r="5" spans="1:7" x14ac:dyDescent="0.25">
      <c r="A5" s="31">
        <v>2</v>
      </c>
      <c r="B5" s="9" t="s">
        <v>103</v>
      </c>
      <c r="C5" s="12">
        <f>1.5+4.78</f>
        <v>6.28</v>
      </c>
      <c r="D5" s="35">
        <v>118</v>
      </c>
      <c r="E5" s="40">
        <f t="shared" ref="E5:E40" si="0">C5*D5</f>
        <v>741.04000000000008</v>
      </c>
    </row>
    <row r="6" spans="1:7" x14ac:dyDescent="0.25">
      <c r="A6" s="31">
        <v>3</v>
      </c>
      <c r="B6" s="9" t="s">
        <v>102</v>
      </c>
      <c r="C6" s="12">
        <f>15.44+39.8+5.1</f>
        <v>60.339999999999996</v>
      </c>
      <c r="D6" s="35">
        <v>94</v>
      </c>
      <c r="E6" s="40">
        <f t="shared" si="0"/>
        <v>5671.96</v>
      </c>
    </row>
    <row r="7" spans="1:7" x14ac:dyDescent="0.25">
      <c r="A7" s="31">
        <v>4</v>
      </c>
      <c r="B7" s="9" t="s">
        <v>104</v>
      </c>
      <c r="C7" s="12">
        <v>2.75</v>
      </c>
      <c r="D7" s="35">
        <v>116</v>
      </c>
      <c r="E7" s="40">
        <f t="shared" si="0"/>
        <v>319</v>
      </c>
    </row>
    <row r="8" spans="1:7" x14ac:dyDescent="0.25">
      <c r="A8" s="31">
        <v>5</v>
      </c>
      <c r="B8" s="9" t="s">
        <v>105</v>
      </c>
      <c r="C8" s="12">
        <v>2.0499999999999998</v>
      </c>
      <c r="D8" s="35">
        <v>98</v>
      </c>
      <c r="E8" s="40">
        <f t="shared" si="0"/>
        <v>200.89999999999998</v>
      </c>
    </row>
    <row r="9" spans="1:7" x14ac:dyDescent="0.25">
      <c r="A9" s="31">
        <v>6</v>
      </c>
      <c r="B9" s="9" t="s">
        <v>106</v>
      </c>
      <c r="C9" s="12">
        <f>3.175+21+3.5+12.56</f>
        <v>40.234999999999999</v>
      </c>
      <c r="D9" s="35">
        <v>95</v>
      </c>
      <c r="E9" s="40">
        <f t="shared" si="0"/>
        <v>3822.3249999999998</v>
      </c>
    </row>
    <row r="10" spans="1:7" x14ac:dyDescent="0.25">
      <c r="A10" s="31">
        <v>9</v>
      </c>
      <c r="B10" s="9" t="s">
        <v>107</v>
      </c>
      <c r="C10" s="12">
        <v>5.2880000000000003</v>
      </c>
      <c r="D10" s="35">
        <v>400</v>
      </c>
      <c r="E10" s="40">
        <f t="shared" si="0"/>
        <v>2115.2000000000003</v>
      </c>
    </row>
    <row r="11" spans="1:7" x14ac:dyDescent="0.25">
      <c r="A11" s="31">
        <v>10</v>
      </c>
      <c r="B11" s="9" t="s">
        <v>108</v>
      </c>
      <c r="C11" s="12">
        <v>0</v>
      </c>
      <c r="D11" s="35">
        <v>400</v>
      </c>
      <c r="E11" s="40">
        <f t="shared" si="0"/>
        <v>0</v>
      </c>
    </row>
    <row r="12" spans="1:7" x14ac:dyDescent="0.25">
      <c r="A12" s="31">
        <v>11</v>
      </c>
      <c r="B12" s="9" t="s">
        <v>5</v>
      </c>
      <c r="C12" s="12">
        <v>0</v>
      </c>
      <c r="D12" s="35">
        <v>400</v>
      </c>
      <c r="E12" s="40">
        <f t="shared" si="0"/>
        <v>0</v>
      </c>
    </row>
    <row r="13" spans="1:7" x14ac:dyDescent="0.25">
      <c r="A13" s="31">
        <v>12</v>
      </c>
      <c r="B13" s="9" t="s">
        <v>109</v>
      </c>
      <c r="C13" s="12">
        <v>0.63200000000000001</v>
      </c>
      <c r="D13" s="35">
        <v>400</v>
      </c>
      <c r="E13" s="40">
        <f t="shared" si="0"/>
        <v>252.8</v>
      </c>
    </row>
    <row r="14" spans="1:7" x14ac:dyDescent="0.25">
      <c r="A14" s="31">
        <v>13</v>
      </c>
      <c r="B14" s="9" t="s">
        <v>128</v>
      </c>
      <c r="C14" s="12">
        <v>2</v>
      </c>
      <c r="D14" s="35">
        <v>2000</v>
      </c>
      <c r="E14" s="40">
        <f t="shared" si="0"/>
        <v>4000</v>
      </c>
    </row>
    <row r="15" spans="1:7" x14ac:dyDescent="0.25">
      <c r="A15" s="31">
        <v>14</v>
      </c>
      <c r="B15" s="9" t="s">
        <v>127</v>
      </c>
      <c r="C15" s="12">
        <v>1.944</v>
      </c>
      <c r="D15" s="35">
        <v>630</v>
      </c>
      <c r="E15" s="40">
        <f t="shared" si="0"/>
        <v>1224.72</v>
      </c>
    </row>
    <row r="16" spans="1:7" x14ac:dyDescent="0.25">
      <c r="A16" s="31">
        <v>15</v>
      </c>
      <c r="B16" s="9" t="s">
        <v>96</v>
      </c>
      <c r="C16" s="12">
        <v>3.5539999999999998</v>
      </c>
      <c r="D16" s="35">
        <v>110</v>
      </c>
      <c r="E16" s="40">
        <f t="shared" si="0"/>
        <v>390.94</v>
      </c>
    </row>
    <row r="17" spans="1:5" x14ac:dyDescent="0.25">
      <c r="A17" s="31">
        <v>16</v>
      </c>
      <c r="B17" s="9" t="s">
        <v>7</v>
      </c>
      <c r="C17" s="12">
        <v>3</v>
      </c>
      <c r="D17" s="35">
        <v>165</v>
      </c>
      <c r="E17" s="40">
        <f t="shared" si="0"/>
        <v>495</v>
      </c>
    </row>
    <row r="18" spans="1:5" x14ac:dyDescent="0.25">
      <c r="A18" s="31">
        <v>17</v>
      </c>
      <c r="B18" s="9" t="s">
        <v>6</v>
      </c>
      <c r="C18" s="12">
        <v>0</v>
      </c>
      <c r="D18" s="35">
        <v>12</v>
      </c>
      <c r="E18" s="40">
        <f t="shared" si="0"/>
        <v>0</v>
      </c>
    </row>
    <row r="19" spans="1:5" x14ac:dyDescent="0.25">
      <c r="A19" s="31">
        <v>18</v>
      </c>
      <c r="B19" s="9" t="s">
        <v>94</v>
      </c>
      <c r="C19" s="12">
        <v>0</v>
      </c>
      <c r="D19" s="35">
        <v>50</v>
      </c>
      <c r="E19" s="40">
        <f t="shared" si="0"/>
        <v>0</v>
      </c>
    </row>
    <row r="20" spans="1:5" x14ac:dyDescent="0.25">
      <c r="A20" s="31">
        <v>19</v>
      </c>
      <c r="B20" s="9" t="s">
        <v>129</v>
      </c>
      <c r="C20" s="12">
        <v>0</v>
      </c>
      <c r="D20" s="35">
        <v>75</v>
      </c>
      <c r="E20" s="40">
        <f t="shared" si="0"/>
        <v>0</v>
      </c>
    </row>
    <row r="21" spans="1:5" x14ac:dyDescent="0.25">
      <c r="A21" s="31">
        <v>20</v>
      </c>
      <c r="B21" s="9" t="s">
        <v>20</v>
      </c>
      <c r="C21" s="12">
        <v>0</v>
      </c>
      <c r="D21" s="35">
        <v>46</v>
      </c>
      <c r="E21" s="40">
        <f t="shared" si="0"/>
        <v>0</v>
      </c>
    </row>
    <row r="22" spans="1:5" x14ac:dyDescent="0.25">
      <c r="A22" s="31">
        <v>21</v>
      </c>
      <c r="B22" s="9" t="s">
        <v>8</v>
      </c>
      <c r="C22" s="12">
        <v>10</v>
      </c>
      <c r="D22" s="35">
        <v>59</v>
      </c>
      <c r="E22" s="40">
        <f t="shared" si="0"/>
        <v>590</v>
      </c>
    </row>
    <row r="23" spans="1:5" x14ac:dyDescent="0.25">
      <c r="A23" s="31">
        <v>22</v>
      </c>
      <c r="B23" s="9" t="s">
        <v>9</v>
      </c>
      <c r="C23" s="12">
        <v>7</v>
      </c>
      <c r="D23" s="35">
        <v>82</v>
      </c>
      <c r="E23" s="40">
        <f t="shared" si="0"/>
        <v>574</v>
      </c>
    </row>
    <row r="24" spans="1:5" x14ac:dyDescent="0.25">
      <c r="A24" s="31">
        <v>23</v>
      </c>
      <c r="B24" s="9" t="s">
        <v>10</v>
      </c>
      <c r="C24" s="12">
        <v>4</v>
      </c>
      <c r="D24" s="35">
        <v>82</v>
      </c>
      <c r="E24" s="40">
        <f t="shared" si="0"/>
        <v>328</v>
      </c>
    </row>
    <row r="25" spans="1:5" x14ac:dyDescent="0.25">
      <c r="A25" s="31">
        <v>24</v>
      </c>
      <c r="B25" s="9" t="s">
        <v>11</v>
      </c>
      <c r="C25" s="12">
        <v>7</v>
      </c>
      <c r="D25" s="35">
        <v>66</v>
      </c>
      <c r="E25" s="40">
        <f t="shared" si="0"/>
        <v>462</v>
      </c>
    </row>
    <row r="26" spans="1:5" x14ac:dyDescent="0.25">
      <c r="A26" s="31">
        <v>25</v>
      </c>
      <c r="B26" s="9" t="s">
        <v>130</v>
      </c>
      <c r="C26" s="12">
        <v>0</v>
      </c>
      <c r="D26" s="35">
        <v>88</v>
      </c>
      <c r="E26" s="40">
        <f>C26*D26</f>
        <v>0</v>
      </c>
    </row>
    <row r="27" spans="1:5" x14ac:dyDescent="0.25">
      <c r="A27" s="31">
        <v>26</v>
      </c>
      <c r="B27" s="9" t="s">
        <v>273</v>
      </c>
      <c r="C27" s="12">
        <v>7</v>
      </c>
      <c r="D27" s="35">
        <v>12</v>
      </c>
      <c r="E27" s="40">
        <f t="shared" si="0"/>
        <v>84</v>
      </c>
    </row>
    <row r="28" spans="1:5" x14ac:dyDescent="0.25">
      <c r="A28" s="31">
        <v>28</v>
      </c>
      <c r="B28" s="9" t="s">
        <v>12</v>
      </c>
      <c r="C28" s="12">
        <v>1</v>
      </c>
      <c r="D28" s="35">
        <v>46</v>
      </c>
      <c r="E28" s="40">
        <f t="shared" si="0"/>
        <v>46</v>
      </c>
    </row>
    <row r="29" spans="1:5" ht="15.75" customHeight="1" x14ac:dyDescent="0.25">
      <c r="A29" s="31">
        <v>29</v>
      </c>
      <c r="B29" s="9" t="s">
        <v>13</v>
      </c>
      <c r="C29" s="12">
        <v>1</v>
      </c>
      <c r="D29" s="35">
        <v>42</v>
      </c>
      <c r="E29" s="40">
        <f t="shared" si="0"/>
        <v>42</v>
      </c>
    </row>
    <row r="30" spans="1:5" x14ac:dyDescent="0.25">
      <c r="A30" s="31">
        <v>30</v>
      </c>
      <c r="B30" s="9" t="s">
        <v>131</v>
      </c>
      <c r="C30" s="12">
        <f>4.01+2.6</f>
        <v>6.6099999999999994</v>
      </c>
      <c r="D30" s="35">
        <v>104</v>
      </c>
      <c r="E30" s="40">
        <f t="shared" si="0"/>
        <v>687.43999999999994</v>
      </c>
    </row>
    <row r="31" spans="1:5" x14ac:dyDescent="0.25">
      <c r="A31" s="31">
        <v>31</v>
      </c>
      <c r="B31" s="9" t="s">
        <v>132</v>
      </c>
      <c r="C31" s="12">
        <f>1.5+3.82</f>
        <v>5.32</v>
      </c>
      <c r="D31" s="35">
        <v>590</v>
      </c>
      <c r="E31" s="40">
        <f t="shared" si="0"/>
        <v>3138.8</v>
      </c>
    </row>
    <row r="32" spans="1:5" x14ac:dyDescent="0.25">
      <c r="A32" s="31">
        <v>32</v>
      </c>
      <c r="B32" s="9" t="s">
        <v>133</v>
      </c>
      <c r="C32" s="12">
        <v>6.08</v>
      </c>
      <c r="D32" s="35">
        <v>103</v>
      </c>
      <c r="E32" s="40">
        <f t="shared" si="0"/>
        <v>626.24</v>
      </c>
    </row>
    <row r="33" spans="1:5" x14ac:dyDescent="0.25">
      <c r="A33" s="31">
        <v>33</v>
      </c>
      <c r="B33" s="9" t="s">
        <v>134</v>
      </c>
      <c r="C33" s="12">
        <v>2.86</v>
      </c>
      <c r="D33" s="35">
        <v>120</v>
      </c>
      <c r="E33" s="40">
        <f t="shared" si="0"/>
        <v>343.2</v>
      </c>
    </row>
    <row r="34" spans="1:5" x14ac:dyDescent="0.25">
      <c r="A34" s="31">
        <v>34</v>
      </c>
      <c r="B34" s="9" t="s">
        <v>135</v>
      </c>
      <c r="C34" s="12">
        <f>0.6+11.62</f>
        <v>12.219999999999999</v>
      </c>
      <c r="D34" s="35">
        <v>315</v>
      </c>
      <c r="E34" s="40">
        <f t="shared" si="0"/>
        <v>3849.2999999999997</v>
      </c>
    </row>
    <row r="35" spans="1:5" x14ac:dyDescent="0.25">
      <c r="A35" s="31">
        <v>35</v>
      </c>
      <c r="B35" s="9" t="s">
        <v>136</v>
      </c>
      <c r="C35" s="12">
        <f>1.6+0.77+0.766+4.84</f>
        <v>7.976</v>
      </c>
      <c r="D35" s="35">
        <v>160</v>
      </c>
      <c r="E35" s="40">
        <f t="shared" si="0"/>
        <v>1276.1600000000001</v>
      </c>
    </row>
    <row r="36" spans="1:5" x14ac:dyDescent="0.25">
      <c r="A36" s="31">
        <v>36</v>
      </c>
      <c r="B36" s="9" t="s">
        <v>137</v>
      </c>
      <c r="C36" s="12">
        <v>3.085</v>
      </c>
      <c r="D36" s="35">
        <v>112</v>
      </c>
      <c r="E36" s="40">
        <f t="shared" si="0"/>
        <v>345.52</v>
      </c>
    </row>
    <row r="37" spans="1:5" x14ac:dyDescent="0.25">
      <c r="A37" s="31">
        <v>37</v>
      </c>
      <c r="B37" s="9" t="s">
        <v>138</v>
      </c>
      <c r="C37" s="12">
        <v>0</v>
      </c>
      <c r="D37" s="35">
        <v>24</v>
      </c>
      <c r="E37" s="40">
        <f t="shared" si="0"/>
        <v>0</v>
      </c>
    </row>
    <row r="38" spans="1:5" x14ac:dyDescent="0.25">
      <c r="A38" s="31">
        <v>38</v>
      </c>
      <c r="B38" s="9" t="s">
        <v>139</v>
      </c>
      <c r="C38" s="12">
        <v>0.434</v>
      </c>
      <c r="D38" s="35">
        <v>160</v>
      </c>
      <c r="E38" s="40">
        <f t="shared" si="0"/>
        <v>69.44</v>
      </c>
    </row>
    <row r="39" spans="1:5" x14ac:dyDescent="0.25">
      <c r="A39" s="31">
        <v>39</v>
      </c>
      <c r="B39" s="9" t="s">
        <v>140</v>
      </c>
      <c r="C39" s="12">
        <v>9</v>
      </c>
      <c r="D39" s="35">
        <v>70</v>
      </c>
      <c r="E39" s="40">
        <f t="shared" si="0"/>
        <v>630</v>
      </c>
    </row>
    <row r="40" spans="1:5" x14ac:dyDescent="0.25">
      <c r="A40" s="31">
        <v>40</v>
      </c>
      <c r="B40" s="9" t="s">
        <v>141</v>
      </c>
      <c r="C40" s="12">
        <f>49.19+2.46+19.82+0.76+10.2</f>
        <v>82.43</v>
      </c>
      <c r="D40" s="35">
        <v>140</v>
      </c>
      <c r="E40" s="40">
        <f t="shared" si="0"/>
        <v>11540.2</v>
      </c>
    </row>
    <row r="41" spans="1:5" x14ac:dyDescent="0.25">
      <c r="A41" s="31">
        <v>43</v>
      </c>
      <c r="B41" s="9" t="s">
        <v>142</v>
      </c>
      <c r="C41" s="12">
        <v>12</v>
      </c>
      <c r="D41" s="35">
        <v>50</v>
      </c>
      <c r="E41" s="40">
        <f t="shared" ref="E41:E64" si="1">C41*D41</f>
        <v>600</v>
      </c>
    </row>
    <row r="42" spans="1:5" x14ac:dyDescent="0.25">
      <c r="A42" s="31">
        <v>44</v>
      </c>
      <c r="B42" s="9" t="s">
        <v>143</v>
      </c>
      <c r="C42" s="12">
        <f>3.38+5.76</f>
        <v>9.14</v>
      </c>
      <c r="D42" s="35">
        <v>590</v>
      </c>
      <c r="E42" s="40">
        <f t="shared" si="1"/>
        <v>5392.6</v>
      </c>
    </row>
    <row r="43" spans="1:5" x14ac:dyDescent="0.25">
      <c r="A43" s="31">
        <v>45</v>
      </c>
      <c r="B43" s="9" t="s">
        <v>144</v>
      </c>
      <c r="C43" s="12">
        <v>0</v>
      </c>
      <c r="D43" s="35">
        <v>90</v>
      </c>
      <c r="E43" s="40">
        <f t="shared" si="1"/>
        <v>0</v>
      </c>
    </row>
    <row r="44" spans="1:5" ht="15.75" thickBot="1" x14ac:dyDescent="0.3">
      <c r="A44" s="7">
        <v>41</v>
      </c>
      <c r="B44" s="22" t="s">
        <v>17</v>
      </c>
      <c r="C44" s="23">
        <f>SUM(C8:C43)</f>
        <v>252.858</v>
      </c>
      <c r="D44" s="15"/>
      <c r="E44" s="37">
        <f>SUM(E4:E43)</f>
        <v>58529.805</v>
      </c>
    </row>
    <row r="45" spans="1:5" ht="31.5" customHeight="1" thickBot="1" x14ac:dyDescent="0.3">
      <c r="A45" s="7">
        <v>42</v>
      </c>
      <c r="B45" s="19" t="s">
        <v>1</v>
      </c>
      <c r="C45" s="20" t="s">
        <v>2</v>
      </c>
      <c r="D45" s="20" t="s">
        <v>3</v>
      </c>
      <c r="E45" s="21" t="s">
        <v>4</v>
      </c>
    </row>
    <row r="46" spans="1:5" x14ac:dyDescent="0.25">
      <c r="A46" s="31">
        <v>46</v>
      </c>
      <c r="B46" s="9" t="s">
        <v>14</v>
      </c>
      <c r="C46" s="12">
        <v>9</v>
      </c>
      <c r="D46" s="35">
        <v>165</v>
      </c>
      <c r="E46" s="40">
        <f t="shared" si="1"/>
        <v>1485</v>
      </c>
    </row>
    <row r="47" spans="1:5" x14ac:dyDescent="0.25">
      <c r="A47" s="31">
        <v>47</v>
      </c>
      <c r="B47" s="9" t="s">
        <v>55</v>
      </c>
      <c r="C47" s="12">
        <f>47+273.8+3820.22</f>
        <v>4141.0199999999995</v>
      </c>
      <c r="D47" s="35">
        <v>125</v>
      </c>
      <c r="E47" s="40">
        <f t="shared" si="1"/>
        <v>517627.49999999994</v>
      </c>
    </row>
    <row r="48" spans="1:5" x14ac:dyDescent="0.25">
      <c r="A48" s="31">
        <v>49</v>
      </c>
      <c r="B48" s="9" t="s">
        <v>145</v>
      </c>
      <c r="C48" s="12">
        <f>14.7+0.24</f>
        <v>14.94</v>
      </c>
      <c r="D48" s="35">
        <v>88</v>
      </c>
      <c r="E48" s="40">
        <f t="shared" si="1"/>
        <v>1314.72</v>
      </c>
    </row>
    <row r="49" spans="1:7" x14ac:dyDescent="0.25">
      <c r="A49" s="31">
        <v>50</v>
      </c>
      <c r="B49" s="9" t="s">
        <v>146</v>
      </c>
      <c r="C49" s="12">
        <f>14.5+0.4</f>
        <v>14.9</v>
      </c>
      <c r="D49" s="35">
        <v>88</v>
      </c>
      <c r="E49" s="40">
        <f t="shared" si="1"/>
        <v>1311.2</v>
      </c>
    </row>
    <row r="50" spans="1:7" x14ac:dyDescent="0.25">
      <c r="A50" s="31">
        <v>51</v>
      </c>
      <c r="B50" s="9" t="s">
        <v>147</v>
      </c>
      <c r="C50" s="12">
        <v>3.58</v>
      </c>
      <c r="D50" s="35">
        <v>214</v>
      </c>
      <c r="E50" s="40">
        <f t="shared" si="1"/>
        <v>766.12</v>
      </c>
    </row>
    <row r="51" spans="1:7" x14ac:dyDescent="0.25">
      <c r="A51" s="31">
        <v>52</v>
      </c>
      <c r="B51" s="9" t="s">
        <v>148</v>
      </c>
      <c r="C51" s="12">
        <f>3.27+13+19.98</f>
        <v>36.25</v>
      </c>
      <c r="D51" s="35">
        <v>100</v>
      </c>
      <c r="E51" s="40">
        <f t="shared" si="1"/>
        <v>3625</v>
      </c>
    </row>
    <row r="52" spans="1:7" x14ac:dyDescent="0.25">
      <c r="A52" s="31">
        <v>53</v>
      </c>
      <c r="B52" s="9" t="s">
        <v>149</v>
      </c>
      <c r="C52" s="12">
        <f>7.72+4.7</f>
        <v>12.42</v>
      </c>
      <c r="D52" s="35">
        <v>82</v>
      </c>
      <c r="E52" s="40">
        <f t="shared" si="1"/>
        <v>1018.4399999999999</v>
      </c>
      <c r="G52" t="s">
        <v>281</v>
      </c>
    </row>
    <row r="53" spans="1:7" x14ac:dyDescent="0.25">
      <c r="A53" s="31">
        <v>54</v>
      </c>
      <c r="B53" s="9" t="s">
        <v>150</v>
      </c>
      <c r="C53" s="12">
        <f>86.1+9.6+18.8+10.5+4.7</f>
        <v>129.69999999999999</v>
      </c>
      <c r="D53" s="35">
        <v>110</v>
      </c>
      <c r="E53" s="40">
        <f t="shared" si="1"/>
        <v>14266.999999999998</v>
      </c>
      <c r="G53">
        <v>5.62</v>
      </c>
    </row>
    <row r="54" spans="1:7" x14ac:dyDescent="0.25">
      <c r="A54" s="31">
        <v>55</v>
      </c>
      <c r="B54" s="9" t="s">
        <v>31</v>
      </c>
      <c r="C54" s="12">
        <f>5.5+20.83</f>
        <v>26.33</v>
      </c>
      <c r="D54" s="35">
        <v>175</v>
      </c>
      <c r="E54" s="40">
        <f t="shared" si="1"/>
        <v>4607.75</v>
      </c>
    </row>
    <row r="55" spans="1:7" x14ac:dyDescent="0.25">
      <c r="A55" s="31">
        <v>56</v>
      </c>
      <c r="B55" s="9" t="s">
        <v>32</v>
      </c>
      <c r="C55" s="12">
        <f>2.2+0.878+8.875+3.58</f>
        <v>15.532999999999999</v>
      </c>
      <c r="D55" s="35">
        <v>140</v>
      </c>
      <c r="E55" s="40">
        <f t="shared" si="1"/>
        <v>2174.62</v>
      </c>
    </row>
    <row r="56" spans="1:7" x14ac:dyDescent="0.25">
      <c r="A56" s="31">
        <v>57</v>
      </c>
      <c r="B56" s="9" t="s">
        <v>33</v>
      </c>
      <c r="C56" s="12">
        <f>36+50+4+6.76</f>
        <v>96.76</v>
      </c>
      <c r="D56" s="35">
        <v>74</v>
      </c>
      <c r="E56" s="40">
        <f t="shared" si="1"/>
        <v>7160.2400000000007</v>
      </c>
    </row>
    <row r="57" spans="1:7" x14ac:dyDescent="0.25">
      <c r="A57" s="31">
        <v>58</v>
      </c>
      <c r="B57" s="9" t="s">
        <v>34</v>
      </c>
      <c r="C57" s="12">
        <f>97+13.94</f>
        <v>110.94</v>
      </c>
      <c r="D57" s="35">
        <v>58</v>
      </c>
      <c r="E57" s="40">
        <f t="shared" si="1"/>
        <v>6434.5199999999995</v>
      </c>
    </row>
    <row r="58" spans="1:7" x14ac:dyDescent="0.25">
      <c r="A58" s="31">
        <v>59</v>
      </c>
      <c r="B58" s="9" t="s">
        <v>35</v>
      </c>
      <c r="C58" s="12">
        <f>46.3+44+30+2.64+9.46</f>
        <v>132.4</v>
      </c>
      <c r="D58" s="35">
        <v>58</v>
      </c>
      <c r="E58" s="40">
        <f t="shared" si="1"/>
        <v>7679.2000000000007</v>
      </c>
    </row>
    <row r="59" spans="1:7" x14ac:dyDescent="0.25">
      <c r="A59" s="31">
        <v>60</v>
      </c>
      <c r="B59" s="9" t="s">
        <v>36</v>
      </c>
      <c r="C59" s="12">
        <f>4+56+16+1.6+1.544</f>
        <v>79.143999999999991</v>
      </c>
      <c r="D59" s="35">
        <v>80</v>
      </c>
      <c r="E59" s="40">
        <f t="shared" si="1"/>
        <v>6331.5199999999995</v>
      </c>
    </row>
    <row r="60" spans="1:7" x14ac:dyDescent="0.25">
      <c r="A60" s="31">
        <v>61</v>
      </c>
      <c r="B60" s="9" t="s">
        <v>37</v>
      </c>
      <c r="C60" s="12">
        <v>10</v>
      </c>
      <c r="D60" s="35">
        <v>59</v>
      </c>
      <c r="E60" s="40">
        <f t="shared" si="1"/>
        <v>590</v>
      </c>
    </row>
    <row r="61" spans="1:7" x14ac:dyDescent="0.25">
      <c r="A61" s="31">
        <v>62</v>
      </c>
      <c r="B61" s="9" t="s">
        <v>15</v>
      </c>
      <c r="C61" s="12">
        <v>2</v>
      </c>
      <c r="D61" s="35">
        <v>43</v>
      </c>
      <c r="E61" s="40">
        <f t="shared" si="1"/>
        <v>86</v>
      </c>
    </row>
    <row r="62" spans="1:7" x14ac:dyDescent="0.25">
      <c r="A62" s="31">
        <v>63</v>
      </c>
      <c r="B62" s="9" t="s">
        <v>16</v>
      </c>
      <c r="C62" s="12">
        <v>3</v>
      </c>
      <c r="D62" s="35">
        <v>61</v>
      </c>
      <c r="E62" s="40">
        <f t="shared" si="1"/>
        <v>183</v>
      </c>
    </row>
    <row r="63" spans="1:7" x14ac:dyDescent="0.25">
      <c r="A63" s="31">
        <v>64</v>
      </c>
      <c r="B63" s="9" t="s">
        <v>18</v>
      </c>
      <c r="C63" s="12">
        <v>0.75</v>
      </c>
      <c r="D63" s="35">
        <v>137</v>
      </c>
      <c r="E63" s="40">
        <f t="shared" si="1"/>
        <v>102.75</v>
      </c>
    </row>
    <row r="64" spans="1:7" x14ac:dyDescent="0.25">
      <c r="A64" s="31">
        <v>65</v>
      </c>
      <c r="B64" s="9" t="s">
        <v>38</v>
      </c>
      <c r="C64" s="12">
        <v>11</v>
      </c>
      <c r="D64" s="35">
        <v>20</v>
      </c>
      <c r="E64" s="40">
        <f t="shared" si="1"/>
        <v>220</v>
      </c>
    </row>
    <row r="65" spans="1:5" x14ac:dyDescent="0.25">
      <c r="A65" s="31">
        <v>66</v>
      </c>
      <c r="B65" s="9" t="s">
        <v>39</v>
      </c>
      <c r="C65" s="12">
        <v>5</v>
      </c>
      <c r="D65" s="35">
        <v>26</v>
      </c>
      <c r="E65" s="40">
        <f t="shared" ref="E65:E76" si="2">C65*D65</f>
        <v>130</v>
      </c>
    </row>
    <row r="66" spans="1:5" x14ac:dyDescent="0.25">
      <c r="A66" s="31">
        <v>68</v>
      </c>
      <c r="B66" s="9" t="s">
        <v>40</v>
      </c>
      <c r="C66" s="12">
        <v>27</v>
      </c>
      <c r="D66" s="35">
        <v>60</v>
      </c>
      <c r="E66" s="40">
        <f t="shared" si="2"/>
        <v>1620</v>
      </c>
    </row>
    <row r="67" spans="1:5" x14ac:dyDescent="0.25">
      <c r="A67" s="31">
        <v>69</v>
      </c>
      <c r="B67" s="9" t="s">
        <v>41</v>
      </c>
      <c r="C67" s="12">
        <f>3.06+1.8+0.28+7.65</f>
        <v>12.790000000000001</v>
      </c>
      <c r="D67" s="35">
        <v>7</v>
      </c>
      <c r="E67" s="40">
        <f t="shared" si="2"/>
        <v>89.53</v>
      </c>
    </row>
    <row r="68" spans="1:5" x14ac:dyDescent="0.25">
      <c r="A68" s="31">
        <v>71</v>
      </c>
      <c r="B68" s="9" t="s">
        <v>151</v>
      </c>
      <c r="C68" s="12">
        <v>4</v>
      </c>
      <c r="D68" s="35">
        <v>85</v>
      </c>
      <c r="E68" s="40">
        <f t="shared" si="2"/>
        <v>340</v>
      </c>
    </row>
    <row r="69" spans="1:5" x14ac:dyDescent="0.25">
      <c r="A69" s="31">
        <v>72</v>
      </c>
      <c r="B69" s="9" t="s">
        <v>152</v>
      </c>
      <c r="C69" s="12">
        <v>4</v>
      </c>
      <c r="D69" s="35">
        <v>95</v>
      </c>
      <c r="E69" s="40">
        <f t="shared" si="2"/>
        <v>380</v>
      </c>
    </row>
    <row r="70" spans="1:5" x14ac:dyDescent="0.25">
      <c r="A70" s="31">
        <v>79</v>
      </c>
      <c r="B70" s="9" t="s">
        <v>51</v>
      </c>
      <c r="C70" s="12">
        <v>14</v>
      </c>
      <c r="D70" s="35">
        <v>46</v>
      </c>
      <c r="E70" s="40">
        <f t="shared" si="2"/>
        <v>644</v>
      </c>
    </row>
    <row r="71" spans="1:5" x14ac:dyDescent="0.25">
      <c r="A71" s="31">
        <v>80</v>
      </c>
      <c r="B71" s="9" t="s">
        <v>52</v>
      </c>
      <c r="C71" s="12">
        <f>20.66+1.8+1.8</f>
        <v>24.26</v>
      </c>
      <c r="D71" s="35">
        <v>113</v>
      </c>
      <c r="E71" s="40">
        <f t="shared" si="2"/>
        <v>2741.38</v>
      </c>
    </row>
    <row r="72" spans="1:5" x14ac:dyDescent="0.25">
      <c r="A72" s="31">
        <v>81</v>
      </c>
      <c r="B72" s="9" t="s">
        <v>53</v>
      </c>
      <c r="C72" s="12">
        <f>65+32+3.43</f>
        <v>100.43</v>
      </c>
      <c r="D72" s="35">
        <v>84</v>
      </c>
      <c r="E72" s="40">
        <f t="shared" si="2"/>
        <v>8436.1200000000008</v>
      </c>
    </row>
    <row r="73" spans="1:5" x14ac:dyDescent="0.25">
      <c r="A73" s="31">
        <v>82</v>
      </c>
      <c r="B73" s="9" t="s">
        <v>153</v>
      </c>
      <c r="C73" s="12">
        <v>8</v>
      </c>
      <c r="D73" s="35">
        <v>69</v>
      </c>
      <c r="E73" s="40">
        <f t="shared" si="2"/>
        <v>552</v>
      </c>
    </row>
    <row r="74" spans="1:5" x14ac:dyDescent="0.25">
      <c r="A74" s="31">
        <v>83</v>
      </c>
      <c r="B74" s="9" t="s">
        <v>100</v>
      </c>
      <c r="C74" s="12">
        <v>7</v>
      </c>
      <c r="D74" s="35">
        <v>24</v>
      </c>
      <c r="E74" s="40">
        <f t="shared" si="2"/>
        <v>168</v>
      </c>
    </row>
    <row r="75" spans="1:5" x14ac:dyDescent="0.25">
      <c r="A75" s="31">
        <v>84</v>
      </c>
      <c r="B75" s="9" t="s">
        <v>54</v>
      </c>
      <c r="C75" s="12">
        <v>2</v>
      </c>
      <c r="D75" s="35">
        <v>280</v>
      </c>
      <c r="E75" s="40">
        <f t="shared" si="2"/>
        <v>560</v>
      </c>
    </row>
    <row r="76" spans="1:5" x14ac:dyDescent="0.25">
      <c r="A76" s="31">
        <v>85</v>
      </c>
      <c r="B76" s="9" t="s">
        <v>154</v>
      </c>
      <c r="C76" s="12">
        <v>42</v>
      </c>
      <c r="D76" s="35">
        <v>26</v>
      </c>
      <c r="E76" s="40">
        <f t="shared" si="2"/>
        <v>1092</v>
      </c>
    </row>
    <row r="77" spans="1:5" x14ac:dyDescent="0.25">
      <c r="A77" s="34">
        <v>87</v>
      </c>
      <c r="B77" s="9" t="s">
        <v>155</v>
      </c>
      <c r="C77" s="12">
        <v>20</v>
      </c>
      <c r="D77" s="35">
        <v>50</v>
      </c>
      <c r="E77" s="40">
        <f t="shared" ref="E77:E101" si="3">C77*D77</f>
        <v>1000</v>
      </c>
    </row>
    <row r="78" spans="1:5" x14ac:dyDescent="0.25">
      <c r="A78" s="34">
        <v>88</v>
      </c>
      <c r="B78" s="9" t="s">
        <v>156</v>
      </c>
      <c r="C78" s="12">
        <v>10</v>
      </c>
      <c r="D78" s="35">
        <v>68</v>
      </c>
      <c r="E78" s="40">
        <f t="shared" si="3"/>
        <v>680</v>
      </c>
    </row>
    <row r="79" spans="1:5" x14ac:dyDescent="0.25">
      <c r="A79" s="34">
        <v>89</v>
      </c>
      <c r="B79" s="9" t="s">
        <v>157</v>
      </c>
      <c r="C79" s="12">
        <v>28</v>
      </c>
      <c r="D79" s="35">
        <v>12</v>
      </c>
      <c r="E79" s="40">
        <f t="shared" si="3"/>
        <v>336</v>
      </c>
    </row>
    <row r="80" spans="1:5" x14ac:dyDescent="0.25">
      <c r="A80" s="34">
        <v>90</v>
      </c>
      <c r="B80" s="9" t="s">
        <v>158</v>
      </c>
      <c r="C80" s="12">
        <v>0</v>
      </c>
      <c r="D80" s="35">
        <v>28</v>
      </c>
      <c r="E80" s="40">
        <f t="shared" si="3"/>
        <v>0</v>
      </c>
    </row>
    <row r="81" spans="1:5" x14ac:dyDescent="0.25">
      <c r="A81" s="34">
        <v>91</v>
      </c>
      <c r="B81" s="9" t="s">
        <v>159</v>
      </c>
      <c r="C81" s="12">
        <f>7.5+3.92+0.958</f>
        <v>12.378</v>
      </c>
      <c r="D81" s="35">
        <v>110</v>
      </c>
      <c r="E81" s="40">
        <f t="shared" si="3"/>
        <v>1361.58</v>
      </c>
    </row>
    <row r="82" spans="1:5" x14ac:dyDescent="0.25">
      <c r="A82" s="34">
        <v>98</v>
      </c>
      <c r="B82" s="9" t="s">
        <v>166</v>
      </c>
      <c r="C82" s="12">
        <f>40+26</f>
        <v>66</v>
      </c>
      <c r="D82" s="35">
        <v>45</v>
      </c>
      <c r="E82" s="40">
        <f t="shared" ref="E82" si="4">C82*D82</f>
        <v>2970</v>
      </c>
    </row>
    <row r="83" spans="1:5" x14ac:dyDescent="0.25">
      <c r="A83" s="34">
        <v>92</v>
      </c>
      <c r="B83" s="9" t="s">
        <v>160</v>
      </c>
      <c r="C83" s="12">
        <v>4.5</v>
      </c>
      <c r="D83" s="35">
        <v>60</v>
      </c>
      <c r="E83" s="40">
        <f t="shared" si="3"/>
        <v>270</v>
      </c>
    </row>
    <row r="84" spans="1:5" x14ac:dyDescent="0.25">
      <c r="A84" s="34">
        <v>93</v>
      </c>
      <c r="B84" s="9" t="s">
        <v>161</v>
      </c>
      <c r="C84" s="12">
        <v>5</v>
      </c>
      <c r="D84" s="35">
        <v>75</v>
      </c>
      <c r="E84" s="40">
        <f t="shared" si="3"/>
        <v>375</v>
      </c>
    </row>
    <row r="85" spans="1:5" x14ac:dyDescent="0.25">
      <c r="A85" s="34">
        <v>94</v>
      </c>
      <c r="B85" s="9" t="s">
        <v>162</v>
      </c>
      <c r="C85" s="12">
        <v>5</v>
      </c>
      <c r="D85" s="35">
        <v>60</v>
      </c>
      <c r="E85" s="40">
        <f t="shared" si="3"/>
        <v>300</v>
      </c>
    </row>
    <row r="86" spans="1:5" x14ac:dyDescent="0.25">
      <c r="A86" s="34">
        <v>95</v>
      </c>
      <c r="B86" s="9" t="s">
        <v>163</v>
      </c>
      <c r="C86" s="12">
        <v>25</v>
      </c>
      <c r="D86" s="35">
        <v>19</v>
      </c>
      <c r="E86" s="40">
        <f t="shared" si="3"/>
        <v>475</v>
      </c>
    </row>
    <row r="87" spans="1:5" x14ac:dyDescent="0.25">
      <c r="A87" s="34">
        <v>96</v>
      </c>
      <c r="B87" s="9" t="s">
        <v>164</v>
      </c>
      <c r="C87" s="12">
        <v>38</v>
      </c>
      <c r="D87" s="35">
        <v>20</v>
      </c>
      <c r="E87" s="40">
        <f t="shared" si="3"/>
        <v>760</v>
      </c>
    </row>
    <row r="88" spans="1:5" x14ac:dyDescent="0.25">
      <c r="A88" s="34">
        <v>97</v>
      </c>
      <c r="B88" s="9" t="s">
        <v>165</v>
      </c>
      <c r="C88" s="12">
        <v>15</v>
      </c>
      <c r="D88" s="35">
        <v>22</v>
      </c>
      <c r="E88" s="40">
        <f t="shared" si="3"/>
        <v>330</v>
      </c>
    </row>
    <row r="89" spans="1:5" ht="15.75" thickBot="1" x14ac:dyDescent="0.3">
      <c r="A89" s="32"/>
      <c r="B89" s="22" t="s">
        <v>17</v>
      </c>
      <c r="C89" s="23">
        <f>SUM(C53:C88)</f>
        <v>1096.915</v>
      </c>
      <c r="D89" s="36"/>
      <c r="E89" s="37">
        <f>SUM(E46:E88)</f>
        <v>602595.18999999983</v>
      </c>
    </row>
    <row r="90" spans="1:5" ht="25.5" customHeight="1" thickBot="1" x14ac:dyDescent="0.3">
      <c r="A90" s="33"/>
      <c r="B90" s="19" t="s">
        <v>1</v>
      </c>
      <c r="C90" s="20" t="s">
        <v>2</v>
      </c>
      <c r="D90" s="20" t="s">
        <v>3</v>
      </c>
      <c r="E90" s="21" t="s">
        <v>4</v>
      </c>
    </row>
    <row r="91" spans="1:5" x14ac:dyDescent="0.25">
      <c r="A91" s="34">
        <v>99</v>
      </c>
      <c r="B91" s="9" t="s">
        <v>167</v>
      </c>
      <c r="C91" s="12">
        <v>19</v>
      </c>
      <c r="D91" s="35">
        <v>22</v>
      </c>
      <c r="E91" s="40">
        <f t="shared" si="3"/>
        <v>418</v>
      </c>
    </row>
    <row r="92" spans="1:5" x14ac:dyDescent="0.25">
      <c r="A92" s="34">
        <v>100</v>
      </c>
      <c r="B92" s="9" t="s">
        <v>168</v>
      </c>
      <c r="C92" s="12">
        <v>24</v>
      </c>
      <c r="D92" s="35">
        <v>15</v>
      </c>
      <c r="E92" s="40">
        <f t="shared" si="3"/>
        <v>360</v>
      </c>
    </row>
    <row r="93" spans="1:5" x14ac:dyDescent="0.25">
      <c r="A93" s="34">
        <v>101</v>
      </c>
      <c r="B93" s="9" t="s">
        <v>169</v>
      </c>
      <c r="C93" s="13">
        <v>23</v>
      </c>
      <c r="D93" s="35">
        <v>12</v>
      </c>
      <c r="E93" s="40">
        <f t="shared" si="3"/>
        <v>276</v>
      </c>
    </row>
    <row r="94" spans="1:5" x14ac:dyDescent="0.25">
      <c r="A94" s="34">
        <v>102</v>
      </c>
      <c r="B94" s="9" t="s">
        <v>170</v>
      </c>
      <c r="C94" s="12">
        <v>18</v>
      </c>
      <c r="D94" s="35">
        <v>54</v>
      </c>
      <c r="E94" s="40">
        <f t="shared" si="3"/>
        <v>972</v>
      </c>
    </row>
    <row r="95" spans="1:5" x14ac:dyDescent="0.25">
      <c r="A95" s="34">
        <v>103</v>
      </c>
      <c r="B95" s="9" t="s">
        <v>171</v>
      </c>
      <c r="C95" s="12">
        <v>0</v>
      </c>
      <c r="D95" s="35">
        <v>125</v>
      </c>
      <c r="E95" s="40">
        <f t="shared" si="3"/>
        <v>0</v>
      </c>
    </row>
    <row r="96" spans="1:5" x14ac:dyDescent="0.25">
      <c r="A96" s="34">
        <v>104</v>
      </c>
      <c r="B96" s="9" t="s">
        <v>172</v>
      </c>
      <c r="C96" s="12">
        <f>2.5+0.6</f>
        <v>3.1</v>
      </c>
      <c r="D96" s="35">
        <v>60</v>
      </c>
      <c r="E96" s="40">
        <f t="shared" si="3"/>
        <v>186</v>
      </c>
    </row>
    <row r="97" spans="1:5" x14ac:dyDescent="0.25">
      <c r="A97" s="34">
        <v>105</v>
      </c>
      <c r="B97" s="9" t="s">
        <v>173</v>
      </c>
      <c r="C97" s="12">
        <v>0</v>
      </c>
      <c r="D97" s="35">
        <v>45</v>
      </c>
      <c r="E97" s="40">
        <f t="shared" si="3"/>
        <v>0</v>
      </c>
    </row>
    <row r="98" spans="1:5" x14ac:dyDescent="0.25">
      <c r="A98" s="34">
        <v>106</v>
      </c>
      <c r="B98" s="9" t="s">
        <v>175</v>
      </c>
      <c r="C98" s="12">
        <f>40+12.34</f>
        <v>52.34</v>
      </c>
      <c r="D98" s="35">
        <v>88</v>
      </c>
      <c r="E98" s="40">
        <f t="shared" si="3"/>
        <v>4605.92</v>
      </c>
    </row>
    <row r="99" spans="1:5" x14ac:dyDescent="0.25">
      <c r="A99" s="34">
        <v>107</v>
      </c>
      <c r="B99" s="9" t="s">
        <v>174</v>
      </c>
      <c r="C99" s="12">
        <f>21.04+2.98</f>
        <v>24.02</v>
      </c>
      <c r="D99" s="35">
        <v>98</v>
      </c>
      <c r="E99" s="40">
        <f t="shared" si="3"/>
        <v>2353.96</v>
      </c>
    </row>
    <row r="100" spans="1:5" x14ac:dyDescent="0.25">
      <c r="A100" s="34">
        <v>108</v>
      </c>
      <c r="B100" s="9" t="s">
        <v>176</v>
      </c>
      <c r="C100" s="12">
        <f>8+1.6</f>
        <v>9.6</v>
      </c>
      <c r="D100" s="35">
        <v>80</v>
      </c>
      <c r="E100" s="40">
        <f t="shared" si="3"/>
        <v>768</v>
      </c>
    </row>
    <row r="101" spans="1:5" x14ac:dyDescent="0.25">
      <c r="A101" s="34">
        <v>109</v>
      </c>
      <c r="B101" s="9" t="s">
        <v>177</v>
      </c>
      <c r="C101" s="12">
        <v>28.7</v>
      </c>
      <c r="D101" s="35">
        <v>94</v>
      </c>
      <c r="E101" s="40">
        <f t="shared" si="3"/>
        <v>2697.7999999999997</v>
      </c>
    </row>
    <row r="102" spans="1:5" x14ac:dyDescent="0.25">
      <c r="A102" s="34">
        <v>110</v>
      </c>
      <c r="B102" s="9" t="s">
        <v>178</v>
      </c>
      <c r="C102" s="12">
        <v>4</v>
      </c>
      <c r="D102" s="35">
        <v>60</v>
      </c>
      <c r="E102" s="40">
        <f t="shared" ref="E102:E121" si="5">C102*D102</f>
        <v>240</v>
      </c>
    </row>
    <row r="103" spans="1:5" x14ac:dyDescent="0.25">
      <c r="A103" s="34">
        <v>111</v>
      </c>
      <c r="B103" s="9" t="s">
        <v>179</v>
      </c>
      <c r="C103" s="12">
        <f>16.8+5.764+1.1</f>
        <v>23.664000000000001</v>
      </c>
      <c r="D103" s="35">
        <v>74</v>
      </c>
      <c r="E103" s="40">
        <f t="shared" si="5"/>
        <v>1751.1360000000002</v>
      </c>
    </row>
    <row r="104" spans="1:5" x14ac:dyDescent="0.25">
      <c r="A104" s="34">
        <v>112</v>
      </c>
      <c r="B104" s="9" t="s">
        <v>180</v>
      </c>
      <c r="C104" s="12">
        <f>488.3+422.2+628.5+4.74</f>
        <v>1543.74</v>
      </c>
      <c r="D104" s="35">
        <v>28</v>
      </c>
      <c r="E104" s="40">
        <f t="shared" si="5"/>
        <v>43224.72</v>
      </c>
    </row>
    <row r="105" spans="1:5" x14ac:dyDescent="0.25">
      <c r="A105" s="34">
        <v>113</v>
      </c>
      <c r="B105" s="9" t="s">
        <v>181</v>
      </c>
      <c r="C105" s="12">
        <f>12.6+36.3+2.32+3.82+6.48</f>
        <v>61.519999999999996</v>
      </c>
      <c r="D105" s="35">
        <v>68</v>
      </c>
      <c r="E105" s="40">
        <f t="shared" si="5"/>
        <v>4183.3599999999997</v>
      </c>
    </row>
    <row r="106" spans="1:5" x14ac:dyDescent="0.25">
      <c r="A106" s="34">
        <v>114</v>
      </c>
      <c r="B106" s="9" t="s">
        <v>182</v>
      </c>
      <c r="C106" s="12">
        <f>25.6+1.912</f>
        <v>27.512</v>
      </c>
      <c r="D106" s="35">
        <v>98</v>
      </c>
      <c r="E106" s="40">
        <f t="shared" si="5"/>
        <v>2696.1759999999999</v>
      </c>
    </row>
    <row r="107" spans="1:5" x14ac:dyDescent="0.25">
      <c r="A107" s="34">
        <v>115</v>
      </c>
      <c r="B107" s="9" t="s">
        <v>183</v>
      </c>
      <c r="C107" s="12">
        <f>53.7+17.3+3.82</f>
        <v>74.819999999999993</v>
      </c>
      <c r="D107" s="35">
        <v>96</v>
      </c>
      <c r="E107" s="40">
        <f t="shared" si="5"/>
        <v>7182.7199999999993</v>
      </c>
    </row>
    <row r="108" spans="1:5" x14ac:dyDescent="0.25">
      <c r="A108" s="34">
        <v>116</v>
      </c>
      <c r="B108" s="9" t="s">
        <v>269</v>
      </c>
      <c r="C108" s="12">
        <v>10.67</v>
      </c>
      <c r="D108" s="35">
        <v>90</v>
      </c>
      <c r="E108" s="40">
        <f t="shared" si="5"/>
        <v>960.3</v>
      </c>
    </row>
    <row r="109" spans="1:5" x14ac:dyDescent="0.25">
      <c r="A109" s="34">
        <v>117</v>
      </c>
      <c r="B109" s="9" t="s">
        <v>268</v>
      </c>
      <c r="C109" s="12">
        <v>0.76</v>
      </c>
      <c r="D109" s="35">
        <v>108</v>
      </c>
      <c r="E109" s="40">
        <f t="shared" si="5"/>
        <v>82.08</v>
      </c>
    </row>
    <row r="110" spans="1:5" x14ac:dyDescent="0.25">
      <c r="A110" s="34">
        <v>118</v>
      </c>
      <c r="B110" s="9" t="s">
        <v>267</v>
      </c>
      <c r="C110" s="12">
        <f>62+334+7.32</f>
        <v>403.32</v>
      </c>
      <c r="D110" s="35">
        <v>10</v>
      </c>
      <c r="E110" s="40">
        <f t="shared" si="5"/>
        <v>4033.2</v>
      </c>
    </row>
    <row r="111" spans="1:5" x14ac:dyDescent="0.25">
      <c r="A111" s="34">
        <v>119</v>
      </c>
      <c r="B111" s="9" t="s">
        <v>266</v>
      </c>
      <c r="C111" s="12">
        <f>4.16+2.7+1.16</f>
        <v>8.02</v>
      </c>
      <c r="D111" s="35">
        <v>56</v>
      </c>
      <c r="E111" s="40">
        <f t="shared" si="5"/>
        <v>449.12</v>
      </c>
    </row>
    <row r="112" spans="1:5" x14ac:dyDescent="0.25">
      <c r="A112" s="34">
        <v>120</v>
      </c>
      <c r="B112" s="9" t="s">
        <v>265</v>
      </c>
      <c r="C112" s="12">
        <f>40.86+6.54+3.32</f>
        <v>50.72</v>
      </c>
      <c r="D112" s="35">
        <v>280</v>
      </c>
      <c r="E112" s="40">
        <f t="shared" si="5"/>
        <v>14201.6</v>
      </c>
    </row>
    <row r="113" spans="1:5" x14ac:dyDescent="0.25">
      <c r="A113" s="34">
        <v>121</v>
      </c>
      <c r="B113" s="9" t="s">
        <v>264</v>
      </c>
      <c r="C113" s="12">
        <f>221.4+18.6</f>
        <v>240</v>
      </c>
      <c r="D113" s="35">
        <v>64</v>
      </c>
      <c r="E113" s="40">
        <f t="shared" si="5"/>
        <v>15360</v>
      </c>
    </row>
    <row r="114" spans="1:5" x14ac:dyDescent="0.25">
      <c r="A114" s="34">
        <v>122</v>
      </c>
      <c r="B114" s="9" t="s">
        <v>263</v>
      </c>
      <c r="C114" s="12">
        <v>31.3</v>
      </c>
      <c r="D114" s="35">
        <v>68</v>
      </c>
      <c r="E114" s="40">
        <f t="shared" si="5"/>
        <v>2128.4</v>
      </c>
    </row>
    <row r="115" spans="1:5" x14ac:dyDescent="0.25">
      <c r="A115" s="34">
        <v>123</v>
      </c>
      <c r="B115" s="9" t="s">
        <v>262</v>
      </c>
      <c r="C115" s="12">
        <f>15.6+103.6+63+11.6+1.08+6.4</f>
        <v>201.28</v>
      </c>
      <c r="D115" s="35">
        <v>110</v>
      </c>
      <c r="E115" s="40">
        <f t="shared" si="5"/>
        <v>22140.799999999999</v>
      </c>
    </row>
    <row r="116" spans="1:5" x14ac:dyDescent="0.25">
      <c r="A116" s="34">
        <v>124</v>
      </c>
      <c r="B116" s="9" t="s">
        <v>261</v>
      </c>
      <c r="C116" s="12">
        <v>0</v>
      </c>
      <c r="D116" s="35">
        <v>182</v>
      </c>
      <c r="E116" s="40">
        <f t="shared" si="5"/>
        <v>0</v>
      </c>
    </row>
    <row r="117" spans="1:5" x14ac:dyDescent="0.25">
      <c r="A117" s="34">
        <v>125</v>
      </c>
      <c r="B117" s="9" t="s">
        <v>260</v>
      </c>
      <c r="C117" s="12">
        <f>4.3+11.112-3.9</f>
        <v>11.511999999999999</v>
      </c>
      <c r="D117" s="35">
        <v>68</v>
      </c>
      <c r="E117" s="40">
        <f t="shared" si="5"/>
        <v>782.81599999999992</v>
      </c>
    </row>
    <row r="118" spans="1:5" x14ac:dyDescent="0.25">
      <c r="A118" s="34">
        <v>126</v>
      </c>
      <c r="B118" s="9" t="s">
        <v>259</v>
      </c>
      <c r="C118" s="12">
        <f>80+5.58</f>
        <v>85.58</v>
      </c>
      <c r="D118" s="35">
        <v>210</v>
      </c>
      <c r="E118" s="40">
        <f t="shared" si="5"/>
        <v>17971.8</v>
      </c>
    </row>
    <row r="119" spans="1:5" x14ac:dyDescent="0.25">
      <c r="A119" s="34">
        <v>127</v>
      </c>
      <c r="B119" s="9" t="s">
        <v>258</v>
      </c>
      <c r="C119" s="12">
        <v>10.6</v>
      </c>
      <c r="D119" s="35">
        <v>182</v>
      </c>
      <c r="E119" s="40">
        <f t="shared" si="5"/>
        <v>1929.2</v>
      </c>
    </row>
    <row r="120" spans="1:5" x14ac:dyDescent="0.25">
      <c r="A120" s="34">
        <v>128</v>
      </c>
      <c r="B120" s="9" t="s">
        <v>257</v>
      </c>
      <c r="C120" s="12">
        <f>36.9+10.8+0.9+3.68</f>
        <v>52.28</v>
      </c>
      <c r="D120" s="35">
        <v>42</v>
      </c>
      <c r="E120" s="40">
        <f t="shared" si="5"/>
        <v>2195.7600000000002</v>
      </c>
    </row>
    <row r="121" spans="1:5" x14ac:dyDescent="0.25">
      <c r="A121" s="34">
        <v>129</v>
      </c>
      <c r="B121" s="9" t="s">
        <v>256</v>
      </c>
      <c r="C121" s="12">
        <f>33.9+4.46</f>
        <v>38.36</v>
      </c>
      <c r="D121" s="35">
        <v>75</v>
      </c>
      <c r="E121" s="40">
        <f t="shared" si="5"/>
        <v>2877</v>
      </c>
    </row>
    <row r="122" spans="1:5" x14ac:dyDescent="0.25">
      <c r="A122" s="34">
        <v>130</v>
      </c>
      <c r="B122" s="9" t="s">
        <v>255</v>
      </c>
      <c r="C122" s="12">
        <f>15.5+9.3-3.9</f>
        <v>20.900000000000002</v>
      </c>
      <c r="D122" s="35">
        <v>72</v>
      </c>
      <c r="E122" s="40">
        <f t="shared" ref="E122:E142" si="6">C122*D122</f>
        <v>1504.8000000000002</v>
      </c>
    </row>
    <row r="123" spans="1:5" x14ac:dyDescent="0.25">
      <c r="A123" s="34">
        <v>131</v>
      </c>
      <c r="B123" s="9" t="s">
        <v>254</v>
      </c>
      <c r="C123" s="12">
        <f>3.42+3.5</f>
        <v>6.92</v>
      </c>
      <c r="D123" s="35">
        <v>120</v>
      </c>
      <c r="E123" s="40">
        <f t="shared" si="6"/>
        <v>830.4</v>
      </c>
    </row>
    <row r="124" spans="1:5" x14ac:dyDescent="0.25">
      <c r="A124" s="34">
        <v>132</v>
      </c>
      <c r="B124" s="9" t="s">
        <v>253</v>
      </c>
      <c r="C124" s="12">
        <f>4.4+12.98-3.9+2.52</f>
        <v>16.000000000000004</v>
      </c>
      <c r="D124" s="35">
        <v>120</v>
      </c>
      <c r="E124" s="40">
        <f t="shared" si="6"/>
        <v>1920.0000000000005</v>
      </c>
    </row>
    <row r="125" spans="1:5" x14ac:dyDescent="0.25">
      <c r="A125" s="34">
        <v>133</v>
      </c>
      <c r="B125" s="9" t="s">
        <v>252</v>
      </c>
      <c r="C125" s="12">
        <f>14.8-3.9</f>
        <v>10.9</v>
      </c>
      <c r="D125" s="35">
        <v>166</v>
      </c>
      <c r="E125" s="40">
        <f t="shared" si="6"/>
        <v>1809.4</v>
      </c>
    </row>
    <row r="126" spans="1:5" x14ac:dyDescent="0.25">
      <c r="A126" s="34">
        <v>134</v>
      </c>
      <c r="B126" s="9" t="s">
        <v>251</v>
      </c>
      <c r="C126" s="12">
        <f>23.4+37.4+3.16+5.44</f>
        <v>69.399999999999991</v>
      </c>
      <c r="D126" s="35">
        <v>116</v>
      </c>
      <c r="E126" s="40">
        <f t="shared" si="6"/>
        <v>8050.3999999999987</v>
      </c>
    </row>
    <row r="127" spans="1:5" x14ac:dyDescent="0.25">
      <c r="A127" s="34">
        <v>135</v>
      </c>
      <c r="B127" s="9" t="s">
        <v>250</v>
      </c>
      <c r="C127" s="12">
        <f>89.7+137.3+11.34-3.9</f>
        <v>234.44</v>
      </c>
      <c r="D127" s="35">
        <v>82</v>
      </c>
      <c r="E127" s="40">
        <f t="shared" si="6"/>
        <v>19224.079999999998</v>
      </c>
    </row>
    <row r="128" spans="1:5" x14ac:dyDescent="0.25">
      <c r="A128" s="34">
        <v>136</v>
      </c>
      <c r="B128" s="9" t="s">
        <v>249</v>
      </c>
      <c r="C128" s="12">
        <f>29.9+19.2</f>
        <v>49.099999999999994</v>
      </c>
      <c r="D128" s="35">
        <v>40</v>
      </c>
      <c r="E128" s="40">
        <f t="shared" si="6"/>
        <v>1963.9999999999998</v>
      </c>
    </row>
    <row r="129" spans="1:5" x14ac:dyDescent="0.25">
      <c r="A129" s="34">
        <v>137</v>
      </c>
      <c r="B129" s="9" t="s">
        <v>248</v>
      </c>
      <c r="C129" s="12">
        <f>79.8+31.1+29.7+25.7+21.4+12.5+11.4+25.1+13.1+28.4+1.42+5.82-3.9+6.22-3.9+7.28-3.9+0.2+3.54+4.42+31.88</f>
        <v>327.28000000000009</v>
      </c>
      <c r="D129" s="35">
        <v>184</v>
      </c>
      <c r="E129" s="40">
        <f t="shared" si="6"/>
        <v>60219.520000000019</v>
      </c>
    </row>
    <row r="130" spans="1:5" x14ac:dyDescent="0.25">
      <c r="A130" s="34">
        <v>138</v>
      </c>
      <c r="B130" s="9" t="s">
        <v>247</v>
      </c>
      <c r="C130" s="12">
        <v>12.1</v>
      </c>
      <c r="D130" s="35">
        <v>164</v>
      </c>
      <c r="E130" s="40">
        <f t="shared" si="6"/>
        <v>1984.3999999999999</v>
      </c>
    </row>
    <row r="131" spans="1:5" x14ac:dyDescent="0.25">
      <c r="A131" s="34">
        <v>139</v>
      </c>
      <c r="B131" s="9" t="s">
        <v>246</v>
      </c>
      <c r="C131" s="12">
        <f>2.5+8.04-3.9+0.6</f>
        <v>7.2399999999999984</v>
      </c>
      <c r="D131" s="35">
        <v>182</v>
      </c>
      <c r="E131" s="40">
        <f t="shared" si="6"/>
        <v>1317.6799999999996</v>
      </c>
    </row>
    <row r="132" spans="1:5" x14ac:dyDescent="0.25">
      <c r="A132" s="34">
        <v>140</v>
      </c>
      <c r="B132" s="9" t="s">
        <v>245</v>
      </c>
      <c r="C132" s="12">
        <v>0</v>
      </c>
      <c r="D132" s="35">
        <v>182</v>
      </c>
      <c r="E132" s="40">
        <f t="shared" si="6"/>
        <v>0</v>
      </c>
    </row>
    <row r="133" spans="1:5" x14ac:dyDescent="0.25">
      <c r="A133" s="34">
        <v>141</v>
      </c>
      <c r="B133" s="9" t="s">
        <v>244</v>
      </c>
      <c r="C133" s="12">
        <v>0</v>
      </c>
      <c r="D133" s="35">
        <v>182</v>
      </c>
      <c r="E133" s="40">
        <f t="shared" ref="E133" si="7">C133*D133</f>
        <v>0</v>
      </c>
    </row>
    <row r="134" spans="1:5" ht="15.75" thickBot="1" x14ac:dyDescent="0.3">
      <c r="A134" s="32"/>
      <c r="B134" s="22" t="s">
        <v>17</v>
      </c>
      <c r="C134" s="23">
        <f>SUM(C89:C132)</f>
        <v>4932.6129999999994</v>
      </c>
      <c r="D134" s="38"/>
      <c r="E134" s="37">
        <f>SUM(E91:E133)</f>
        <v>255852.54799999995</v>
      </c>
    </row>
    <row r="135" spans="1:5" ht="24" customHeight="1" thickBot="1" x14ac:dyDescent="0.3">
      <c r="A135" s="33"/>
      <c r="B135" s="19" t="s">
        <v>1</v>
      </c>
      <c r="C135" s="20" t="s">
        <v>2</v>
      </c>
      <c r="D135" s="20" t="s">
        <v>3</v>
      </c>
      <c r="E135" s="21" t="s">
        <v>4</v>
      </c>
    </row>
    <row r="136" spans="1:5" x14ac:dyDescent="0.25">
      <c r="A136" s="34">
        <v>142</v>
      </c>
      <c r="B136" s="9" t="s">
        <v>243</v>
      </c>
      <c r="C136" s="12">
        <v>0</v>
      </c>
      <c r="D136" s="35">
        <v>76</v>
      </c>
      <c r="E136" s="40">
        <f t="shared" si="6"/>
        <v>0</v>
      </c>
    </row>
    <row r="137" spans="1:5" x14ac:dyDescent="0.25">
      <c r="A137" s="34">
        <v>143</v>
      </c>
      <c r="B137" s="9" t="s">
        <v>242</v>
      </c>
      <c r="C137" s="12">
        <f>105.5+28.4+2.5+9.52</f>
        <v>145.92000000000002</v>
      </c>
      <c r="D137" s="35">
        <v>63</v>
      </c>
      <c r="E137" s="40">
        <f t="shared" si="6"/>
        <v>9192.9600000000009</v>
      </c>
    </row>
    <row r="138" spans="1:5" x14ac:dyDescent="0.25">
      <c r="A138" s="34">
        <v>144</v>
      </c>
      <c r="B138" s="9" t="s">
        <v>241</v>
      </c>
      <c r="C138" s="12">
        <f>47.5+9.6+1.52</f>
        <v>58.620000000000005</v>
      </c>
      <c r="D138" s="35">
        <v>220</v>
      </c>
      <c r="E138" s="40">
        <f t="shared" si="6"/>
        <v>12896.400000000001</v>
      </c>
    </row>
    <row r="139" spans="1:5" x14ac:dyDescent="0.25">
      <c r="A139" s="34">
        <v>145</v>
      </c>
      <c r="B139" s="9" t="s">
        <v>240</v>
      </c>
      <c r="C139" s="12">
        <v>2</v>
      </c>
      <c r="D139" s="35">
        <v>56</v>
      </c>
      <c r="E139" s="40">
        <f t="shared" si="6"/>
        <v>112</v>
      </c>
    </row>
    <row r="140" spans="1:5" x14ac:dyDescent="0.25">
      <c r="A140" s="34">
        <v>146</v>
      </c>
      <c r="B140" s="9" t="s">
        <v>239</v>
      </c>
      <c r="C140" s="12">
        <f>5.1+1.1+5.232</f>
        <v>11.431999999999999</v>
      </c>
      <c r="D140" s="35">
        <v>134</v>
      </c>
      <c r="E140" s="40">
        <f t="shared" si="6"/>
        <v>1531.8879999999999</v>
      </c>
    </row>
    <row r="141" spans="1:5" x14ac:dyDescent="0.25">
      <c r="A141" s="34">
        <v>147</v>
      </c>
      <c r="B141" s="9" t="s">
        <v>238</v>
      </c>
      <c r="C141" s="12">
        <f>16.3+4.69+1.4</f>
        <v>22.39</v>
      </c>
      <c r="D141" s="35">
        <v>95</v>
      </c>
      <c r="E141" s="40">
        <f t="shared" si="6"/>
        <v>2127.0500000000002</v>
      </c>
    </row>
    <row r="142" spans="1:5" x14ac:dyDescent="0.25">
      <c r="A142" s="34">
        <v>148</v>
      </c>
      <c r="B142" s="9" t="s">
        <v>237</v>
      </c>
      <c r="C142" s="12">
        <f>12.1+2.14+8.68</f>
        <v>22.92</v>
      </c>
      <c r="D142" s="35">
        <v>126</v>
      </c>
      <c r="E142" s="40">
        <f t="shared" si="6"/>
        <v>2887.92</v>
      </c>
    </row>
    <row r="143" spans="1:5" x14ac:dyDescent="0.25">
      <c r="A143" s="34">
        <v>149</v>
      </c>
      <c r="B143" s="9" t="s">
        <v>236</v>
      </c>
      <c r="C143" s="12">
        <f>2.86+4.32</f>
        <v>7.18</v>
      </c>
      <c r="D143" s="35">
        <v>166</v>
      </c>
      <c r="E143" s="40">
        <f t="shared" ref="E143:E166" si="8">C143*D143</f>
        <v>1191.8799999999999</v>
      </c>
    </row>
    <row r="144" spans="1:5" x14ac:dyDescent="0.25">
      <c r="A144" s="34">
        <v>150</v>
      </c>
      <c r="B144" s="9" t="s">
        <v>275</v>
      </c>
      <c r="C144" s="12">
        <v>7</v>
      </c>
      <c r="D144" s="35">
        <v>92</v>
      </c>
      <c r="E144" s="40">
        <f t="shared" si="8"/>
        <v>644</v>
      </c>
    </row>
    <row r="145" spans="1:5" x14ac:dyDescent="0.25">
      <c r="A145" s="34">
        <v>151</v>
      </c>
      <c r="B145" s="9" t="s">
        <v>235</v>
      </c>
      <c r="C145" s="12">
        <f>3.14+0.8+0.32</f>
        <v>4.2600000000000007</v>
      </c>
      <c r="D145" s="35">
        <v>132</v>
      </c>
      <c r="E145" s="40">
        <f t="shared" si="8"/>
        <v>562.32000000000005</v>
      </c>
    </row>
    <row r="146" spans="1:5" x14ac:dyDescent="0.25">
      <c r="A146" s="34">
        <v>152</v>
      </c>
      <c r="B146" s="9" t="s">
        <v>234</v>
      </c>
      <c r="C146" s="12">
        <v>0</v>
      </c>
      <c r="D146" s="35">
        <v>182</v>
      </c>
      <c r="E146" s="40">
        <f t="shared" si="8"/>
        <v>0</v>
      </c>
    </row>
    <row r="147" spans="1:5" x14ac:dyDescent="0.25">
      <c r="A147" s="34">
        <v>153</v>
      </c>
      <c r="B147" s="9" t="s">
        <v>233</v>
      </c>
      <c r="C147" s="12">
        <f>202.62+33.2+6.28</f>
        <v>242.1</v>
      </c>
      <c r="D147" s="35">
        <v>154</v>
      </c>
      <c r="E147" s="40">
        <f t="shared" si="8"/>
        <v>37283.4</v>
      </c>
    </row>
    <row r="148" spans="1:5" x14ac:dyDescent="0.25">
      <c r="A148" s="34">
        <v>154</v>
      </c>
      <c r="B148" s="9" t="s">
        <v>232</v>
      </c>
      <c r="C148" s="12">
        <v>0</v>
      </c>
      <c r="D148" s="35">
        <v>82</v>
      </c>
      <c r="E148" s="40">
        <f t="shared" si="8"/>
        <v>0</v>
      </c>
    </row>
    <row r="149" spans="1:5" x14ac:dyDescent="0.25">
      <c r="A149" s="34">
        <v>155</v>
      </c>
      <c r="B149" s="9" t="s">
        <v>231</v>
      </c>
      <c r="C149" s="12">
        <f>51.73+5+8.66</f>
        <v>65.39</v>
      </c>
      <c r="D149" s="35">
        <v>98</v>
      </c>
      <c r="E149" s="40">
        <f t="shared" si="8"/>
        <v>6408.22</v>
      </c>
    </row>
    <row r="150" spans="1:5" x14ac:dyDescent="0.25">
      <c r="A150" s="34">
        <v>156</v>
      </c>
      <c r="B150" s="9" t="s">
        <v>230</v>
      </c>
      <c r="C150" s="12">
        <v>0</v>
      </c>
      <c r="D150" s="35">
        <v>125</v>
      </c>
      <c r="E150" s="40">
        <f t="shared" si="8"/>
        <v>0</v>
      </c>
    </row>
    <row r="151" spans="1:5" x14ac:dyDescent="0.25">
      <c r="A151" s="34">
        <v>157</v>
      </c>
      <c r="B151" s="9" t="s">
        <v>229</v>
      </c>
      <c r="C151" s="12">
        <v>0</v>
      </c>
      <c r="D151" s="35">
        <v>900</v>
      </c>
      <c r="E151" s="40">
        <f t="shared" si="8"/>
        <v>0</v>
      </c>
    </row>
    <row r="152" spans="1:5" x14ac:dyDescent="0.25">
      <c r="A152" s="34">
        <v>158</v>
      </c>
      <c r="B152" s="9" t="s">
        <v>228</v>
      </c>
      <c r="C152" s="12">
        <f>10.12+4.68</f>
        <v>14.799999999999999</v>
      </c>
      <c r="D152" s="35">
        <v>68</v>
      </c>
      <c r="E152" s="40">
        <f t="shared" si="8"/>
        <v>1006.4</v>
      </c>
    </row>
    <row r="153" spans="1:5" x14ac:dyDescent="0.25">
      <c r="A153" s="34">
        <v>159</v>
      </c>
      <c r="B153" s="9" t="s">
        <v>227</v>
      </c>
      <c r="C153" s="12">
        <f>11.14-3.9+9.72+12.5+4.18</f>
        <v>33.64</v>
      </c>
      <c r="D153" s="35">
        <v>75</v>
      </c>
      <c r="E153" s="40">
        <f t="shared" si="8"/>
        <v>2523</v>
      </c>
    </row>
    <row r="154" spans="1:5" x14ac:dyDescent="0.25">
      <c r="A154" s="34">
        <v>160</v>
      </c>
      <c r="B154" s="9" t="s">
        <v>226</v>
      </c>
      <c r="C154" s="12">
        <v>2.98</v>
      </c>
      <c r="D154" s="35">
        <v>115</v>
      </c>
      <c r="E154" s="40">
        <f t="shared" si="8"/>
        <v>342.7</v>
      </c>
    </row>
    <row r="155" spans="1:5" x14ac:dyDescent="0.25">
      <c r="A155" s="34">
        <v>161</v>
      </c>
      <c r="B155" s="9" t="s">
        <v>225</v>
      </c>
      <c r="C155" s="12">
        <v>41.3</v>
      </c>
      <c r="D155" s="35">
        <v>120</v>
      </c>
      <c r="E155" s="40">
        <f t="shared" si="8"/>
        <v>4956</v>
      </c>
    </row>
    <row r="156" spans="1:5" x14ac:dyDescent="0.25">
      <c r="A156" s="34">
        <v>162</v>
      </c>
      <c r="B156" s="9" t="s">
        <v>21</v>
      </c>
      <c r="C156" s="12">
        <v>0</v>
      </c>
      <c r="D156" s="35">
        <v>600</v>
      </c>
      <c r="E156" s="40">
        <f t="shared" si="8"/>
        <v>0</v>
      </c>
    </row>
    <row r="157" spans="1:5" x14ac:dyDescent="0.25">
      <c r="A157" s="34">
        <v>163</v>
      </c>
      <c r="B157" s="9" t="s">
        <v>224</v>
      </c>
      <c r="C157" s="12">
        <f>72.9+1.21+3.56</f>
        <v>77.67</v>
      </c>
      <c r="D157" s="35">
        <v>182</v>
      </c>
      <c r="E157" s="40">
        <f t="shared" si="8"/>
        <v>14135.94</v>
      </c>
    </row>
    <row r="158" spans="1:5" x14ac:dyDescent="0.25">
      <c r="A158" s="34">
        <v>164</v>
      </c>
      <c r="B158" s="9" t="s">
        <v>22</v>
      </c>
      <c r="C158" s="12">
        <v>13.6</v>
      </c>
      <c r="D158" s="35">
        <v>130</v>
      </c>
      <c r="E158" s="40">
        <f t="shared" si="8"/>
        <v>1768</v>
      </c>
    </row>
    <row r="159" spans="1:5" x14ac:dyDescent="0.25">
      <c r="A159" s="34">
        <v>165</v>
      </c>
      <c r="B159" s="9" t="s">
        <v>223</v>
      </c>
      <c r="C159" s="12">
        <f>35.9+20.04-2.2</f>
        <v>53.739999999999995</v>
      </c>
      <c r="D159" s="35">
        <v>30</v>
      </c>
      <c r="E159" s="40">
        <f t="shared" si="8"/>
        <v>1612.1999999999998</v>
      </c>
    </row>
    <row r="160" spans="1:5" x14ac:dyDescent="0.25">
      <c r="A160" s="34">
        <v>166</v>
      </c>
      <c r="B160" s="9" t="s">
        <v>23</v>
      </c>
      <c r="C160" s="12">
        <v>0</v>
      </c>
      <c r="D160" s="35">
        <v>600</v>
      </c>
      <c r="E160" s="40">
        <f t="shared" si="8"/>
        <v>0</v>
      </c>
    </row>
    <row r="161" spans="1:5" x14ac:dyDescent="0.25">
      <c r="A161" s="34">
        <v>167</v>
      </c>
      <c r="B161" s="9" t="s">
        <v>222</v>
      </c>
      <c r="C161" s="12">
        <v>93</v>
      </c>
      <c r="D161" s="35">
        <v>116</v>
      </c>
      <c r="E161" s="40">
        <f t="shared" si="8"/>
        <v>10788</v>
      </c>
    </row>
    <row r="162" spans="1:5" x14ac:dyDescent="0.25">
      <c r="A162" s="34">
        <v>168</v>
      </c>
      <c r="B162" s="9" t="s">
        <v>221</v>
      </c>
      <c r="C162" s="12">
        <v>0</v>
      </c>
      <c r="D162" s="35">
        <v>280</v>
      </c>
      <c r="E162" s="40">
        <f t="shared" si="8"/>
        <v>0</v>
      </c>
    </row>
    <row r="163" spans="1:5" x14ac:dyDescent="0.25">
      <c r="A163" s="34">
        <v>169</v>
      </c>
      <c r="B163" s="9" t="s">
        <v>274</v>
      </c>
      <c r="C163" s="12">
        <v>275</v>
      </c>
      <c r="D163" s="35">
        <v>94</v>
      </c>
      <c r="E163" s="40">
        <f t="shared" si="8"/>
        <v>25850</v>
      </c>
    </row>
    <row r="164" spans="1:5" x14ac:dyDescent="0.25">
      <c r="A164" s="34">
        <v>170</v>
      </c>
      <c r="B164" s="9" t="s">
        <v>220</v>
      </c>
      <c r="C164" s="12">
        <f>29.4+15.1</f>
        <v>44.5</v>
      </c>
      <c r="D164" s="35">
        <v>116</v>
      </c>
      <c r="E164" s="40">
        <f t="shared" si="8"/>
        <v>5162</v>
      </c>
    </row>
    <row r="165" spans="1:5" x14ac:dyDescent="0.25">
      <c r="A165" s="34">
        <v>171</v>
      </c>
      <c r="B165" s="9" t="s">
        <v>219</v>
      </c>
      <c r="C165" s="12">
        <f>60.7+28.9+14.86</f>
        <v>104.46</v>
      </c>
      <c r="D165" s="35">
        <v>72</v>
      </c>
      <c r="E165" s="40">
        <f t="shared" si="8"/>
        <v>7521.12</v>
      </c>
    </row>
    <row r="166" spans="1:5" x14ac:dyDescent="0.25">
      <c r="A166" s="34">
        <v>172</v>
      </c>
      <c r="B166" s="9" t="s">
        <v>218</v>
      </c>
      <c r="C166" s="12">
        <f>4.5+7.04-3.9+2.024</f>
        <v>9.6639999999999979</v>
      </c>
      <c r="D166" s="35">
        <v>62</v>
      </c>
      <c r="E166" s="40">
        <f t="shared" si="8"/>
        <v>599.16799999999989</v>
      </c>
    </row>
    <row r="167" spans="1:5" x14ac:dyDescent="0.25">
      <c r="A167" s="34">
        <v>173</v>
      </c>
      <c r="B167" s="9" t="s">
        <v>217</v>
      </c>
      <c r="C167" s="12">
        <v>0.62</v>
      </c>
      <c r="D167" s="35">
        <v>132</v>
      </c>
      <c r="E167" s="40">
        <f t="shared" ref="E167:E211" si="9">C167*D167</f>
        <v>81.84</v>
      </c>
    </row>
    <row r="168" spans="1:5" x14ac:dyDescent="0.25">
      <c r="A168" s="34">
        <v>174</v>
      </c>
      <c r="B168" s="9" t="s">
        <v>216</v>
      </c>
      <c r="C168" s="12">
        <f>36.9+12.8+6.8+11.6+19.9-3.9</f>
        <v>84.1</v>
      </c>
      <c r="D168" s="35">
        <v>68</v>
      </c>
      <c r="E168" s="40">
        <f t="shared" si="9"/>
        <v>5718.7999999999993</v>
      </c>
    </row>
    <row r="169" spans="1:5" x14ac:dyDescent="0.25">
      <c r="A169" s="34">
        <v>175</v>
      </c>
      <c r="B169" s="9" t="s">
        <v>215</v>
      </c>
      <c r="C169" s="12">
        <f>734.9+192.6</f>
        <v>927.5</v>
      </c>
      <c r="D169" s="35">
        <v>52</v>
      </c>
      <c r="E169" s="40">
        <f t="shared" si="9"/>
        <v>48230</v>
      </c>
    </row>
    <row r="170" spans="1:5" x14ac:dyDescent="0.25">
      <c r="A170" s="34">
        <v>176</v>
      </c>
      <c r="B170" s="9" t="s">
        <v>214</v>
      </c>
      <c r="C170" s="12">
        <f>8.6+20.9</f>
        <v>29.5</v>
      </c>
      <c r="D170" s="35">
        <v>66</v>
      </c>
      <c r="E170" s="40">
        <f t="shared" si="9"/>
        <v>1947</v>
      </c>
    </row>
    <row r="171" spans="1:5" x14ac:dyDescent="0.25">
      <c r="A171" s="34">
        <v>177</v>
      </c>
      <c r="B171" s="9" t="s">
        <v>213</v>
      </c>
      <c r="C171" s="12">
        <f>11.42-3.9</f>
        <v>7.52</v>
      </c>
      <c r="D171" s="35">
        <v>170</v>
      </c>
      <c r="E171" s="40">
        <f t="shared" si="9"/>
        <v>1278.3999999999999</v>
      </c>
    </row>
    <row r="172" spans="1:5" x14ac:dyDescent="0.25">
      <c r="A172" s="34">
        <v>178</v>
      </c>
      <c r="B172" s="9" t="s">
        <v>212</v>
      </c>
      <c r="C172" s="12">
        <f>371.475</f>
        <v>371.47500000000002</v>
      </c>
      <c r="D172" s="35">
        <v>72</v>
      </c>
      <c r="E172" s="40">
        <f t="shared" si="9"/>
        <v>26746.2</v>
      </c>
    </row>
    <row r="173" spans="1:5" x14ac:dyDescent="0.25">
      <c r="A173" s="34">
        <v>179</v>
      </c>
      <c r="B173" s="9" t="s">
        <v>211</v>
      </c>
      <c r="C173" s="12">
        <v>0</v>
      </c>
      <c r="D173" s="35">
        <v>92</v>
      </c>
      <c r="E173" s="40">
        <f t="shared" si="9"/>
        <v>0</v>
      </c>
    </row>
    <row r="174" spans="1:5" x14ac:dyDescent="0.25">
      <c r="A174" s="34">
        <v>180</v>
      </c>
      <c r="B174" s="9" t="s">
        <v>210</v>
      </c>
      <c r="C174" s="12">
        <f>8.6+23.9+3.18+0.84</f>
        <v>36.520000000000003</v>
      </c>
      <c r="D174" s="35">
        <v>95</v>
      </c>
      <c r="E174" s="40">
        <f t="shared" si="9"/>
        <v>3469.4</v>
      </c>
    </row>
    <row r="175" spans="1:5" x14ac:dyDescent="0.25">
      <c r="A175" s="34">
        <v>183</v>
      </c>
      <c r="B175" s="9" t="s">
        <v>207</v>
      </c>
      <c r="C175" s="12">
        <f>90.86+138.3</f>
        <v>229.16000000000003</v>
      </c>
      <c r="D175" s="35">
        <v>149</v>
      </c>
      <c r="E175" s="40">
        <f t="shared" ref="E175" si="10">C175*D175</f>
        <v>34144.840000000004</v>
      </c>
    </row>
    <row r="176" spans="1:5" x14ac:dyDescent="0.25">
      <c r="A176" s="34">
        <v>181</v>
      </c>
      <c r="B176" s="9" t="s">
        <v>209</v>
      </c>
      <c r="C176" s="12">
        <f>92.5+975.2</f>
        <v>1067.7</v>
      </c>
      <c r="D176" s="35">
        <v>43</v>
      </c>
      <c r="E176" s="40">
        <f t="shared" si="9"/>
        <v>45911.1</v>
      </c>
    </row>
    <row r="177" spans="1:5" x14ac:dyDescent="0.25">
      <c r="A177" s="34">
        <v>182</v>
      </c>
      <c r="B177" s="9" t="s">
        <v>208</v>
      </c>
      <c r="C177" s="12">
        <f>62.5154+2.74</f>
        <v>65.255399999999995</v>
      </c>
      <c r="D177" s="35">
        <v>120</v>
      </c>
      <c r="E177" s="40">
        <f t="shared" si="9"/>
        <v>7830.6479999999992</v>
      </c>
    </row>
    <row r="178" spans="1:5" x14ac:dyDescent="0.25">
      <c r="A178" s="34">
        <v>184</v>
      </c>
      <c r="B178" s="9" t="s">
        <v>206</v>
      </c>
      <c r="C178" s="12">
        <v>1.7</v>
      </c>
      <c r="D178" s="35">
        <v>176</v>
      </c>
      <c r="E178" s="40">
        <f t="shared" ref="E178" si="11">C178*D178</f>
        <v>299.2</v>
      </c>
    </row>
    <row r="179" spans="1:5" ht="15.75" thickBot="1" x14ac:dyDescent="0.3">
      <c r="A179" s="32"/>
      <c r="B179" s="22" t="s">
        <v>17</v>
      </c>
      <c r="C179" s="23">
        <f>SUM(C133:C177)</f>
        <v>9105.5294000000031</v>
      </c>
      <c r="D179" s="15"/>
      <c r="E179" s="37">
        <f>SUM(E136:E178)</f>
        <v>326759.99399999995</v>
      </c>
    </row>
    <row r="180" spans="1:5" ht="27.75" customHeight="1" thickBot="1" x14ac:dyDescent="0.3">
      <c r="A180" s="33"/>
      <c r="B180" s="19" t="s">
        <v>1</v>
      </c>
      <c r="C180" s="20" t="s">
        <v>2</v>
      </c>
      <c r="D180" s="20" t="s">
        <v>3</v>
      </c>
      <c r="E180" s="21" t="s">
        <v>4</v>
      </c>
    </row>
    <row r="181" spans="1:5" x14ac:dyDescent="0.25">
      <c r="A181" s="34">
        <v>185</v>
      </c>
      <c r="B181" s="9" t="s">
        <v>205</v>
      </c>
      <c r="C181" s="12">
        <v>0</v>
      </c>
      <c r="D181" s="35">
        <v>180</v>
      </c>
      <c r="E181" s="40">
        <f t="shared" si="9"/>
        <v>0</v>
      </c>
    </row>
    <row r="182" spans="1:5" x14ac:dyDescent="0.25">
      <c r="A182" s="34">
        <v>186</v>
      </c>
      <c r="B182" s="9" t="s">
        <v>204</v>
      </c>
      <c r="C182" s="12">
        <v>47.5</v>
      </c>
      <c r="D182" s="35">
        <v>182</v>
      </c>
      <c r="E182" s="40">
        <f t="shared" si="9"/>
        <v>8645</v>
      </c>
    </row>
    <row r="183" spans="1:5" x14ac:dyDescent="0.25">
      <c r="A183" s="34">
        <v>187</v>
      </c>
      <c r="B183" s="9" t="s">
        <v>203</v>
      </c>
      <c r="C183" s="12">
        <f>58.5+64.5</f>
        <v>123</v>
      </c>
      <c r="D183" s="35">
        <v>56</v>
      </c>
      <c r="E183" s="40">
        <f t="shared" si="9"/>
        <v>6888</v>
      </c>
    </row>
    <row r="184" spans="1:5" x14ac:dyDescent="0.25">
      <c r="A184" s="34">
        <v>188</v>
      </c>
      <c r="B184" s="9" t="s">
        <v>202</v>
      </c>
      <c r="C184" s="12">
        <f>4+20.3+30+1.6+6.485</f>
        <v>62.384999999999998</v>
      </c>
      <c r="D184" s="35">
        <v>58</v>
      </c>
      <c r="E184" s="40">
        <f t="shared" si="9"/>
        <v>3618.33</v>
      </c>
    </row>
    <row r="185" spans="1:5" x14ac:dyDescent="0.25">
      <c r="A185" s="34">
        <v>189</v>
      </c>
      <c r="B185" s="9" t="s">
        <v>201</v>
      </c>
      <c r="C185" s="12">
        <v>0</v>
      </c>
      <c r="D185" s="35">
        <v>72</v>
      </c>
      <c r="E185" s="40">
        <f t="shared" si="9"/>
        <v>0</v>
      </c>
    </row>
    <row r="186" spans="1:5" x14ac:dyDescent="0.25">
      <c r="A186" s="34">
        <v>190</v>
      </c>
      <c r="B186" s="9" t="s">
        <v>200</v>
      </c>
      <c r="C186" s="12">
        <v>0</v>
      </c>
      <c r="D186" s="35">
        <v>120</v>
      </c>
      <c r="E186" s="40">
        <f t="shared" si="9"/>
        <v>0</v>
      </c>
    </row>
    <row r="187" spans="1:5" x14ac:dyDescent="0.25">
      <c r="A187" s="34">
        <v>191</v>
      </c>
      <c r="B187" s="9" t="s">
        <v>199</v>
      </c>
      <c r="C187" s="12">
        <v>0</v>
      </c>
      <c r="D187" s="35">
        <v>14</v>
      </c>
      <c r="E187" s="40">
        <f t="shared" si="9"/>
        <v>0</v>
      </c>
    </row>
    <row r="188" spans="1:5" x14ac:dyDescent="0.25">
      <c r="A188" s="34">
        <v>192</v>
      </c>
      <c r="B188" s="9" t="s">
        <v>198</v>
      </c>
      <c r="C188" s="12">
        <f>106+9.8</f>
        <v>115.8</v>
      </c>
      <c r="D188" s="35">
        <v>36</v>
      </c>
      <c r="E188" s="40">
        <f t="shared" si="9"/>
        <v>4168.8</v>
      </c>
    </row>
    <row r="189" spans="1:5" x14ac:dyDescent="0.25">
      <c r="A189" s="34">
        <v>193</v>
      </c>
      <c r="B189" s="9" t="s">
        <v>197</v>
      </c>
      <c r="C189" s="12">
        <f>850+2.5</f>
        <v>852.5</v>
      </c>
      <c r="D189" s="35">
        <v>28</v>
      </c>
      <c r="E189" s="40">
        <f t="shared" si="9"/>
        <v>23870</v>
      </c>
    </row>
    <row r="190" spans="1:5" x14ac:dyDescent="0.25">
      <c r="A190" s="34">
        <v>194</v>
      </c>
      <c r="B190" s="9" t="s">
        <v>196</v>
      </c>
      <c r="C190" s="12">
        <v>31</v>
      </c>
      <c r="D190" s="35">
        <v>32</v>
      </c>
      <c r="E190" s="40">
        <f t="shared" si="9"/>
        <v>992</v>
      </c>
    </row>
    <row r="191" spans="1:5" x14ac:dyDescent="0.25">
      <c r="A191" s="34">
        <v>195</v>
      </c>
      <c r="B191" s="9" t="s">
        <v>93</v>
      </c>
      <c r="C191" s="12">
        <f>94.1+34.7+13.44-2.2</f>
        <v>140.04000000000002</v>
      </c>
      <c r="D191" s="35">
        <v>38</v>
      </c>
      <c r="E191" s="40">
        <f t="shared" si="9"/>
        <v>5321.52</v>
      </c>
    </row>
    <row r="192" spans="1:5" x14ac:dyDescent="0.25">
      <c r="A192" s="34">
        <v>196</v>
      </c>
      <c r="B192" s="9" t="s">
        <v>92</v>
      </c>
      <c r="C192" s="12">
        <f>71.8+17.4</f>
        <v>89.199999999999989</v>
      </c>
      <c r="D192" s="35">
        <v>95</v>
      </c>
      <c r="E192" s="40">
        <f t="shared" si="9"/>
        <v>8473.9999999999982</v>
      </c>
    </row>
    <row r="193" spans="1:5" x14ac:dyDescent="0.25">
      <c r="A193" s="34">
        <v>197</v>
      </c>
      <c r="B193" s="9" t="s">
        <v>91</v>
      </c>
      <c r="C193" s="12">
        <f>19.3+2.42</f>
        <v>21.72</v>
      </c>
      <c r="D193" s="35">
        <v>420</v>
      </c>
      <c r="E193" s="40">
        <f t="shared" si="9"/>
        <v>9122.4</v>
      </c>
    </row>
    <row r="194" spans="1:5" x14ac:dyDescent="0.25">
      <c r="A194" s="34">
        <v>198</v>
      </c>
      <c r="B194" s="9" t="s">
        <v>90</v>
      </c>
      <c r="C194" s="12">
        <f>3.2+18.7-2.2</f>
        <v>19.7</v>
      </c>
      <c r="D194" s="35">
        <v>184</v>
      </c>
      <c r="E194" s="40">
        <f t="shared" si="9"/>
        <v>3624.7999999999997</v>
      </c>
    </row>
    <row r="195" spans="1:5" x14ac:dyDescent="0.25">
      <c r="A195" s="34">
        <v>199</v>
      </c>
      <c r="B195" s="9" t="s">
        <v>89</v>
      </c>
      <c r="C195" s="12">
        <v>48.51</v>
      </c>
      <c r="D195" s="35">
        <v>50</v>
      </c>
      <c r="E195" s="40">
        <f t="shared" si="9"/>
        <v>2425.5</v>
      </c>
    </row>
    <row r="196" spans="1:5" x14ac:dyDescent="0.25">
      <c r="A196" s="34">
        <v>200</v>
      </c>
      <c r="B196" s="9" t="s">
        <v>290</v>
      </c>
      <c r="C196" s="12">
        <f>299.42+62.5</f>
        <v>361.92</v>
      </c>
      <c r="D196" s="35">
        <v>57</v>
      </c>
      <c r="E196" s="40">
        <f t="shared" si="9"/>
        <v>20629.440000000002</v>
      </c>
    </row>
    <row r="197" spans="1:5" x14ac:dyDescent="0.25">
      <c r="A197" s="34">
        <v>201</v>
      </c>
      <c r="B197" s="9" t="s">
        <v>88</v>
      </c>
      <c r="C197" s="12">
        <f>139.6+38.6+24.14-2.2</f>
        <v>200.14</v>
      </c>
      <c r="D197" s="35">
        <v>42</v>
      </c>
      <c r="E197" s="40">
        <f t="shared" si="9"/>
        <v>8405.8799999999992</v>
      </c>
    </row>
    <row r="198" spans="1:5" x14ac:dyDescent="0.25">
      <c r="A198" s="34">
        <v>202</v>
      </c>
      <c r="B198" s="9" t="s">
        <v>87</v>
      </c>
      <c r="C198" s="12">
        <f>41.29+4.876</f>
        <v>46.165999999999997</v>
      </c>
      <c r="D198" s="35">
        <v>110</v>
      </c>
      <c r="E198" s="40">
        <f t="shared" si="9"/>
        <v>5078.2599999999993</v>
      </c>
    </row>
    <row r="199" spans="1:5" x14ac:dyDescent="0.25">
      <c r="A199" s="34">
        <v>203</v>
      </c>
      <c r="B199" s="9" t="s">
        <v>86</v>
      </c>
      <c r="C199" s="12">
        <v>150</v>
      </c>
      <c r="D199" s="35">
        <v>120</v>
      </c>
      <c r="E199" s="40">
        <f t="shared" si="9"/>
        <v>18000</v>
      </c>
    </row>
    <row r="200" spans="1:5" x14ac:dyDescent="0.25">
      <c r="A200" s="34">
        <v>204</v>
      </c>
      <c r="B200" s="9" t="s">
        <v>85</v>
      </c>
      <c r="C200" s="12">
        <v>210</v>
      </c>
      <c r="D200" s="35">
        <v>105</v>
      </c>
      <c r="E200" s="40">
        <f t="shared" si="9"/>
        <v>22050</v>
      </c>
    </row>
    <row r="201" spans="1:5" x14ac:dyDescent="0.25">
      <c r="A201" s="34">
        <v>205</v>
      </c>
      <c r="B201" s="9" t="s">
        <v>84</v>
      </c>
      <c r="C201" s="12">
        <f>104.54+39.46-4.4</f>
        <v>139.6</v>
      </c>
      <c r="D201" s="35">
        <v>62</v>
      </c>
      <c r="E201" s="40">
        <f t="shared" si="9"/>
        <v>8655.1999999999989</v>
      </c>
    </row>
    <row r="202" spans="1:5" x14ac:dyDescent="0.25">
      <c r="A202" s="34">
        <v>206</v>
      </c>
      <c r="B202" s="9" t="s">
        <v>83</v>
      </c>
      <c r="C202" s="12">
        <f>170.52+6.5+1.96+19.84-2.2+19.68-2.2</f>
        <v>214.10000000000005</v>
      </c>
      <c r="D202" s="35">
        <v>100</v>
      </c>
      <c r="E202" s="40">
        <f t="shared" si="9"/>
        <v>21410.000000000004</v>
      </c>
    </row>
    <row r="203" spans="1:5" x14ac:dyDescent="0.25">
      <c r="A203" s="34">
        <v>207</v>
      </c>
      <c r="B203" s="9" t="s">
        <v>79</v>
      </c>
      <c r="C203" s="12">
        <v>5.8</v>
      </c>
      <c r="D203" s="35">
        <v>160</v>
      </c>
      <c r="E203" s="40">
        <f t="shared" si="9"/>
        <v>928</v>
      </c>
    </row>
    <row r="204" spans="1:5" x14ac:dyDescent="0.25">
      <c r="A204" s="34">
        <v>208</v>
      </c>
      <c r="B204" s="9" t="s">
        <v>82</v>
      </c>
      <c r="C204" s="12">
        <v>0</v>
      </c>
      <c r="D204" s="35">
        <v>93</v>
      </c>
      <c r="E204" s="40">
        <f t="shared" si="9"/>
        <v>0</v>
      </c>
    </row>
    <row r="205" spans="1:5" x14ac:dyDescent="0.25">
      <c r="A205" s="34">
        <v>209</v>
      </c>
      <c r="B205" s="9" t="s">
        <v>81</v>
      </c>
      <c r="C205" s="12">
        <v>8</v>
      </c>
      <c r="D205" s="35">
        <v>70</v>
      </c>
      <c r="E205" s="40">
        <f t="shared" si="9"/>
        <v>560</v>
      </c>
    </row>
    <row r="206" spans="1:5" x14ac:dyDescent="0.25">
      <c r="A206" s="34">
        <v>210</v>
      </c>
      <c r="B206" s="9" t="s">
        <v>80</v>
      </c>
      <c r="C206" s="12">
        <v>4</v>
      </c>
      <c r="D206" s="35">
        <v>65</v>
      </c>
      <c r="E206" s="40">
        <f t="shared" si="9"/>
        <v>260</v>
      </c>
    </row>
    <row r="207" spans="1:5" x14ac:dyDescent="0.25">
      <c r="A207" s="34">
        <v>211</v>
      </c>
      <c r="B207" s="9" t="s">
        <v>279</v>
      </c>
      <c r="C207" s="12">
        <v>4</v>
      </c>
      <c r="D207" s="35">
        <v>36</v>
      </c>
      <c r="E207" s="40">
        <f t="shared" si="9"/>
        <v>144</v>
      </c>
    </row>
    <row r="208" spans="1:5" x14ac:dyDescent="0.25">
      <c r="A208" s="34">
        <v>212</v>
      </c>
      <c r="B208" s="9" t="s">
        <v>97</v>
      </c>
      <c r="C208" s="12">
        <v>3.9</v>
      </c>
      <c r="D208" s="35">
        <v>80</v>
      </c>
      <c r="E208" s="40">
        <f t="shared" si="9"/>
        <v>312</v>
      </c>
    </row>
    <row r="209" spans="1:5" x14ac:dyDescent="0.25">
      <c r="A209" s="34">
        <v>213</v>
      </c>
      <c r="B209" s="9" t="s">
        <v>78</v>
      </c>
      <c r="C209" s="12">
        <v>0</v>
      </c>
      <c r="D209" s="35">
        <v>58</v>
      </c>
      <c r="E209" s="40">
        <f t="shared" si="9"/>
        <v>0</v>
      </c>
    </row>
    <row r="210" spans="1:5" x14ac:dyDescent="0.25">
      <c r="A210" s="34">
        <v>214</v>
      </c>
      <c r="B210" s="9" t="s">
        <v>77</v>
      </c>
      <c r="C210" s="12">
        <v>0.52</v>
      </c>
      <c r="D210" s="35">
        <v>90</v>
      </c>
      <c r="E210" s="40">
        <f t="shared" si="9"/>
        <v>46.800000000000004</v>
      </c>
    </row>
    <row r="211" spans="1:5" x14ac:dyDescent="0.25">
      <c r="A211" s="34">
        <v>215</v>
      </c>
      <c r="B211" s="9" t="s">
        <v>76</v>
      </c>
      <c r="C211" s="12">
        <v>5</v>
      </c>
      <c r="D211" s="35">
        <v>36</v>
      </c>
      <c r="E211" s="40">
        <f t="shared" si="9"/>
        <v>180</v>
      </c>
    </row>
    <row r="212" spans="1:5" x14ac:dyDescent="0.25">
      <c r="A212" s="34">
        <v>216</v>
      </c>
      <c r="B212" s="9" t="s">
        <v>19</v>
      </c>
      <c r="C212" s="12">
        <v>13</v>
      </c>
      <c r="D212" s="35">
        <v>60</v>
      </c>
      <c r="E212" s="40">
        <f t="shared" ref="E212:E245" si="12">C212*D212</f>
        <v>780</v>
      </c>
    </row>
    <row r="213" spans="1:5" x14ac:dyDescent="0.25">
      <c r="A213" s="34">
        <v>217</v>
      </c>
      <c r="B213" s="9" t="s">
        <v>75</v>
      </c>
      <c r="C213" s="12">
        <v>0</v>
      </c>
      <c r="D213" s="35">
        <v>38</v>
      </c>
      <c r="E213" s="40">
        <f t="shared" si="12"/>
        <v>0</v>
      </c>
    </row>
    <row r="214" spans="1:5" ht="17.25" customHeight="1" x14ac:dyDescent="0.25">
      <c r="A214" s="34">
        <v>218</v>
      </c>
      <c r="B214" s="9" t="s">
        <v>74</v>
      </c>
      <c r="C214" s="12">
        <v>8</v>
      </c>
      <c r="D214" s="35">
        <v>40</v>
      </c>
      <c r="E214" s="40">
        <f t="shared" si="12"/>
        <v>320</v>
      </c>
    </row>
    <row r="215" spans="1:5" ht="17.25" customHeight="1" x14ac:dyDescent="0.25">
      <c r="A215" s="34">
        <v>219</v>
      </c>
      <c r="B215" s="9" t="s">
        <v>73</v>
      </c>
      <c r="C215" s="12">
        <v>0</v>
      </c>
      <c r="D215" s="35">
        <v>110</v>
      </c>
      <c r="E215" s="40">
        <f t="shared" si="12"/>
        <v>0</v>
      </c>
    </row>
    <row r="216" spans="1:5" ht="17.25" customHeight="1" x14ac:dyDescent="0.25">
      <c r="A216" s="34">
        <v>220</v>
      </c>
      <c r="B216" s="9" t="s">
        <v>71</v>
      </c>
      <c r="C216" s="12">
        <v>60</v>
      </c>
      <c r="D216" s="35">
        <v>30</v>
      </c>
      <c r="E216" s="40">
        <f t="shared" si="12"/>
        <v>1800</v>
      </c>
    </row>
    <row r="217" spans="1:5" ht="17.25" customHeight="1" x14ac:dyDescent="0.25">
      <c r="A217" s="34">
        <v>221</v>
      </c>
      <c r="B217" s="9" t="s">
        <v>72</v>
      </c>
      <c r="C217" s="12">
        <f>1.7+1.268</f>
        <v>2.968</v>
      </c>
      <c r="D217" s="35">
        <v>370</v>
      </c>
      <c r="E217" s="40">
        <f t="shared" si="12"/>
        <v>1098.1600000000001</v>
      </c>
    </row>
    <row r="218" spans="1:5" ht="17.25" customHeight="1" x14ac:dyDescent="0.25">
      <c r="A218" s="34">
        <v>222</v>
      </c>
      <c r="B218" s="9" t="s">
        <v>70</v>
      </c>
      <c r="C218" s="12">
        <f>3.6+0.46</f>
        <v>4.0600000000000005</v>
      </c>
      <c r="D218" s="35">
        <v>280</v>
      </c>
      <c r="E218" s="40">
        <f t="shared" si="12"/>
        <v>1136.8000000000002</v>
      </c>
    </row>
    <row r="219" spans="1:5" ht="17.25" customHeight="1" x14ac:dyDescent="0.25">
      <c r="A219" s="34">
        <v>223</v>
      </c>
      <c r="B219" s="9" t="s">
        <v>69</v>
      </c>
      <c r="C219" s="12">
        <v>0</v>
      </c>
      <c r="D219" s="35">
        <v>475</v>
      </c>
      <c r="E219" s="40">
        <f t="shared" si="12"/>
        <v>0</v>
      </c>
    </row>
    <row r="220" spans="1:5" ht="17.25" customHeight="1" x14ac:dyDescent="0.25">
      <c r="A220" s="34">
        <v>224</v>
      </c>
      <c r="B220" s="9" t="s">
        <v>68</v>
      </c>
      <c r="C220" s="12">
        <v>1</v>
      </c>
      <c r="D220" s="35">
        <v>51</v>
      </c>
      <c r="E220" s="40">
        <f t="shared" si="12"/>
        <v>51</v>
      </c>
    </row>
    <row r="221" spans="1:5" ht="17.25" customHeight="1" x14ac:dyDescent="0.25">
      <c r="A221" s="34">
        <v>225</v>
      </c>
      <c r="B221" s="9" t="s">
        <v>67</v>
      </c>
      <c r="C221" s="12">
        <v>0</v>
      </c>
      <c r="D221" s="35">
        <v>21</v>
      </c>
      <c r="E221" s="40">
        <f t="shared" si="12"/>
        <v>0</v>
      </c>
    </row>
    <row r="222" spans="1:5" ht="17.25" customHeight="1" x14ac:dyDescent="0.25">
      <c r="A222" s="34">
        <v>226</v>
      </c>
      <c r="B222" s="9" t="s">
        <v>66</v>
      </c>
      <c r="C222" s="12">
        <v>0</v>
      </c>
      <c r="D222" s="35">
        <v>96</v>
      </c>
      <c r="E222" s="40">
        <f t="shared" ref="E222" si="13">C222*D222</f>
        <v>0</v>
      </c>
    </row>
    <row r="223" spans="1:5" ht="15.75" thickBot="1" x14ac:dyDescent="0.3">
      <c r="A223" s="32"/>
      <c r="B223" s="22" t="s">
        <v>17</v>
      </c>
      <c r="C223" s="23">
        <f>SUM(C178:C221)</f>
        <v>12100.758400000004</v>
      </c>
      <c r="D223" s="38"/>
      <c r="E223" s="37">
        <f>SUM(E181:E222)</f>
        <v>188995.88999999998</v>
      </c>
    </row>
    <row r="224" spans="1:5" ht="28.5" customHeight="1" thickBot="1" x14ac:dyDescent="0.3">
      <c r="A224" s="33"/>
      <c r="B224" s="19" t="s">
        <v>1</v>
      </c>
      <c r="C224" s="20" t="s">
        <v>2</v>
      </c>
      <c r="D224" s="20" t="s">
        <v>3</v>
      </c>
      <c r="E224" s="21" t="s">
        <v>4</v>
      </c>
    </row>
    <row r="225" spans="1:5" ht="17.25" customHeight="1" x14ac:dyDescent="0.25">
      <c r="A225" s="34">
        <v>227</v>
      </c>
      <c r="B225" s="9" t="s">
        <v>65</v>
      </c>
      <c r="C225" s="12">
        <v>7</v>
      </c>
      <c r="D225" s="35">
        <v>40</v>
      </c>
      <c r="E225" s="40">
        <f t="shared" si="12"/>
        <v>280</v>
      </c>
    </row>
    <row r="226" spans="1:5" ht="17.25" customHeight="1" x14ac:dyDescent="0.25">
      <c r="A226" s="34">
        <v>228</v>
      </c>
      <c r="B226" s="9" t="s">
        <v>64</v>
      </c>
      <c r="C226" s="12">
        <v>13</v>
      </c>
      <c r="D226" s="35">
        <v>60</v>
      </c>
      <c r="E226" s="40">
        <f t="shared" si="12"/>
        <v>780</v>
      </c>
    </row>
    <row r="227" spans="1:5" ht="17.25" customHeight="1" x14ac:dyDescent="0.25">
      <c r="A227" s="34">
        <v>229</v>
      </c>
      <c r="B227" s="9" t="s">
        <v>63</v>
      </c>
      <c r="C227" s="12">
        <v>4.54</v>
      </c>
      <c r="D227" s="35">
        <v>315</v>
      </c>
      <c r="E227" s="40">
        <f t="shared" si="12"/>
        <v>1430.1</v>
      </c>
    </row>
    <row r="228" spans="1:5" ht="17.25" customHeight="1" x14ac:dyDescent="0.25">
      <c r="A228" s="34">
        <v>231</v>
      </c>
      <c r="B228" s="9" t="s">
        <v>62</v>
      </c>
      <c r="C228" s="12">
        <v>17.399999999999999</v>
      </c>
      <c r="D228" s="35">
        <v>18</v>
      </c>
      <c r="E228" s="40">
        <f t="shared" si="12"/>
        <v>313.2</v>
      </c>
    </row>
    <row r="229" spans="1:5" ht="17.25" customHeight="1" x14ac:dyDescent="0.25">
      <c r="A229" s="34">
        <v>232</v>
      </c>
      <c r="B229" s="9" t="s">
        <v>61</v>
      </c>
      <c r="C229" s="12">
        <v>0</v>
      </c>
      <c r="D229" s="35">
        <v>400</v>
      </c>
      <c r="E229" s="40">
        <f t="shared" si="12"/>
        <v>0</v>
      </c>
    </row>
    <row r="230" spans="1:5" ht="17.25" customHeight="1" x14ac:dyDescent="0.25">
      <c r="A230" s="34">
        <v>233</v>
      </c>
      <c r="B230" s="9" t="s">
        <v>60</v>
      </c>
      <c r="C230" s="12">
        <v>0</v>
      </c>
      <c r="D230" s="35">
        <v>177</v>
      </c>
      <c r="E230" s="40">
        <f t="shared" si="12"/>
        <v>0</v>
      </c>
    </row>
    <row r="231" spans="1:5" ht="17.25" customHeight="1" x14ac:dyDescent="0.25">
      <c r="A231" s="34">
        <v>234</v>
      </c>
      <c r="B231" s="9" t="s">
        <v>59</v>
      </c>
      <c r="C231" s="12">
        <v>0</v>
      </c>
      <c r="D231" s="35">
        <v>64</v>
      </c>
      <c r="E231" s="40">
        <f t="shared" si="12"/>
        <v>0</v>
      </c>
    </row>
    <row r="232" spans="1:5" ht="17.25" customHeight="1" x14ac:dyDescent="0.25">
      <c r="A232" s="34">
        <v>235</v>
      </c>
      <c r="B232" s="9" t="s">
        <v>58</v>
      </c>
      <c r="C232" s="12">
        <v>6</v>
      </c>
      <c r="D232" s="35">
        <v>130</v>
      </c>
      <c r="E232" s="40">
        <f t="shared" si="12"/>
        <v>780</v>
      </c>
    </row>
    <row r="233" spans="1:5" ht="17.25" customHeight="1" x14ac:dyDescent="0.25">
      <c r="A233" s="34">
        <v>236</v>
      </c>
      <c r="B233" s="9" t="s">
        <v>57</v>
      </c>
      <c r="C233" s="12">
        <f>662.2+58.2</f>
        <v>720.40000000000009</v>
      </c>
      <c r="D233" s="35">
        <v>36</v>
      </c>
      <c r="E233" s="40">
        <f t="shared" si="12"/>
        <v>25934.400000000001</v>
      </c>
    </row>
    <row r="234" spans="1:5" ht="17.25" customHeight="1" x14ac:dyDescent="0.25">
      <c r="A234" s="34">
        <v>237</v>
      </c>
      <c r="B234" s="9" t="s">
        <v>56</v>
      </c>
      <c r="C234" s="12">
        <v>0</v>
      </c>
      <c r="D234" s="35">
        <v>177</v>
      </c>
      <c r="E234" s="40">
        <f t="shared" si="12"/>
        <v>0</v>
      </c>
    </row>
    <row r="235" spans="1:5" ht="17.25" customHeight="1" x14ac:dyDescent="0.25">
      <c r="A235" s="34">
        <v>238</v>
      </c>
      <c r="B235" s="9" t="s">
        <v>50</v>
      </c>
      <c r="C235" s="12">
        <f>1.14+2.94</f>
        <v>4.08</v>
      </c>
      <c r="D235" s="35">
        <v>148</v>
      </c>
      <c r="E235" s="40">
        <f t="shared" si="12"/>
        <v>603.84</v>
      </c>
    </row>
    <row r="236" spans="1:5" ht="17.25" customHeight="1" x14ac:dyDescent="0.25">
      <c r="A236" s="34">
        <v>239</v>
      </c>
      <c r="B236" s="9" t="s">
        <v>49</v>
      </c>
      <c r="C236" s="12">
        <f>2.24+17.32</f>
        <v>19.560000000000002</v>
      </c>
      <c r="D236" s="35">
        <v>76</v>
      </c>
      <c r="E236" s="40">
        <f t="shared" si="12"/>
        <v>1486.5600000000002</v>
      </c>
    </row>
    <row r="237" spans="1:5" ht="17.25" customHeight="1" x14ac:dyDescent="0.25">
      <c r="A237" s="34">
        <v>240</v>
      </c>
      <c r="B237" s="9" t="s">
        <v>48</v>
      </c>
      <c r="C237" s="12">
        <v>1.34</v>
      </c>
      <c r="D237" s="35">
        <v>120</v>
      </c>
      <c r="E237" s="40">
        <f t="shared" si="12"/>
        <v>160.80000000000001</v>
      </c>
    </row>
    <row r="238" spans="1:5" ht="17.25" customHeight="1" x14ac:dyDescent="0.25">
      <c r="A238" s="34">
        <v>241</v>
      </c>
      <c r="B238" s="9" t="s">
        <v>47</v>
      </c>
      <c r="C238" s="12">
        <v>0</v>
      </c>
      <c r="D238" s="35">
        <v>52</v>
      </c>
      <c r="E238" s="40">
        <f t="shared" si="12"/>
        <v>0</v>
      </c>
    </row>
    <row r="239" spans="1:5" ht="17.25" customHeight="1" x14ac:dyDescent="0.25">
      <c r="A239" s="34">
        <v>242</v>
      </c>
      <c r="B239" s="9" t="s">
        <v>46</v>
      </c>
      <c r="C239" s="12">
        <v>22</v>
      </c>
      <c r="D239" s="35">
        <v>24</v>
      </c>
      <c r="E239" s="40">
        <f t="shared" si="12"/>
        <v>528</v>
      </c>
    </row>
    <row r="240" spans="1:5" ht="17.25" customHeight="1" x14ac:dyDescent="0.25">
      <c r="A240" s="34">
        <v>243</v>
      </c>
      <c r="B240" s="9" t="s">
        <v>45</v>
      </c>
      <c r="C240" s="12">
        <v>0</v>
      </c>
      <c r="D240" s="35">
        <v>90</v>
      </c>
      <c r="E240" s="40">
        <f t="shared" si="12"/>
        <v>0</v>
      </c>
    </row>
    <row r="241" spans="1:5" ht="17.25" customHeight="1" x14ac:dyDescent="0.25">
      <c r="A241" s="34">
        <v>244</v>
      </c>
      <c r="B241" s="9" t="s">
        <v>44</v>
      </c>
      <c r="C241" s="12">
        <f>54.8+1.5+10.4+5.26</f>
        <v>71.960000000000008</v>
      </c>
      <c r="D241" s="35">
        <v>98</v>
      </c>
      <c r="E241" s="40">
        <f t="shared" si="12"/>
        <v>7052.0800000000008</v>
      </c>
    </row>
    <row r="242" spans="1:5" ht="17.25" customHeight="1" x14ac:dyDescent="0.25">
      <c r="A242" s="34">
        <v>245</v>
      </c>
      <c r="B242" s="9" t="s">
        <v>43</v>
      </c>
      <c r="C242" s="12">
        <f>13.3+5.58</f>
        <v>18.880000000000003</v>
      </c>
      <c r="D242" s="35">
        <v>124</v>
      </c>
      <c r="E242" s="40">
        <f t="shared" si="12"/>
        <v>2341.1200000000003</v>
      </c>
    </row>
    <row r="243" spans="1:5" ht="17.25" customHeight="1" x14ac:dyDescent="0.25">
      <c r="A243" s="34">
        <v>246</v>
      </c>
      <c r="B243" s="9" t="s">
        <v>26</v>
      </c>
      <c r="C243" s="12">
        <v>0</v>
      </c>
      <c r="D243" s="35">
        <v>46</v>
      </c>
      <c r="E243" s="40">
        <f t="shared" si="12"/>
        <v>0</v>
      </c>
    </row>
    <row r="244" spans="1:5" ht="17.25" customHeight="1" x14ac:dyDescent="0.25">
      <c r="A244" s="34">
        <v>247</v>
      </c>
      <c r="B244" s="9" t="s">
        <v>42</v>
      </c>
      <c r="C244" s="12">
        <v>9</v>
      </c>
      <c r="D244" s="35">
        <v>20</v>
      </c>
      <c r="E244" s="40">
        <f t="shared" si="12"/>
        <v>180</v>
      </c>
    </row>
    <row r="245" spans="1:5" ht="17.25" customHeight="1" x14ac:dyDescent="0.25">
      <c r="A245" s="34">
        <v>248</v>
      </c>
      <c r="B245" s="9" t="s">
        <v>30</v>
      </c>
      <c r="C245" s="12">
        <v>0.4</v>
      </c>
      <c r="D245" s="35">
        <v>360</v>
      </c>
      <c r="E245" s="40">
        <f t="shared" si="12"/>
        <v>144</v>
      </c>
    </row>
    <row r="246" spans="1:5" ht="17.25" customHeight="1" x14ac:dyDescent="0.25">
      <c r="A246" s="34">
        <v>249</v>
      </c>
      <c r="B246" s="9" t="s">
        <v>29</v>
      </c>
      <c r="C246" s="12">
        <f>76.2+1.28</f>
        <v>77.48</v>
      </c>
      <c r="D246" s="35">
        <v>180</v>
      </c>
      <c r="E246" s="40">
        <f t="shared" ref="E246:E250" si="14">C246*D246</f>
        <v>13946.400000000001</v>
      </c>
    </row>
    <row r="247" spans="1:5" ht="17.25" customHeight="1" x14ac:dyDescent="0.25">
      <c r="A247" s="34">
        <v>250</v>
      </c>
      <c r="B247" s="9" t="s">
        <v>28</v>
      </c>
      <c r="C247" s="12">
        <v>0</v>
      </c>
      <c r="D247" s="35">
        <v>59</v>
      </c>
      <c r="E247" s="40">
        <f t="shared" si="14"/>
        <v>0</v>
      </c>
    </row>
    <row r="248" spans="1:5" ht="17.25" customHeight="1" x14ac:dyDescent="0.25">
      <c r="A248" s="34">
        <v>251</v>
      </c>
      <c r="B248" s="9" t="s">
        <v>98</v>
      </c>
      <c r="C248" s="12">
        <v>9.1999999999999993</v>
      </c>
      <c r="D248" s="35">
        <v>50</v>
      </c>
      <c r="E248" s="40">
        <f t="shared" si="14"/>
        <v>459.99999999999994</v>
      </c>
    </row>
    <row r="249" spans="1:5" ht="17.25" customHeight="1" x14ac:dyDescent="0.25">
      <c r="A249" s="34">
        <v>252</v>
      </c>
      <c r="B249" s="9" t="s">
        <v>99</v>
      </c>
      <c r="C249" s="12">
        <v>22.6</v>
      </c>
      <c r="D249" s="35">
        <v>45</v>
      </c>
      <c r="E249" s="40">
        <f t="shared" si="14"/>
        <v>1017.0000000000001</v>
      </c>
    </row>
    <row r="250" spans="1:5" ht="17.25" customHeight="1" x14ac:dyDescent="0.25">
      <c r="A250" s="34">
        <v>253</v>
      </c>
      <c r="B250" s="9" t="s">
        <v>95</v>
      </c>
      <c r="C250" s="12">
        <f>2+3.06</f>
        <v>5.0600000000000005</v>
      </c>
      <c r="D250" s="35">
        <v>350</v>
      </c>
      <c r="E250" s="40">
        <f t="shared" si="14"/>
        <v>1771.0000000000002</v>
      </c>
    </row>
    <row r="251" spans="1:5" s="6" customFormat="1" ht="17.25" customHeight="1" x14ac:dyDescent="0.25">
      <c r="A251" s="34">
        <v>254</v>
      </c>
      <c r="B251" s="10" t="s">
        <v>27</v>
      </c>
      <c r="C251" s="14">
        <v>6</v>
      </c>
      <c r="D251" s="39">
        <v>70</v>
      </c>
      <c r="E251" s="40">
        <f t="shared" ref="E251:E318" si="15">C251*D251</f>
        <v>420</v>
      </c>
    </row>
    <row r="252" spans="1:5" s="6" customFormat="1" ht="17.25" customHeight="1" x14ac:dyDescent="0.25">
      <c r="A252" s="34">
        <v>255</v>
      </c>
      <c r="B252" s="10" t="s">
        <v>184</v>
      </c>
      <c r="C252" s="14">
        <v>8</v>
      </c>
      <c r="D252" s="39">
        <v>125</v>
      </c>
      <c r="E252" s="40">
        <f t="shared" si="15"/>
        <v>1000</v>
      </c>
    </row>
    <row r="253" spans="1:5" ht="17.25" customHeight="1" x14ac:dyDescent="0.25">
      <c r="A253" s="34">
        <v>256</v>
      </c>
      <c r="B253" s="9" t="s">
        <v>25</v>
      </c>
      <c r="C253" s="12">
        <f>9.5+8.82+7.38+6.15</f>
        <v>31.85</v>
      </c>
      <c r="D253" s="35">
        <v>120</v>
      </c>
      <c r="E253" s="40">
        <f t="shared" si="15"/>
        <v>3822</v>
      </c>
    </row>
    <row r="254" spans="1:5" x14ac:dyDescent="0.25">
      <c r="A254" s="34">
        <v>257</v>
      </c>
      <c r="B254" s="9" t="s">
        <v>24</v>
      </c>
      <c r="C254" s="12">
        <f>3.5+9.5+0.424+3.64</f>
        <v>17.064</v>
      </c>
      <c r="D254" s="35">
        <v>160</v>
      </c>
      <c r="E254" s="40">
        <f t="shared" si="15"/>
        <v>2730.24</v>
      </c>
    </row>
    <row r="255" spans="1:5" x14ac:dyDescent="0.25">
      <c r="A255" s="34">
        <v>258</v>
      </c>
      <c r="B255" s="9" t="s">
        <v>185</v>
      </c>
      <c r="C255" s="12">
        <v>0</v>
      </c>
      <c r="D255" s="35">
        <v>10</v>
      </c>
      <c r="E255" s="40">
        <f t="shared" si="15"/>
        <v>0</v>
      </c>
    </row>
    <row r="256" spans="1:5" x14ac:dyDescent="0.25">
      <c r="A256" s="34">
        <v>259</v>
      </c>
      <c r="B256" s="9" t="s">
        <v>186</v>
      </c>
      <c r="C256" s="12">
        <f>295.36+26.3</f>
        <v>321.66000000000003</v>
      </c>
      <c r="D256" s="35">
        <v>74</v>
      </c>
      <c r="E256" s="40">
        <f t="shared" si="15"/>
        <v>23802.84</v>
      </c>
    </row>
    <row r="257" spans="1:5" x14ac:dyDescent="0.25">
      <c r="A257" s="34">
        <v>260</v>
      </c>
      <c r="B257" s="9" t="s">
        <v>187</v>
      </c>
      <c r="C257" s="12">
        <f>66.49+1.16+20.5</f>
        <v>88.149999999999991</v>
      </c>
      <c r="D257" s="35">
        <v>350</v>
      </c>
      <c r="E257" s="40">
        <f t="shared" si="15"/>
        <v>30852.499999999996</v>
      </c>
    </row>
    <row r="258" spans="1:5" x14ac:dyDescent="0.25">
      <c r="A258" s="34">
        <v>261</v>
      </c>
      <c r="B258" s="9" t="s">
        <v>188</v>
      </c>
      <c r="C258" s="12">
        <v>20.74</v>
      </c>
      <c r="D258" s="35">
        <v>170</v>
      </c>
      <c r="E258" s="40">
        <f t="shared" si="15"/>
        <v>3525.7999999999997</v>
      </c>
    </row>
    <row r="259" spans="1:5" x14ac:dyDescent="0.25">
      <c r="A259" s="34">
        <v>262</v>
      </c>
      <c r="B259" s="9" t="s">
        <v>189</v>
      </c>
      <c r="C259" s="12">
        <v>4.92</v>
      </c>
      <c r="D259" s="35">
        <v>745</v>
      </c>
      <c r="E259" s="40">
        <f t="shared" si="15"/>
        <v>3665.4</v>
      </c>
    </row>
    <row r="260" spans="1:5" x14ac:dyDescent="0.25">
      <c r="A260" s="34">
        <v>263</v>
      </c>
      <c r="B260" s="9" t="s">
        <v>190</v>
      </c>
      <c r="C260" s="12">
        <v>2.1800000000000002</v>
      </c>
      <c r="D260" s="35">
        <v>168</v>
      </c>
      <c r="E260" s="40">
        <f t="shared" si="15"/>
        <v>366.24</v>
      </c>
    </row>
    <row r="261" spans="1:5" x14ac:dyDescent="0.25">
      <c r="A261" s="34">
        <v>264</v>
      </c>
      <c r="B261" s="9" t="s">
        <v>191</v>
      </c>
      <c r="C261" s="12">
        <f>4.85+6.2</f>
        <v>11.05</v>
      </c>
      <c r="D261" s="35">
        <v>555</v>
      </c>
      <c r="E261" s="40">
        <f t="shared" si="15"/>
        <v>6132.75</v>
      </c>
    </row>
    <row r="262" spans="1:5" x14ac:dyDescent="0.25">
      <c r="A262" s="34">
        <v>265</v>
      </c>
      <c r="B262" s="9" t="s">
        <v>192</v>
      </c>
      <c r="C262" s="41">
        <f>1.9+0.8262</f>
        <v>2.7262</v>
      </c>
      <c r="D262" s="35">
        <v>587</v>
      </c>
      <c r="E262" s="40">
        <f t="shared" ref="E262" si="16">C262*D262</f>
        <v>1600.2793999999999</v>
      </c>
    </row>
    <row r="263" spans="1:5" ht="15.75" thickBot="1" x14ac:dyDescent="0.3">
      <c r="A263" s="32"/>
      <c r="B263" s="22" t="s">
        <v>17</v>
      </c>
      <c r="C263" s="23">
        <f>SUM(C224:C261)</f>
        <v>1541.5140000000006</v>
      </c>
      <c r="D263" s="38"/>
      <c r="E263" s="37">
        <f>SUM(E225:E261)</f>
        <v>135526.27000000002</v>
      </c>
    </row>
    <row r="264" spans="1:5" ht="31.5" customHeight="1" thickBot="1" x14ac:dyDescent="0.3">
      <c r="A264" s="33"/>
      <c r="B264" s="19" t="s">
        <v>1</v>
      </c>
      <c r="C264" s="20" t="s">
        <v>2</v>
      </c>
      <c r="D264" s="20" t="s">
        <v>3</v>
      </c>
      <c r="E264" s="21" t="s">
        <v>4</v>
      </c>
    </row>
    <row r="265" spans="1:5" x14ac:dyDescent="0.25">
      <c r="A265" s="34">
        <v>266</v>
      </c>
      <c r="B265" s="9" t="s">
        <v>193</v>
      </c>
      <c r="C265" s="12">
        <f>2.46+6.2</f>
        <v>8.66</v>
      </c>
      <c r="D265" s="35">
        <v>341</v>
      </c>
      <c r="E265" s="40">
        <f t="shared" si="15"/>
        <v>2953.06</v>
      </c>
    </row>
    <row r="266" spans="1:5" x14ac:dyDescent="0.25">
      <c r="A266" s="34">
        <v>267</v>
      </c>
      <c r="B266" s="9" t="s">
        <v>194</v>
      </c>
      <c r="C266" s="12">
        <f>2.44+0.62+0.84</f>
        <v>3.9</v>
      </c>
      <c r="D266" s="35">
        <v>659</v>
      </c>
      <c r="E266" s="40">
        <f t="shared" si="15"/>
        <v>2570.1</v>
      </c>
    </row>
    <row r="267" spans="1:5" x14ac:dyDescent="0.25">
      <c r="A267" s="34">
        <v>268</v>
      </c>
      <c r="B267" s="9" t="s">
        <v>195</v>
      </c>
      <c r="C267" s="12">
        <f>3.08+0.62</f>
        <v>3.7</v>
      </c>
      <c r="D267" s="35">
        <v>689</v>
      </c>
      <c r="E267" s="40">
        <f t="shared" si="15"/>
        <v>2549.3000000000002</v>
      </c>
    </row>
    <row r="268" spans="1:5" x14ac:dyDescent="0.25">
      <c r="A268" s="34">
        <v>269</v>
      </c>
      <c r="B268" s="9" t="s">
        <v>126</v>
      </c>
      <c r="C268" s="12">
        <f>9+1.1</f>
        <v>10.1</v>
      </c>
      <c r="D268" s="35">
        <v>810</v>
      </c>
      <c r="E268" s="40">
        <f t="shared" si="15"/>
        <v>8181</v>
      </c>
    </row>
    <row r="269" spans="1:5" x14ac:dyDescent="0.25">
      <c r="A269" s="34">
        <v>270</v>
      </c>
      <c r="B269" s="9" t="s">
        <v>125</v>
      </c>
      <c r="C269" s="12">
        <f>1.94+0.58+0.64</f>
        <v>3.16</v>
      </c>
      <c r="D269" s="35">
        <v>741</v>
      </c>
      <c r="E269" s="40">
        <f t="shared" si="15"/>
        <v>2341.56</v>
      </c>
    </row>
    <row r="270" spans="1:5" x14ac:dyDescent="0.25">
      <c r="A270" s="34">
        <v>271</v>
      </c>
      <c r="B270" s="9" t="s">
        <v>124</v>
      </c>
      <c r="C270" s="12">
        <v>0</v>
      </c>
      <c r="D270" s="35">
        <v>152</v>
      </c>
      <c r="E270" s="40">
        <f t="shared" si="15"/>
        <v>0</v>
      </c>
    </row>
    <row r="271" spans="1:5" x14ac:dyDescent="0.25">
      <c r="A271" s="34">
        <v>272</v>
      </c>
      <c r="B271" s="9" t="s">
        <v>123</v>
      </c>
      <c r="C271" s="12">
        <v>21.58</v>
      </c>
      <c r="D271" s="35">
        <v>145</v>
      </c>
      <c r="E271" s="40">
        <f t="shared" si="15"/>
        <v>3129.1</v>
      </c>
    </row>
    <row r="272" spans="1:5" x14ac:dyDescent="0.25">
      <c r="A272" s="34">
        <v>273</v>
      </c>
      <c r="B272" s="9" t="s">
        <v>122</v>
      </c>
      <c r="C272" s="12">
        <v>0</v>
      </c>
      <c r="D272" s="35">
        <v>250</v>
      </c>
      <c r="E272" s="40">
        <f t="shared" si="15"/>
        <v>0</v>
      </c>
    </row>
    <row r="273" spans="1:5" x14ac:dyDescent="0.25">
      <c r="A273" s="34">
        <v>274</v>
      </c>
      <c r="B273" s="9" t="s">
        <v>121</v>
      </c>
      <c r="C273" s="12">
        <f>4.91+1.26</f>
        <v>6.17</v>
      </c>
      <c r="D273" s="35">
        <v>644</v>
      </c>
      <c r="E273" s="40">
        <f t="shared" si="15"/>
        <v>3973.48</v>
      </c>
    </row>
    <row r="274" spans="1:5" x14ac:dyDescent="0.25">
      <c r="A274" s="34">
        <v>275</v>
      </c>
      <c r="B274" s="9" t="s">
        <v>120</v>
      </c>
      <c r="C274" s="12">
        <v>19.5</v>
      </c>
      <c r="D274" s="35">
        <v>435</v>
      </c>
      <c r="E274" s="40">
        <f t="shared" si="15"/>
        <v>8482.5</v>
      </c>
    </row>
    <row r="275" spans="1:5" x14ac:dyDescent="0.25">
      <c r="A275" s="34">
        <v>276</v>
      </c>
      <c r="B275" s="9" t="s">
        <v>119</v>
      </c>
      <c r="C275" s="12">
        <f>50.5+8.06-3.9+0.9</f>
        <v>55.56</v>
      </c>
      <c r="D275" s="35">
        <v>95</v>
      </c>
      <c r="E275" s="40">
        <f t="shared" si="15"/>
        <v>5278.2</v>
      </c>
    </row>
    <row r="276" spans="1:5" x14ac:dyDescent="0.25">
      <c r="A276" s="34">
        <v>277</v>
      </c>
      <c r="B276" s="9" t="s">
        <v>286</v>
      </c>
      <c r="C276" s="12">
        <v>1</v>
      </c>
      <c r="D276" s="35">
        <v>28</v>
      </c>
      <c r="E276" s="40">
        <f t="shared" si="15"/>
        <v>28</v>
      </c>
    </row>
    <row r="277" spans="1:5" x14ac:dyDescent="0.25">
      <c r="A277" s="34">
        <v>278</v>
      </c>
      <c r="B277" s="9" t="s">
        <v>118</v>
      </c>
      <c r="C277" s="12">
        <f>20+1.2+1.28</f>
        <v>22.48</v>
      </c>
      <c r="D277" s="35">
        <v>442</v>
      </c>
      <c r="E277" s="40">
        <f t="shared" si="15"/>
        <v>9936.16</v>
      </c>
    </row>
    <row r="278" spans="1:5" x14ac:dyDescent="0.25">
      <c r="A278" s="34">
        <v>279</v>
      </c>
      <c r="B278" s="9" t="s">
        <v>116</v>
      </c>
      <c r="C278" s="12">
        <v>41.2</v>
      </c>
      <c r="D278" s="35">
        <v>164</v>
      </c>
      <c r="E278" s="40">
        <f t="shared" si="15"/>
        <v>6756.8</v>
      </c>
    </row>
    <row r="279" spans="1:5" x14ac:dyDescent="0.25">
      <c r="A279" s="34">
        <v>280</v>
      </c>
      <c r="B279" s="9" t="s">
        <v>115</v>
      </c>
      <c r="C279" s="12">
        <v>22.6</v>
      </c>
      <c r="D279" s="35">
        <v>600</v>
      </c>
      <c r="E279" s="40">
        <f t="shared" si="15"/>
        <v>13560</v>
      </c>
    </row>
    <row r="280" spans="1:5" x14ac:dyDescent="0.25">
      <c r="A280" s="34">
        <v>281</v>
      </c>
      <c r="B280" s="9" t="s">
        <v>114</v>
      </c>
      <c r="C280" s="12">
        <v>16.399999999999999</v>
      </c>
      <c r="D280" s="35">
        <v>900</v>
      </c>
      <c r="E280" s="40">
        <f t="shared" si="15"/>
        <v>14759.999999999998</v>
      </c>
    </row>
    <row r="281" spans="1:5" x14ac:dyDescent="0.25">
      <c r="A281" s="34">
        <v>282</v>
      </c>
      <c r="B281" s="9" t="s">
        <v>113</v>
      </c>
      <c r="C281" s="12">
        <v>6.3</v>
      </c>
      <c r="D281" s="35">
        <v>400</v>
      </c>
      <c r="E281" s="40">
        <f t="shared" si="15"/>
        <v>2520</v>
      </c>
    </row>
    <row r="282" spans="1:5" x14ac:dyDescent="0.25">
      <c r="A282" s="34">
        <v>283</v>
      </c>
      <c r="B282" s="9" t="s">
        <v>112</v>
      </c>
      <c r="C282" s="12">
        <v>0</v>
      </c>
      <c r="D282" s="35">
        <v>51</v>
      </c>
      <c r="E282" s="40">
        <f t="shared" si="15"/>
        <v>0</v>
      </c>
    </row>
    <row r="283" spans="1:5" x14ac:dyDescent="0.25">
      <c r="A283" s="34">
        <v>284</v>
      </c>
      <c r="B283" s="9" t="s">
        <v>111</v>
      </c>
      <c r="C283" s="12">
        <v>0</v>
      </c>
      <c r="D283" s="35">
        <v>49</v>
      </c>
      <c r="E283" s="40">
        <f t="shared" si="15"/>
        <v>0</v>
      </c>
    </row>
    <row r="284" spans="1:5" x14ac:dyDescent="0.25">
      <c r="A284" s="34">
        <v>285</v>
      </c>
      <c r="B284" s="9" t="s">
        <v>110</v>
      </c>
      <c r="C284" s="12">
        <v>0</v>
      </c>
      <c r="D284" s="35">
        <v>68</v>
      </c>
      <c r="E284" s="40">
        <f t="shared" si="15"/>
        <v>0</v>
      </c>
    </row>
    <row r="285" spans="1:5" x14ac:dyDescent="0.25">
      <c r="A285" s="34">
        <v>286</v>
      </c>
      <c r="B285" s="9" t="s">
        <v>276</v>
      </c>
      <c r="C285" s="12">
        <f>2.6+4.2+2.614</f>
        <v>9.4140000000000015</v>
      </c>
      <c r="D285" s="35">
        <v>80</v>
      </c>
      <c r="E285" s="40">
        <f t="shared" si="15"/>
        <v>753.12000000000012</v>
      </c>
    </row>
    <row r="286" spans="1:5" x14ac:dyDescent="0.25">
      <c r="A286" s="34">
        <v>287</v>
      </c>
      <c r="B286" s="9" t="s">
        <v>277</v>
      </c>
      <c r="C286" s="12">
        <v>22</v>
      </c>
      <c r="D286" s="35">
        <v>46</v>
      </c>
      <c r="E286" s="40">
        <f t="shared" si="15"/>
        <v>1012</v>
      </c>
    </row>
    <row r="287" spans="1:5" x14ac:dyDescent="0.25">
      <c r="A287" s="34">
        <v>288</v>
      </c>
      <c r="B287" s="9" t="s">
        <v>278</v>
      </c>
      <c r="C287" s="12">
        <v>20</v>
      </c>
      <c r="D287" s="35">
        <v>110</v>
      </c>
      <c r="E287" s="40">
        <f t="shared" si="15"/>
        <v>2200</v>
      </c>
    </row>
    <row r="288" spans="1:5" x14ac:dyDescent="0.25">
      <c r="A288" s="34">
        <v>289</v>
      </c>
      <c r="B288" s="9" t="s">
        <v>280</v>
      </c>
      <c r="C288" s="12">
        <v>13</v>
      </c>
      <c r="D288" s="35">
        <v>80</v>
      </c>
      <c r="E288" s="40">
        <f t="shared" si="15"/>
        <v>1040</v>
      </c>
    </row>
    <row r="289" spans="1:5" x14ac:dyDescent="0.25">
      <c r="A289" s="34">
        <v>290</v>
      </c>
      <c r="B289" s="9" t="s">
        <v>282</v>
      </c>
      <c r="C289" s="12">
        <v>0.42</v>
      </c>
      <c r="D289" s="35">
        <v>980</v>
      </c>
      <c r="E289" s="40">
        <f t="shared" si="15"/>
        <v>411.59999999999997</v>
      </c>
    </row>
    <row r="290" spans="1:5" x14ac:dyDescent="0.25">
      <c r="A290" s="34">
        <v>291</v>
      </c>
      <c r="B290" s="9" t="s">
        <v>283</v>
      </c>
      <c r="C290" s="12">
        <v>0.32</v>
      </c>
      <c r="D290" s="35">
        <v>450</v>
      </c>
      <c r="E290" s="40">
        <f t="shared" si="15"/>
        <v>144</v>
      </c>
    </row>
    <row r="291" spans="1:5" x14ac:dyDescent="0.25">
      <c r="A291" s="34">
        <v>292</v>
      </c>
      <c r="B291" s="9" t="s">
        <v>284</v>
      </c>
      <c r="C291" s="12">
        <v>5</v>
      </c>
      <c r="D291" s="35">
        <v>85</v>
      </c>
      <c r="E291" s="40">
        <f t="shared" si="15"/>
        <v>425</v>
      </c>
    </row>
    <row r="292" spans="1:5" x14ac:dyDescent="0.25">
      <c r="A292" s="34">
        <v>293</v>
      </c>
      <c r="B292" s="9" t="s">
        <v>285</v>
      </c>
      <c r="C292" s="12">
        <v>3</v>
      </c>
      <c r="D292" s="35">
        <v>61</v>
      </c>
      <c r="E292" s="40">
        <f t="shared" si="15"/>
        <v>183</v>
      </c>
    </row>
    <row r="293" spans="1:5" x14ac:dyDescent="0.25">
      <c r="A293" s="34">
        <v>294</v>
      </c>
      <c r="B293" s="9" t="s">
        <v>287</v>
      </c>
      <c r="C293" s="12">
        <v>2</v>
      </c>
      <c r="D293" s="35">
        <v>79</v>
      </c>
      <c r="E293" s="40">
        <f t="shared" si="15"/>
        <v>158</v>
      </c>
    </row>
    <row r="294" spans="1:5" x14ac:dyDescent="0.25">
      <c r="A294" s="34">
        <v>295</v>
      </c>
      <c r="B294" s="9" t="s">
        <v>288</v>
      </c>
      <c r="C294" s="12">
        <v>1</v>
      </c>
      <c r="D294" s="35">
        <v>60</v>
      </c>
      <c r="E294" s="40">
        <f t="shared" si="15"/>
        <v>60</v>
      </c>
    </row>
    <row r="295" spans="1:5" x14ac:dyDescent="0.25">
      <c r="A295" s="34">
        <v>296</v>
      </c>
      <c r="B295" s="9" t="s">
        <v>289</v>
      </c>
      <c r="C295" s="12">
        <v>1</v>
      </c>
      <c r="D295" s="35">
        <v>90</v>
      </c>
      <c r="E295" s="40">
        <f t="shared" si="15"/>
        <v>90</v>
      </c>
    </row>
    <row r="296" spans="1:5" x14ac:dyDescent="0.25">
      <c r="A296" s="34">
        <v>297</v>
      </c>
      <c r="B296" s="9" t="s">
        <v>291</v>
      </c>
      <c r="C296" s="12">
        <v>7.59</v>
      </c>
      <c r="D296" s="35">
        <v>44</v>
      </c>
      <c r="E296" s="40">
        <f t="shared" si="15"/>
        <v>333.96</v>
      </c>
    </row>
    <row r="297" spans="1:5" x14ac:dyDescent="0.25">
      <c r="A297" s="34">
        <v>298</v>
      </c>
      <c r="B297" s="9" t="s">
        <v>292</v>
      </c>
      <c r="C297" s="12">
        <v>23.4</v>
      </c>
      <c r="D297" s="35">
        <v>400</v>
      </c>
      <c r="E297" s="40">
        <f t="shared" si="15"/>
        <v>9360</v>
      </c>
    </row>
    <row r="298" spans="1:5" x14ac:dyDescent="0.25">
      <c r="A298" s="34">
        <v>299</v>
      </c>
      <c r="B298" s="9" t="s">
        <v>293</v>
      </c>
      <c r="C298" s="12">
        <v>27</v>
      </c>
      <c r="D298" s="35">
        <v>530</v>
      </c>
      <c r="E298" s="40">
        <f t="shared" si="15"/>
        <v>14310</v>
      </c>
    </row>
    <row r="299" spans="1:5" x14ac:dyDescent="0.25">
      <c r="A299" s="34">
        <v>300</v>
      </c>
      <c r="B299" s="9" t="s">
        <v>294</v>
      </c>
      <c r="C299" s="12">
        <v>78</v>
      </c>
      <c r="D299" s="35">
        <v>565</v>
      </c>
      <c r="E299" s="40">
        <f t="shared" si="15"/>
        <v>44070</v>
      </c>
    </row>
    <row r="300" spans="1:5" x14ac:dyDescent="0.25">
      <c r="A300" s="34">
        <v>301</v>
      </c>
      <c r="B300" s="9" t="s">
        <v>295</v>
      </c>
      <c r="C300" s="12">
        <v>37.799999999999997</v>
      </c>
      <c r="D300" s="35">
        <v>460</v>
      </c>
      <c r="E300" s="40">
        <f t="shared" si="15"/>
        <v>17388</v>
      </c>
    </row>
    <row r="301" spans="1:5" x14ac:dyDescent="0.25">
      <c r="A301" s="34">
        <v>302</v>
      </c>
      <c r="B301" s="9" t="s">
        <v>296</v>
      </c>
      <c r="C301" s="12">
        <v>59.8</v>
      </c>
      <c r="D301" s="35">
        <v>490</v>
      </c>
      <c r="E301" s="40">
        <f t="shared" si="15"/>
        <v>29302</v>
      </c>
    </row>
    <row r="302" spans="1:5" x14ac:dyDescent="0.25">
      <c r="A302" s="34">
        <v>303</v>
      </c>
      <c r="B302" s="9" t="s">
        <v>297</v>
      </c>
      <c r="C302" s="12">
        <v>2.7</v>
      </c>
      <c r="D302" s="35">
        <v>400</v>
      </c>
      <c r="E302" s="40">
        <f t="shared" si="15"/>
        <v>1080</v>
      </c>
    </row>
    <row r="303" spans="1:5" x14ac:dyDescent="0.25">
      <c r="A303" s="34">
        <v>304</v>
      </c>
      <c r="B303" s="9" t="s">
        <v>298</v>
      </c>
      <c r="C303" s="12">
        <v>2.69</v>
      </c>
      <c r="D303" s="35">
        <v>390</v>
      </c>
      <c r="E303" s="40">
        <f t="shared" si="15"/>
        <v>1049.0999999999999</v>
      </c>
    </row>
    <row r="304" spans="1:5" x14ac:dyDescent="0.25">
      <c r="A304" s="34">
        <v>305</v>
      </c>
      <c r="B304" s="9" t="s">
        <v>299</v>
      </c>
      <c r="C304" s="12">
        <v>1.82</v>
      </c>
      <c r="D304" s="35">
        <v>82</v>
      </c>
      <c r="E304" s="40">
        <f t="shared" si="15"/>
        <v>149.24</v>
      </c>
    </row>
    <row r="305" spans="1:5" x14ac:dyDescent="0.25">
      <c r="A305" s="34">
        <v>306</v>
      </c>
      <c r="B305" s="9" t="s">
        <v>300</v>
      </c>
      <c r="C305" s="12">
        <f>0.907+0.918</f>
        <v>1.8250000000000002</v>
      </c>
      <c r="D305" s="35">
        <v>212</v>
      </c>
      <c r="E305" s="40">
        <f t="shared" si="15"/>
        <v>386.90000000000003</v>
      </c>
    </row>
    <row r="306" spans="1:5" x14ac:dyDescent="0.25">
      <c r="A306" s="34">
        <v>307</v>
      </c>
      <c r="B306" s="9" t="s">
        <v>301</v>
      </c>
      <c r="C306" s="12">
        <v>54.3</v>
      </c>
      <c r="D306" s="35">
        <v>116</v>
      </c>
      <c r="E306" s="40">
        <f t="shared" si="15"/>
        <v>6298.7999999999993</v>
      </c>
    </row>
    <row r="307" spans="1:5" x14ac:dyDescent="0.25">
      <c r="A307" s="34">
        <v>308</v>
      </c>
      <c r="B307" s="9" t="s">
        <v>302</v>
      </c>
      <c r="C307" s="12">
        <f>18.2+1.02+3.2</f>
        <v>22.419999999999998</v>
      </c>
      <c r="D307" s="35">
        <v>210</v>
      </c>
      <c r="E307" s="40">
        <f t="shared" si="15"/>
        <v>4708.2</v>
      </c>
    </row>
    <row r="308" spans="1:5" ht="15.75" thickBot="1" x14ac:dyDescent="0.3">
      <c r="A308" s="32"/>
      <c r="B308" s="22" t="s">
        <v>17</v>
      </c>
      <c r="C308" s="23">
        <f>SUM(C270:C307)</f>
        <v>609.2890000000001</v>
      </c>
      <c r="D308" s="38"/>
      <c r="E308" s="37">
        <f>SUM(E265:E307)</f>
        <v>221932.18</v>
      </c>
    </row>
    <row r="309" spans="1:5" ht="31.5" customHeight="1" thickBot="1" x14ac:dyDescent="0.3">
      <c r="A309" s="33"/>
      <c r="B309" s="19" t="s">
        <v>1</v>
      </c>
      <c r="C309" s="20" t="s">
        <v>2</v>
      </c>
      <c r="D309" s="20" t="s">
        <v>3</v>
      </c>
      <c r="E309" s="21" t="s">
        <v>4</v>
      </c>
    </row>
    <row r="310" spans="1:5" x14ac:dyDescent="0.25">
      <c r="A310" s="34">
        <v>309</v>
      </c>
      <c r="B310" s="9" t="s">
        <v>303</v>
      </c>
      <c r="C310" s="12">
        <v>5.8</v>
      </c>
      <c r="D310" s="35">
        <v>52</v>
      </c>
      <c r="E310" s="40">
        <f t="shared" ref="E310" si="17">C310*D310</f>
        <v>301.59999999999997</v>
      </c>
    </row>
    <row r="311" spans="1:5" x14ac:dyDescent="0.25">
      <c r="A311" s="34">
        <v>310</v>
      </c>
      <c r="B311" s="9" t="s">
        <v>304</v>
      </c>
      <c r="C311" s="12">
        <v>3</v>
      </c>
      <c r="D311" s="35">
        <v>110</v>
      </c>
      <c r="E311" s="40">
        <f t="shared" si="15"/>
        <v>330</v>
      </c>
    </row>
    <row r="312" spans="1:5" x14ac:dyDescent="0.25">
      <c r="A312" s="34">
        <v>311</v>
      </c>
      <c r="B312" s="9" t="s">
        <v>305</v>
      </c>
      <c r="C312" s="12">
        <v>0.98</v>
      </c>
      <c r="D312" s="35">
        <v>140</v>
      </c>
      <c r="E312" s="40">
        <f t="shared" si="15"/>
        <v>137.19999999999999</v>
      </c>
    </row>
    <row r="313" spans="1:5" x14ac:dyDescent="0.25">
      <c r="A313" s="34">
        <v>312</v>
      </c>
      <c r="B313" s="9" t="s">
        <v>306</v>
      </c>
      <c r="C313" s="12">
        <v>0.56000000000000005</v>
      </c>
      <c r="D313" s="35">
        <v>775</v>
      </c>
      <c r="E313" s="40">
        <f t="shared" si="15"/>
        <v>434.00000000000006</v>
      </c>
    </row>
    <row r="314" spans="1:5" x14ac:dyDescent="0.25">
      <c r="A314" s="34">
        <v>313</v>
      </c>
      <c r="B314" s="9" t="s">
        <v>307</v>
      </c>
      <c r="C314" s="12">
        <v>2.452</v>
      </c>
      <c r="D314" s="35">
        <v>390</v>
      </c>
      <c r="E314" s="40">
        <f t="shared" si="15"/>
        <v>956.28</v>
      </c>
    </row>
    <row r="315" spans="1:5" x14ac:dyDescent="0.25">
      <c r="A315" s="34">
        <v>314</v>
      </c>
      <c r="B315" s="9" t="s">
        <v>308</v>
      </c>
      <c r="C315" s="12">
        <v>2.5</v>
      </c>
      <c r="D315" s="35">
        <v>50</v>
      </c>
      <c r="E315" s="40">
        <f t="shared" si="15"/>
        <v>125</v>
      </c>
    </row>
    <row r="316" spans="1:5" x14ac:dyDescent="0.25">
      <c r="A316" s="34">
        <v>315</v>
      </c>
      <c r="B316" s="9" t="s">
        <v>309</v>
      </c>
      <c r="C316" s="12">
        <v>1.32</v>
      </c>
      <c r="D316" s="35">
        <v>64</v>
      </c>
      <c r="E316" s="40">
        <f t="shared" si="15"/>
        <v>84.48</v>
      </c>
    </row>
    <row r="317" spans="1:5" x14ac:dyDescent="0.25">
      <c r="A317" s="34">
        <v>316</v>
      </c>
      <c r="B317" s="9" t="s">
        <v>310</v>
      </c>
      <c r="C317" s="12">
        <v>1.39</v>
      </c>
      <c r="D317" s="35">
        <v>170</v>
      </c>
      <c r="E317" s="40">
        <f t="shared" si="15"/>
        <v>236.29999999999998</v>
      </c>
    </row>
    <row r="318" spans="1:5" x14ac:dyDescent="0.25">
      <c r="A318" s="34">
        <v>317</v>
      </c>
      <c r="B318" s="9" t="s">
        <v>311</v>
      </c>
      <c r="C318" s="12">
        <v>0.47599999999999998</v>
      </c>
      <c r="D318" s="35">
        <v>44</v>
      </c>
      <c r="E318" s="40">
        <f t="shared" si="15"/>
        <v>20.943999999999999</v>
      </c>
    </row>
    <row r="319" spans="1:5" ht="17.25" customHeight="1" x14ac:dyDescent="0.3">
      <c r="A319" s="26"/>
      <c r="B319" s="22" t="s">
        <v>17</v>
      </c>
      <c r="C319" s="27">
        <f>SUM(C251:C284)</f>
        <v>2298.1642000000002</v>
      </c>
      <c r="D319" s="2"/>
      <c r="E319" s="24">
        <f>SUM(E310:E318)</f>
        <v>2625.8040000000001</v>
      </c>
    </row>
    <row r="320" spans="1:5" ht="18.75" x14ac:dyDescent="0.3">
      <c r="C320" s="18"/>
      <c r="E320" s="2"/>
    </row>
    <row r="321" spans="1:5" ht="18.75" x14ac:dyDescent="0.3">
      <c r="B321" s="3" t="s">
        <v>270</v>
      </c>
      <c r="C321" s="42">
        <f>C319+C308+C223+C179+C89+C44</f>
        <v>25463.51400000001</v>
      </c>
      <c r="D321" s="25" t="s">
        <v>271</v>
      </c>
      <c r="E321" s="2">
        <f>E319+E308+E263+E223+E134+E44</f>
        <v>863462.49699999997</v>
      </c>
    </row>
    <row r="322" spans="1:5" x14ac:dyDescent="0.25">
      <c r="C322" s="18"/>
    </row>
    <row r="323" spans="1:5" x14ac:dyDescent="0.25">
      <c r="A323" s="8">
        <v>289</v>
      </c>
      <c r="B323" s="9" t="s">
        <v>117</v>
      </c>
      <c r="C323" s="12">
        <v>642</v>
      </c>
      <c r="D323" s="17">
        <v>1E-3</v>
      </c>
      <c r="E323" s="11">
        <f t="shared" ref="E323" si="18">C323*D323</f>
        <v>0.64200000000000002</v>
      </c>
    </row>
  </sheetData>
  <mergeCells count="2">
    <mergeCell ref="A1:E1"/>
    <mergeCell ref="A2:E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9"/>
  <sheetViews>
    <sheetView tabSelected="1" topLeftCell="B319" workbookViewId="0">
      <selection activeCell="G347" sqref="G347"/>
    </sheetView>
  </sheetViews>
  <sheetFormatPr baseColWidth="10" defaultRowHeight="15" x14ac:dyDescent="0.25"/>
  <cols>
    <col min="1" max="1" width="5.5703125" customWidth="1"/>
    <col min="2" max="2" width="37" style="1" customWidth="1"/>
    <col min="3" max="3" width="14.140625" style="18" bestFit="1" customWidth="1"/>
    <col min="4" max="4" width="13.85546875" style="18" bestFit="1" customWidth="1"/>
    <col min="5" max="5" width="18.7109375" style="18" customWidth="1"/>
    <col min="7" max="7" width="22.42578125" customWidth="1"/>
    <col min="9" max="9" width="16.140625" customWidth="1"/>
  </cols>
  <sheetData>
    <row r="1" spans="1:7" ht="26.25" customHeight="1" x14ac:dyDescent="0.4">
      <c r="A1" s="59" t="s">
        <v>312</v>
      </c>
      <c r="B1" s="59"/>
      <c r="C1" s="59"/>
      <c r="D1" s="59"/>
      <c r="E1" s="59"/>
      <c r="F1" s="4"/>
      <c r="G1" s="4"/>
    </row>
    <row r="2" spans="1:7" ht="24" thickBot="1" x14ac:dyDescent="0.4">
      <c r="A2" s="60" t="s">
        <v>0</v>
      </c>
      <c r="B2" s="60"/>
      <c r="C2" s="60"/>
      <c r="D2" s="60"/>
      <c r="E2" s="60"/>
      <c r="F2" s="5"/>
      <c r="G2" s="5"/>
    </row>
    <row r="3" spans="1:7" ht="20.25" customHeight="1" thickBot="1" x14ac:dyDescent="0.3">
      <c r="A3" s="28"/>
      <c r="B3" s="29" t="s">
        <v>1</v>
      </c>
      <c r="C3" s="46" t="s">
        <v>2</v>
      </c>
      <c r="D3" s="46" t="s">
        <v>3</v>
      </c>
      <c r="E3" s="47" t="s">
        <v>4</v>
      </c>
    </row>
    <row r="4" spans="1:7" x14ac:dyDescent="0.25">
      <c r="A4" s="31">
        <v>1</v>
      </c>
      <c r="B4" s="9" t="s">
        <v>101</v>
      </c>
      <c r="C4" s="48">
        <f>1.972+8.38+43</f>
        <v>53.352000000000004</v>
      </c>
      <c r="D4" s="49">
        <v>170</v>
      </c>
      <c r="E4" s="49">
        <f>C4*D4</f>
        <v>9069.84</v>
      </c>
    </row>
    <row r="5" spans="1:7" x14ac:dyDescent="0.25">
      <c r="A5" s="31">
        <v>2</v>
      </c>
      <c r="B5" s="9" t="s">
        <v>103</v>
      </c>
      <c r="C5" s="48">
        <f>4.74+1.77</f>
        <v>6.51</v>
      </c>
      <c r="D5" s="49">
        <v>118</v>
      </c>
      <c r="E5" s="49">
        <f t="shared" ref="E5:E68" si="0">C5*D5</f>
        <v>768.18</v>
      </c>
    </row>
    <row r="6" spans="1:7" x14ac:dyDescent="0.25">
      <c r="A6" s="31">
        <v>3</v>
      </c>
      <c r="B6" s="9" t="s">
        <v>102</v>
      </c>
      <c r="C6" s="48">
        <v>4.54</v>
      </c>
      <c r="D6" s="49">
        <v>98</v>
      </c>
      <c r="E6" s="49">
        <f t="shared" si="0"/>
        <v>444.92</v>
      </c>
    </row>
    <row r="7" spans="1:7" x14ac:dyDescent="0.25">
      <c r="A7" s="31">
        <v>4</v>
      </c>
      <c r="B7" s="9" t="s">
        <v>104</v>
      </c>
      <c r="C7" s="48">
        <f>5.18+5.195</f>
        <v>10.375</v>
      </c>
      <c r="D7" s="49">
        <v>116</v>
      </c>
      <c r="E7" s="49">
        <f t="shared" si="0"/>
        <v>1203.5</v>
      </c>
    </row>
    <row r="8" spans="1:7" x14ac:dyDescent="0.25">
      <c r="A8" s="31">
        <v>5</v>
      </c>
      <c r="B8" s="9" t="s">
        <v>105</v>
      </c>
      <c r="C8" s="48">
        <v>1.68</v>
      </c>
      <c r="D8" s="49">
        <v>98</v>
      </c>
      <c r="E8" s="49">
        <f t="shared" si="0"/>
        <v>164.64</v>
      </c>
    </row>
    <row r="9" spans="1:7" x14ac:dyDescent="0.25">
      <c r="A9" s="31">
        <v>6</v>
      </c>
      <c r="B9" s="9" t="s">
        <v>106</v>
      </c>
      <c r="C9" s="48">
        <f>7.86+3.58+12.17</f>
        <v>23.61</v>
      </c>
      <c r="D9" s="49">
        <v>95</v>
      </c>
      <c r="E9" s="49">
        <f t="shared" si="0"/>
        <v>2242.9499999999998</v>
      </c>
    </row>
    <row r="10" spans="1:7" x14ac:dyDescent="0.25">
      <c r="A10" s="31">
        <v>9</v>
      </c>
      <c r="B10" s="43" t="s">
        <v>107</v>
      </c>
      <c r="C10" s="48">
        <v>0</v>
      </c>
      <c r="D10" s="49">
        <v>400</v>
      </c>
      <c r="E10" s="49">
        <f t="shared" si="0"/>
        <v>0</v>
      </c>
    </row>
    <row r="11" spans="1:7" x14ac:dyDescent="0.25">
      <c r="A11" s="31">
        <v>10</v>
      </c>
      <c r="B11" s="43" t="s">
        <v>108</v>
      </c>
      <c r="C11" s="48">
        <v>0</v>
      </c>
      <c r="D11" s="49">
        <v>400</v>
      </c>
      <c r="E11" s="49">
        <f t="shared" si="0"/>
        <v>0</v>
      </c>
    </row>
    <row r="12" spans="1:7" x14ac:dyDescent="0.25">
      <c r="A12" s="31">
        <v>11</v>
      </c>
      <c r="B12" s="43" t="s">
        <v>5</v>
      </c>
      <c r="C12" s="48">
        <v>0</v>
      </c>
      <c r="D12" s="49">
        <v>400</v>
      </c>
      <c r="E12" s="49">
        <f t="shared" si="0"/>
        <v>0</v>
      </c>
    </row>
    <row r="13" spans="1:7" x14ac:dyDescent="0.25">
      <c r="A13" s="31">
        <v>12</v>
      </c>
      <c r="B13" s="43" t="s">
        <v>109</v>
      </c>
      <c r="C13" s="48">
        <v>0</v>
      </c>
      <c r="D13" s="49">
        <v>400</v>
      </c>
      <c r="E13" s="49">
        <f t="shared" si="0"/>
        <v>0</v>
      </c>
    </row>
    <row r="14" spans="1:7" x14ac:dyDescent="0.25">
      <c r="A14" s="31">
        <v>13</v>
      </c>
      <c r="B14" s="9" t="s">
        <v>128</v>
      </c>
      <c r="C14" s="48">
        <v>0</v>
      </c>
      <c r="D14" s="49">
        <v>2000</v>
      </c>
      <c r="E14" s="49">
        <f t="shared" si="0"/>
        <v>0</v>
      </c>
    </row>
    <row r="15" spans="1:7" x14ac:dyDescent="0.25">
      <c r="A15" s="31">
        <v>14</v>
      </c>
      <c r="B15" s="9" t="s">
        <v>127</v>
      </c>
      <c r="C15" s="48">
        <f>2.248+1</f>
        <v>3.2480000000000002</v>
      </c>
      <c r="D15" s="49">
        <v>630</v>
      </c>
      <c r="E15" s="49">
        <f t="shared" si="0"/>
        <v>2046.2400000000002</v>
      </c>
    </row>
    <row r="16" spans="1:7" x14ac:dyDescent="0.25">
      <c r="A16" s="31">
        <v>15</v>
      </c>
      <c r="B16" s="9" t="s">
        <v>96</v>
      </c>
      <c r="C16" s="48">
        <f>6.43+1.756</f>
        <v>8.1859999999999999</v>
      </c>
      <c r="D16" s="49">
        <v>110</v>
      </c>
      <c r="E16" s="49">
        <f t="shared" si="0"/>
        <v>900.46</v>
      </c>
    </row>
    <row r="17" spans="1:5" x14ac:dyDescent="0.25">
      <c r="A17" s="31">
        <v>16</v>
      </c>
      <c r="B17" s="9" t="s">
        <v>7</v>
      </c>
      <c r="C17" s="48">
        <v>6.3</v>
      </c>
      <c r="D17" s="49">
        <v>165</v>
      </c>
      <c r="E17" s="49">
        <f t="shared" si="0"/>
        <v>1039.5</v>
      </c>
    </row>
    <row r="18" spans="1:5" x14ac:dyDescent="0.25">
      <c r="A18" s="31">
        <v>17</v>
      </c>
      <c r="B18" s="9" t="s">
        <v>6</v>
      </c>
      <c r="C18" s="48">
        <v>16</v>
      </c>
      <c r="D18" s="49">
        <v>12</v>
      </c>
      <c r="E18" s="49">
        <f t="shared" si="0"/>
        <v>192</v>
      </c>
    </row>
    <row r="19" spans="1:5" x14ac:dyDescent="0.25">
      <c r="A19" s="31">
        <v>18</v>
      </c>
      <c r="B19" s="9" t="s">
        <v>94</v>
      </c>
      <c r="C19" s="48">
        <v>0</v>
      </c>
      <c r="D19" s="49">
        <v>50</v>
      </c>
      <c r="E19" s="49">
        <f t="shared" si="0"/>
        <v>0</v>
      </c>
    </row>
    <row r="20" spans="1:5" x14ac:dyDescent="0.25">
      <c r="A20" s="31">
        <v>19</v>
      </c>
      <c r="B20" s="9" t="s">
        <v>129</v>
      </c>
      <c r="C20" s="48">
        <v>0</v>
      </c>
      <c r="D20" s="49">
        <v>75</v>
      </c>
      <c r="E20" s="49">
        <f t="shared" si="0"/>
        <v>0</v>
      </c>
    </row>
    <row r="21" spans="1:5" x14ac:dyDescent="0.25">
      <c r="A21" s="31">
        <v>20</v>
      </c>
      <c r="B21" s="9" t="s">
        <v>20</v>
      </c>
      <c r="C21" s="48">
        <v>0</v>
      </c>
      <c r="D21" s="49">
        <v>46</v>
      </c>
      <c r="E21" s="49">
        <f t="shared" si="0"/>
        <v>0</v>
      </c>
    </row>
    <row r="22" spans="1:5" x14ac:dyDescent="0.25">
      <c r="A22" s="31">
        <v>21</v>
      </c>
      <c r="B22" s="9" t="s">
        <v>8</v>
      </c>
      <c r="C22" s="48">
        <v>7</v>
      </c>
      <c r="D22" s="49">
        <v>59</v>
      </c>
      <c r="E22" s="49">
        <f t="shared" si="0"/>
        <v>413</v>
      </c>
    </row>
    <row r="23" spans="1:5" x14ac:dyDescent="0.25">
      <c r="A23" s="31">
        <v>22</v>
      </c>
      <c r="B23" s="9" t="s">
        <v>9</v>
      </c>
      <c r="C23" s="48">
        <v>2</v>
      </c>
      <c r="D23" s="49">
        <v>82</v>
      </c>
      <c r="E23" s="49">
        <f t="shared" si="0"/>
        <v>164</v>
      </c>
    </row>
    <row r="24" spans="1:5" x14ac:dyDescent="0.25">
      <c r="A24" s="31">
        <v>23</v>
      </c>
      <c r="B24" s="9" t="s">
        <v>10</v>
      </c>
      <c r="C24" s="48">
        <v>1</v>
      </c>
      <c r="D24" s="49">
        <v>82</v>
      </c>
      <c r="E24" s="49">
        <f t="shared" si="0"/>
        <v>82</v>
      </c>
    </row>
    <row r="25" spans="1:5" x14ac:dyDescent="0.25">
      <c r="A25" s="31">
        <v>24</v>
      </c>
      <c r="B25" s="9" t="s">
        <v>11</v>
      </c>
      <c r="C25" s="48">
        <v>1</v>
      </c>
      <c r="D25" s="49">
        <v>66</v>
      </c>
      <c r="E25" s="49">
        <f t="shared" si="0"/>
        <v>66</v>
      </c>
    </row>
    <row r="26" spans="1:5" x14ac:dyDescent="0.25">
      <c r="A26" s="31">
        <v>25</v>
      </c>
      <c r="B26" s="43" t="s">
        <v>130</v>
      </c>
      <c r="C26" s="48">
        <v>0</v>
      </c>
      <c r="D26" s="49">
        <v>88</v>
      </c>
      <c r="E26" s="49">
        <f>C26*D26</f>
        <v>0</v>
      </c>
    </row>
    <row r="27" spans="1:5" x14ac:dyDescent="0.25">
      <c r="A27" s="31">
        <v>26</v>
      </c>
      <c r="B27" s="9" t="s">
        <v>273</v>
      </c>
      <c r="C27" s="48">
        <v>0</v>
      </c>
      <c r="D27" s="49">
        <v>12</v>
      </c>
      <c r="E27" s="49">
        <f t="shared" si="0"/>
        <v>0</v>
      </c>
    </row>
    <row r="28" spans="1:5" x14ac:dyDescent="0.25">
      <c r="A28" s="31">
        <v>28</v>
      </c>
      <c r="B28" s="43" t="s">
        <v>12</v>
      </c>
      <c r="C28" s="48">
        <v>0</v>
      </c>
      <c r="D28" s="49">
        <v>46</v>
      </c>
      <c r="E28" s="49">
        <f t="shared" si="0"/>
        <v>0</v>
      </c>
    </row>
    <row r="29" spans="1:5" ht="15.75" customHeight="1" x14ac:dyDescent="0.25">
      <c r="A29" s="31">
        <v>29</v>
      </c>
      <c r="B29" s="43" t="s">
        <v>13</v>
      </c>
      <c r="C29" s="48">
        <v>0</v>
      </c>
      <c r="D29" s="49">
        <v>42</v>
      </c>
      <c r="E29" s="49">
        <f t="shared" si="0"/>
        <v>0</v>
      </c>
    </row>
    <row r="30" spans="1:5" x14ac:dyDescent="0.25">
      <c r="A30" s="31">
        <v>30</v>
      </c>
      <c r="B30" s="9" t="s">
        <v>131</v>
      </c>
      <c r="C30" s="48">
        <v>8.34</v>
      </c>
      <c r="D30" s="49">
        <v>104</v>
      </c>
      <c r="E30" s="49">
        <f t="shared" si="0"/>
        <v>867.36</v>
      </c>
    </row>
    <row r="31" spans="1:5" x14ac:dyDescent="0.25">
      <c r="A31" s="31">
        <v>31</v>
      </c>
      <c r="B31" s="9" t="s">
        <v>132</v>
      </c>
      <c r="C31" s="48">
        <v>3.516</v>
      </c>
      <c r="D31" s="49">
        <v>590</v>
      </c>
      <c r="E31" s="49">
        <f t="shared" si="0"/>
        <v>2074.44</v>
      </c>
    </row>
    <row r="32" spans="1:5" x14ac:dyDescent="0.25">
      <c r="A32" s="31">
        <v>32</v>
      </c>
      <c r="B32" s="9" t="s">
        <v>133</v>
      </c>
      <c r="C32" s="48">
        <f>5.125+14</f>
        <v>19.125</v>
      </c>
      <c r="D32" s="49">
        <v>103</v>
      </c>
      <c r="E32" s="49">
        <f t="shared" si="0"/>
        <v>1969.875</v>
      </c>
    </row>
    <row r="33" spans="1:5" x14ac:dyDescent="0.25">
      <c r="A33" s="31">
        <v>33</v>
      </c>
      <c r="B33" s="9" t="s">
        <v>134</v>
      </c>
      <c r="C33" s="48">
        <v>1.4750000000000001</v>
      </c>
      <c r="D33" s="49">
        <v>135</v>
      </c>
      <c r="E33" s="49">
        <f t="shared" si="0"/>
        <v>199.125</v>
      </c>
    </row>
    <row r="34" spans="1:5" x14ac:dyDescent="0.25">
      <c r="A34" s="31">
        <v>34</v>
      </c>
      <c r="B34" s="9" t="s">
        <v>135</v>
      </c>
      <c r="C34" s="48">
        <f>5.94+2.32</f>
        <v>8.26</v>
      </c>
      <c r="D34" s="49">
        <v>315</v>
      </c>
      <c r="E34" s="49">
        <f t="shared" si="0"/>
        <v>2601.9</v>
      </c>
    </row>
    <row r="35" spans="1:5" x14ac:dyDescent="0.25">
      <c r="A35" s="31">
        <v>35</v>
      </c>
      <c r="B35" s="9" t="s">
        <v>136</v>
      </c>
      <c r="C35" s="48">
        <v>9.7200000000000006</v>
      </c>
      <c r="D35" s="49">
        <v>160</v>
      </c>
      <c r="E35" s="49">
        <f t="shared" si="0"/>
        <v>1555.2</v>
      </c>
    </row>
    <row r="36" spans="1:5" x14ac:dyDescent="0.25">
      <c r="A36" s="31">
        <v>36</v>
      </c>
      <c r="B36" s="9" t="s">
        <v>137</v>
      </c>
      <c r="C36" s="48">
        <v>2.44</v>
      </c>
      <c r="D36" s="49">
        <v>112</v>
      </c>
      <c r="E36" s="49">
        <f t="shared" si="0"/>
        <v>273.27999999999997</v>
      </c>
    </row>
    <row r="37" spans="1:5" x14ac:dyDescent="0.25">
      <c r="A37" s="31">
        <v>37</v>
      </c>
      <c r="B37" s="9" t="s">
        <v>138</v>
      </c>
      <c r="C37" s="48">
        <v>3</v>
      </c>
      <c r="D37" s="49">
        <v>26</v>
      </c>
      <c r="E37" s="49">
        <f t="shared" si="0"/>
        <v>78</v>
      </c>
    </row>
    <row r="38" spans="1:5" x14ac:dyDescent="0.25">
      <c r="A38" s="31">
        <v>38</v>
      </c>
      <c r="B38" s="9" t="s">
        <v>139</v>
      </c>
      <c r="C38" s="48">
        <v>0</v>
      </c>
      <c r="D38" s="49">
        <v>160</v>
      </c>
      <c r="E38" s="49">
        <f t="shared" si="0"/>
        <v>0</v>
      </c>
    </row>
    <row r="39" spans="1:5" x14ac:dyDescent="0.25">
      <c r="A39" s="31">
        <v>39</v>
      </c>
      <c r="B39" s="9" t="s">
        <v>140</v>
      </c>
      <c r="C39" s="48">
        <v>8.9700000000000006</v>
      </c>
      <c r="D39" s="49">
        <v>70</v>
      </c>
      <c r="E39" s="49">
        <f t="shared" si="0"/>
        <v>627.90000000000009</v>
      </c>
    </row>
    <row r="40" spans="1:5" x14ac:dyDescent="0.25">
      <c r="A40" s="31">
        <v>40</v>
      </c>
      <c r="B40" s="9" t="s">
        <v>141</v>
      </c>
      <c r="C40" s="48">
        <f>9.63+55.8</f>
        <v>65.429999999999993</v>
      </c>
      <c r="D40" s="49">
        <v>140</v>
      </c>
      <c r="E40" s="49">
        <f t="shared" si="0"/>
        <v>9160.1999999999989</v>
      </c>
    </row>
    <row r="41" spans="1:5" x14ac:dyDescent="0.25">
      <c r="A41" s="31">
        <v>43</v>
      </c>
      <c r="B41" s="9" t="s">
        <v>142</v>
      </c>
      <c r="C41" s="48">
        <v>9.23</v>
      </c>
      <c r="D41" s="49">
        <v>50</v>
      </c>
      <c r="E41" s="49">
        <f t="shared" si="0"/>
        <v>461.5</v>
      </c>
    </row>
    <row r="42" spans="1:5" x14ac:dyDescent="0.25">
      <c r="A42" s="31">
        <v>44</v>
      </c>
      <c r="B42" s="9" t="s">
        <v>143</v>
      </c>
      <c r="C42" s="48">
        <f>5.755+1.96</f>
        <v>7.7149999999999999</v>
      </c>
      <c r="D42" s="49">
        <v>590</v>
      </c>
      <c r="E42" s="49">
        <f t="shared" si="0"/>
        <v>4551.8500000000004</v>
      </c>
    </row>
    <row r="43" spans="1:5" x14ac:dyDescent="0.25">
      <c r="A43" s="31">
        <v>45</v>
      </c>
      <c r="B43" s="9" t="s">
        <v>144</v>
      </c>
      <c r="C43" s="48">
        <v>5.77</v>
      </c>
      <c r="D43" s="49">
        <v>90</v>
      </c>
      <c r="E43" s="49">
        <f t="shared" si="0"/>
        <v>519.29999999999995</v>
      </c>
    </row>
    <row r="44" spans="1:5" ht="15.75" thickBot="1" x14ac:dyDescent="0.3">
      <c r="A44" s="7">
        <v>41</v>
      </c>
      <c r="B44" s="22" t="s">
        <v>17</v>
      </c>
      <c r="C44" s="15">
        <f>SUM(C8:C43)</f>
        <v>223.01500000000001</v>
      </c>
      <c r="D44" s="15"/>
      <c r="E44" s="36">
        <f>SUM(E4:E43)</f>
        <v>43737.16</v>
      </c>
    </row>
    <row r="45" spans="1:5" ht="31.5" customHeight="1" thickBot="1" x14ac:dyDescent="0.3">
      <c r="A45" s="7">
        <v>42</v>
      </c>
      <c r="B45" s="19" t="s">
        <v>1</v>
      </c>
      <c r="C45" s="57" t="s">
        <v>2</v>
      </c>
      <c r="D45" s="57" t="s">
        <v>3</v>
      </c>
      <c r="E45" s="58" t="s">
        <v>4</v>
      </c>
    </row>
    <row r="46" spans="1:5" x14ac:dyDescent="0.25">
      <c r="A46" s="31">
        <v>46</v>
      </c>
      <c r="B46" s="9" t="s">
        <v>14</v>
      </c>
      <c r="C46" s="48">
        <v>6</v>
      </c>
      <c r="D46" s="49">
        <v>165</v>
      </c>
      <c r="E46" s="49">
        <f t="shared" si="0"/>
        <v>990</v>
      </c>
    </row>
    <row r="47" spans="1:5" x14ac:dyDescent="0.25">
      <c r="A47" s="31">
        <v>47</v>
      </c>
      <c r="B47" s="9" t="s">
        <v>55</v>
      </c>
      <c r="C47" s="48">
        <f>3.612+775+18.5+2.8+2.1+4.1+1988.6</f>
        <v>2794.712</v>
      </c>
      <c r="D47" s="49">
        <v>125</v>
      </c>
      <c r="E47" s="49">
        <f t="shared" si="0"/>
        <v>349339</v>
      </c>
    </row>
    <row r="48" spans="1:5" x14ac:dyDescent="0.25">
      <c r="A48" s="31">
        <v>49</v>
      </c>
      <c r="B48" s="9" t="s">
        <v>145</v>
      </c>
      <c r="C48" s="48">
        <f>0.72+4.57+8.1</f>
        <v>13.39</v>
      </c>
      <c r="D48" s="49">
        <v>92</v>
      </c>
      <c r="E48" s="49">
        <f t="shared" si="0"/>
        <v>1231.8800000000001</v>
      </c>
    </row>
    <row r="49" spans="1:5" x14ac:dyDescent="0.25">
      <c r="A49" s="31">
        <v>50</v>
      </c>
      <c r="B49" s="9" t="s">
        <v>146</v>
      </c>
      <c r="C49" s="48">
        <f>0.458+4.7+10.05</f>
        <v>15.208000000000002</v>
      </c>
      <c r="D49" s="49">
        <v>92</v>
      </c>
      <c r="E49" s="49">
        <f t="shared" si="0"/>
        <v>1399.1360000000002</v>
      </c>
    </row>
    <row r="50" spans="1:5" x14ac:dyDescent="0.25">
      <c r="A50" s="31">
        <v>51</v>
      </c>
      <c r="B50" s="9" t="s">
        <v>147</v>
      </c>
      <c r="C50" s="48">
        <f>9.022+28.1</f>
        <v>37.122</v>
      </c>
      <c r="D50" s="49">
        <v>214</v>
      </c>
      <c r="E50" s="49">
        <f t="shared" si="0"/>
        <v>7944.1080000000002</v>
      </c>
    </row>
    <row r="51" spans="1:5" x14ac:dyDescent="0.25">
      <c r="A51" s="31">
        <v>52</v>
      </c>
      <c r="B51" s="9" t="s">
        <v>148</v>
      </c>
      <c r="C51" s="48">
        <f>20.6+12.72+12.69</f>
        <v>46.01</v>
      </c>
      <c r="D51" s="49">
        <v>100</v>
      </c>
      <c r="E51" s="49">
        <f t="shared" si="0"/>
        <v>4601</v>
      </c>
    </row>
    <row r="52" spans="1:5" x14ac:dyDescent="0.25">
      <c r="A52" s="31">
        <v>53</v>
      </c>
      <c r="B52" s="9" t="s">
        <v>149</v>
      </c>
      <c r="C52" s="48">
        <v>11.46</v>
      </c>
      <c r="D52" s="49">
        <v>82</v>
      </c>
      <c r="E52" s="49">
        <f t="shared" si="0"/>
        <v>939.72</v>
      </c>
    </row>
    <row r="53" spans="1:5" x14ac:dyDescent="0.25">
      <c r="A53" s="31">
        <v>54</v>
      </c>
      <c r="B53" s="9" t="s">
        <v>150</v>
      </c>
      <c r="C53" s="48">
        <f>33+69+5.38</f>
        <v>107.38</v>
      </c>
      <c r="D53" s="49">
        <v>110</v>
      </c>
      <c r="E53" s="49">
        <f t="shared" si="0"/>
        <v>11811.8</v>
      </c>
    </row>
    <row r="54" spans="1:5" x14ac:dyDescent="0.25">
      <c r="A54" s="31">
        <v>55</v>
      </c>
      <c r="B54" s="9" t="s">
        <v>31</v>
      </c>
      <c r="C54" s="48">
        <f>9+4.56+10.33+10.38</f>
        <v>34.270000000000003</v>
      </c>
      <c r="D54" s="49">
        <v>175</v>
      </c>
      <c r="E54" s="49">
        <f t="shared" si="0"/>
        <v>5997.2500000000009</v>
      </c>
    </row>
    <row r="55" spans="1:5" x14ac:dyDescent="0.25">
      <c r="A55" s="31">
        <v>56</v>
      </c>
      <c r="B55" s="9" t="s">
        <v>32</v>
      </c>
      <c r="C55" s="48">
        <v>1.8120000000000001</v>
      </c>
      <c r="D55" s="49">
        <v>140</v>
      </c>
      <c r="E55" s="49">
        <f t="shared" si="0"/>
        <v>253.68</v>
      </c>
    </row>
    <row r="56" spans="1:5" x14ac:dyDescent="0.25">
      <c r="A56" s="31">
        <v>57</v>
      </c>
      <c r="B56" s="9" t="s">
        <v>33</v>
      </c>
      <c r="C56" s="48">
        <f>5.298+1.076+24.1+6.5+9.43+12.78+90</f>
        <v>149.184</v>
      </c>
      <c r="D56" s="49">
        <v>74</v>
      </c>
      <c r="E56" s="49">
        <f t="shared" si="0"/>
        <v>11039.616</v>
      </c>
    </row>
    <row r="57" spans="1:5" x14ac:dyDescent="0.25">
      <c r="A57" s="31">
        <v>58</v>
      </c>
      <c r="B57" s="9" t="s">
        <v>34</v>
      </c>
      <c r="C57" s="48">
        <f>9.695+27.8+28.7+27</f>
        <v>93.195000000000007</v>
      </c>
      <c r="D57" s="49">
        <v>58</v>
      </c>
      <c r="E57" s="49">
        <f t="shared" si="0"/>
        <v>5405.31</v>
      </c>
    </row>
    <row r="58" spans="1:5" x14ac:dyDescent="0.25">
      <c r="A58" s="31">
        <v>59</v>
      </c>
      <c r="B58" s="9" t="s">
        <v>35</v>
      </c>
      <c r="C58" s="48">
        <f>2.894+4.46+29.3+28.2+14.8</f>
        <v>79.653999999999996</v>
      </c>
      <c r="D58" s="49">
        <v>58</v>
      </c>
      <c r="E58" s="49">
        <f t="shared" si="0"/>
        <v>4619.9319999999998</v>
      </c>
    </row>
    <row r="59" spans="1:5" x14ac:dyDescent="0.25">
      <c r="A59" s="31">
        <v>60</v>
      </c>
      <c r="B59" s="9" t="s">
        <v>36</v>
      </c>
      <c r="C59" s="48">
        <f>8.07+2.58+53.6+15.8+3.5</f>
        <v>83.55</v>
      </c>
      <c r="D59" s="49">
        <v>80</v>
      </c>
      <c r="E59" s="49">
        <f t="shared" si="0"/>
        <v>6684</v>
      </c>
    </row>
    <row r="60" spans="1:5" x14ac:dyDescent="0.25">
      <c r="A60" s="31">
        <v>61</v>
      </c>
      <c r="B60" s="9" t="s">
        <v>37</v>
      </c>
      <c r="C60" s="48">
        <f>3+1</f>
        <v>4</v>
      </c>
      <c r="D60" s="49">
        <v>59</v>
      </c>
      <c r="E60" s="49">
        <f t="shared" si="0"/>
        <v>236</v>
      </c>
    </row>
    <row r="61" spans="1:5" x14ac:dyDescent="0.25">
      <c r="A61" s="31">
        <v>62</v>
      </c>
      <c r="B61" s="9" t="s">
        <v>15</v>
      </c>
      <c r="C61" s="48">
        <v>5</v>
      </c>
      <c r="D61" s="49">
        <v>62</v>
      </c>
      <c r="E61" s="49">
        <f t="shared" si="0"/>
        <v>310</v>
      </c>
    </row>
    <row r="62" spans="1:5" x14ac:dyDescent="0.25">
      <c r="A62" s="31">
        <v>63</v>
      </c>
      <c r="B62" s="9" t="s">
        <v>16</v>
      </c>
      <c r="C62" s="48">
        <v>2</v>
      </c>
      <c r="D62" s="49">
        <v>61</v>
      </c>
      <c r="E62" s="49">
        <f t="shared" si="0"/>
        <v>122</v>
      </c>
    </row>
    <row r="63" spans="1:5" x14ac:dyDescent="0.25">
      <c r="A63" s="31">
        <v>64</v>
      </c>
      <c r="B63" s="9" t="s">
        <v>18</v>
      </c>
      <c r="C63" s="48">
        <v>2</v>
      </c>
      <c r="D63" s="49">
        <v>40</v>
      </c>
      <c r="E63" s="49">
        <f t="shared" si="0"/>
        <v>80</v>
      </c>
    </row>
    <row r="64" spans="1:5" x14ac:dyDescent="0.25">
      <c r="A64" s="31">
        <v>65</v>
      </c>
      <c r="B64" s="9" t="s">
        <v>38</v>
      </c>
      <c r="C64" s="48">
        <v>8</v>
      </c>
      <c r="D64" s="49">
        <v>20</v>
      </c>
      <c r="E64" s="49">
        <f t="shared" si="0"/>
        <v>160</v>
      </c>
    </row>
    <row r="65" spans="1:5" x14ac:dyDescent="0.25">
      <c r="A65" s="31">
        <v>66</v>
      </c>
      <c r="B65" s="9" t="s">
        <v>39</v>
      </c>
      <c r="C65" s="48">
        <v>5</v>
      </c>
      <c r="D65" s="49">
        <v>29</v>
      </c>
      <c r="E65" s="49">
        <f t="shared" si="0"/>
        <v>145</v>
      </c>
    </row>
    <row r="66" spans="1:5" x14ac:dyDescent="0.25">
      <c r="A66" s="31">
        <v>68</v>
      </c>
      <c r="B66" s="9" t="s">
        <v>40</v>
      </c>
      <c r="C66" s="48">
        <v>30</v>
      </c>
      <c r="D66" s="49">
        <v>60</v>
      </c>
      <c r="E66" s="49">
        <f t="shared" si="0"/>
        <v>1800</v>
      </c>
    </row>
    <row r="67" spans="1:5" x14ac:dyDescent="0.25">
      <c r="A67" s="31">
        <v>69</v>
      </c>
      <c r="B67" s="9" t="s">
        <v>41</v>
      </c>
      <c r="C67" s="48">
        <f>7.21+5.18+0.25+0.535+0.58+1.5+1.47</f>
        <v>16.725000000000001</v>
      </c>
      <c r="D67" s="49">
        <v>210</v>
      </c>
      <c r="E67" s="49">
        <f t="shared" si="0"/>
        <v>3512.2500000000005</v>
      </c>
    </row>
    <row r="68" spans="1:5" x14ac:dyDescent="0.25">
      <c r="A68" s="31">
        <v>71</v>
      </c>
      <c r="B68" s="9" t="s">
        <v>151</v>
      </c>
      <c r="C68" s="48">
        <v>2</v>
      </c>
      <c r="D68" s="49">
        <v>85</v>
      </c>
      <c r="E68" s="49">
        <f t="shared" si="0"/>
        <v>170</v>
      </c>
    </row>
    <row r="69" spans="1:5" x14ac:dyDescent="0.25">
      <c r="A69" s="31">
        <v>72</v>
      </c>
      <c r="B69" s="9" t="s">
        <v>152</v>
      </c>
      <c r="C69" s="48">
        <v>0</v>
      </c>
      <c r="D69" s="49">
        <v>95</v>
      </c>
      <c r="E69" s="49">
        <f t="shared" ref="E69:E132" si="1">C69*D69</f>
        <v>0</v>
      </c>
    </row>
    <row r="70" spans="1:5" x14ac:dyDescent="0.25">
      <c r="A70" s="31">
        <v>79</v>
      </c>
      <c r="B70" s="9" t="s">
        <v>51</v>
      </c>
      <c r="C70" s="48">
        <v>3</v>
      </c>
      <c r="D70" s="49">
        <v>46</v>
      </c>
      <c r="E70" s="49">
        <f t="shared" si="1"/>
        <v>138</v>
      </c>
    </row>
    <row r="71" spans="1:5" x14ac:dyDescent="0.25">
      <c r="A71" s="31">
        <v>80</v>
      </c>
      <c r="B71" s="9" t="s">
        <v>52</v>
      </c>
      <c r="C71" s="48">
        <f>1.5+15.1+2.16</f>
        <v>18.760000000000002</v>
      </c>
      <c r="D71" s="49">
        <v>113</v>
      </c>
      <c r="E71" s="49">
        <f t="shared" si="1"/>
        <v>2119.88</v>
      </c>
    </row>
    <row r="72" spans="1:5" x14ac:dyDescent="0.25">
      <c r="A72" s="31">
        <v>81</v>
      </c>
      <c r="B72" s="9" t="s">
        <v>53</v>
      </c>
      <c r="C72" s="48">
        <f>51.1+43.01+12.8+5.48</f>
        <v>112.39</v>
      </c>
      <c r="D72" s="49">
        <v>84</v>
      </c>
      <c r="E72" s="49">
        <f t="shared" si="1"/>
        <v>9440.76</v>
      </c>
    </row>
    <row r="73" spans="1:5" x14ac:dyDescent="0.25">
      <c r="A73" s="31">
        <v>82</v>
      </c>
      <c r="B73" s="9" t="s">
        <v>153</v>
      </c>
      <c r="C73" s="48">
        <v>5</v>
      </c>
      <c r="D73" s="49">
        <v>69</v>
      </c>
      <c r="E73" s="49">
        <f t="shared" si="1"/>
        <v>345</v>
      </c>
    </row>
    <row r="74" spans="1:5" x14ac:dyDescent="0.25">
      <c r="A74" s="31">
        <v>83</v>
      </c>
      <c r="B74" s="9" t="s">
        <v>100</v>
      </c>
      <c r="C74" s="48">
        <v>15</v>
      </c>
      <c r="D74" s="49">
        <v>26</v>
      </c>
      <c r="E74" s="49">
        <f t="shared" si="1"/>
        <v>390</v>
      </c>
    </row>
    <row r="75" spans="1:5" x14ac:dyDescent="0.25">
      <c r="A75" s="31">
        <v>84</v>
      </c>
      <c r="B75" s="9" t="s">
        <v>54</v>
      </c>
      <c r="C75" s="48">
        <v>1.39</v>
      </c>
      <c r="D75" s="49">
        <v>280</v>
      </c>
      <c r="E75" s="49">
        <f t="shared" si="1"/>
        <v>389.2</v>
      </c>
    </row>
    <row r="76" spans="1:5" x14ac:dyDescent="0.25">
      <c r="A76" s="31">
        <v>85</v>
      </c>
      <c r="B76" s="9" t="s">
        <v>154</v>
      </c>
      <c r="C76" s="48">
        <v>72</v>
      </c>
      <c r="D76" s="49">
        <v>26</v>
      </c>
      <c r="E76" s="49">
        <f t="shared" si="1"/>
        <v>1872</v>
      </c>
    </row>
    <row r="77" spans="1:5" x14ac:dyDescent="0.25">
      <c r="A77" s="34">
        <v>87</v>
      </c>
      <c r="B77" s="9" t="s">
        <v>155</v>
      </c>
      <c r="C77" s="48">
        <v>10</v>
      </c>
      <c r="D77" s="49">
        <v>50</v>
      </c>
      <c r="E77" s="49">
        <f t="shared" si="1"/>
        <v>500</v>
      </c>
    </row>
    <row r="78" spans="1:5" x14ac:dyDescent="0.25">
      <c r="A78" s="34">
        <v>88</v>
      </c>
      <c r="B78" s="9" t="s">
        <v>156</v>
      </c>
      <c r="C78" s="48">
        <v>10</v>
      </c>
      <c r="D78" s="49">
        <v>68</v>
      </c>
      <c r="E78" s="49">
        <f t="shared" si="1"/>
        <v>680</v>
      </c>
    </row>
    <row r="79" spans="1:5" x14ac:dyDescent="0.25">
      <c r="A79" s="34">
        <v>89</v>
      </c>
      <c r="B79" s="9" t="s">
        <v>157</v>
      </c>
      <c r="C79" s="48">
        <v>21</v>
      </c>
      <c r="D79" s="49">
        <v>12</v>
      </c>
      <c r="E79" s="49">
        <f t="shared" si="1"/>
        <v>252</v>
      </c>
    </row>
    <row r="80" spans="1:5" x14ac:dyDescent="0.25">
      <c r="A80" s="34">
        <v>90</v>
      </c>
      <c r="B80" s="43" t="s">
        <v>158</v>
      </c>
      <c r="C80" s="48">
        <v>0</v>
      </c>
      <c r="D80" s="49">
        <v>28</v>
      </c>
      <c r="E80" s="49">
        <f t="shared" si="1"/>
        <v>0</v>
      </c>
    </row>
    <row r="81" spans="1:5" x14ac:dyDescent="0.25">
      <c r="A81" s="34">
        <v>91</v>
      </c>
      <c r="B81" s="9" t="s">
        <v>159</v>
      </c>
      <c r="C81" s="48">
        <f>1+10</f>
        <v>11</v>
      </c>
      <c r="D81" s="49">
        <v>110</v>
      </c>
      <c r="E81" s="49">
        <f t="shared" si="1"/>
        <v>1210</v>
      </c>
    </row>
    <row r="82" spans="1:5" x14ac:dyDescent="0.25">
      <c r="A82" s="34">
        <v>98</v>
      </c>
      <c r="B82" s="9" t="s">
        <v>166</v>
      </c>
      <c r="C82" s="48">
        <f>19.8+90</f>
        <v>109.8</v>
      </c>
      <c r="D82" s="49">
        <v>45</v>
      </c>
      <c r="E82" s="49">
        <f t="shared" si="1"/>
        <v>4941</v>
      </c>
    </row>
    <row r="83" spans="1:5" x14ac:dyDescent="0.25">
      <c r="A83" s="34">
        <v>92</v>
      </c>
      <c r="B83" s="9" t="s">
        <v>160</v>
      </c>
      <c r="C83" s="48">
        <v>2</v>
      </c>
      <c r="D83" s="49">
        <v>75</v>
      </c>
      <c r="E83" s="49">
        <f t="shared" si="1"/>
        <v>150</v>
      </c>
    </row>
    <row r="84" spans="1:5" x14ac:dyDescent="0.25">
      <c r="A84" s="34">
        <v>93</v>
      </c>
      <c r="B84" s="9" t="s">
        <v>161</v>
      </c>
      <c r="C84" s="48">
        <v>5</v>
      </c>
      <c r="D84" s="49">
        <v>75</v>
      </c>
      <c r="E84" s="49">
        <f t="shared" si="1"/>
        <v>375</v>
      </c>
    </row>
    <row r="85" spans="1:5" x14ac:dyDescent="0.25">
      <c r="A85" s="34">
        <v>94</v>
      </c>
      <c r="B85" s="9" t="s">
        <v>162</v>
      </c>
      <c r="C85" s="48">
        <v>7.5</v>
      </c>
      <c r="D85" s="49">
        <v>60</v>
      </c>
      <c r="E85" s="49">
        <f t="shared" si="1"/>
        <v>450</v>
      </c>
    </row>
    <row r="86" spans="1:5" x14ac:dyDescent="0.25">
      <c r="A86" s="34">
        <v>95</v>
      </c>
      <c r="B86" s="9" t="s">
        <v>163</v>
      </c>
      <c r="C86" s="48">
        <v>26</v>
      </c>
      <c r="D86" s="49">
        <v>19</v>
      </c>
      <c r="E86" s="49">
        <f t="shared" si="1"/>
        <v>494</v>
      </c>
    </row>
    <row r="87" spans="1:5" x14ac:dyDescent="0.25">
      <c r="A87" s="34">
        <v>96</v>
      </c>
      <c r="B87" s="9" t="s">
        <v>164</v>
      </c>
      <c r="C87" s="48">
        <v>50</v>
      </c>
      <c r="D87" s="49">
        <v>20</v>
      </c>
      <c r="E87" s="49">
        <f t="shared" si="1"/>
        <v>1000</v>
      </c>
    </row>
    <row r="88" spans="1:5" x14ac:dyDescent="0.25">
      <c r="A88" s="34">
        <v>97</v>
      </c>
      <c r="B88" s="9" t="s">
        <v>165</v>
      </c>
      <c r="C88" s="48">
        <v>49</v>
      </c>
      <c r="D88" s="49">
        <v>22</v>
      </c>
      <c r="E88" s="49">
        <f t="shared" si="1"/>
        <v>1078</v>
      </c>
    </row>
    <row r="89" spans="1:5" ht="15.75" thickBot="1" x14ac:dyDescent="0.3">
      <c r="A89" s="32"/>
      <c r="B89" s="22" t="s">
        <v>17</v>
      </c>
      <c r="C89" s="15">
        <f>SUM(C53:C88)</f>
        <v>1152.6099999999999</v>
      </c>
      <c r="D89" s="36"/>
      <c r="E89" s="36">
        <f>SUM(E46:E88)</f>
        <v>444616.52199999994</v>
      </c>
    </row>
    <row r="90" spans="1:5" ht="25.5" customHeight="1" thickBot="1" x14ac:dyDescent="0.3">
      <c r="A90" s="33"/>
      <c r="B90" s="19" t="s">
        <v>1</v>
      </c>
      <c r="C90" s="57" t="s">
        <v>2</v>
      </c>
      <c r="D90" s="57" t="s">
        <v>3</v>
      </c>
      <c r="E90" s="58" t="s">
        <v>4</v>
      </c>
    </row>
    <row r="91" spans="1:5" x14ac:dyDescent="0.25">
      <c r="A91" s="34">
        <v>99</v>
      </c>
      <c r="B91" s="9" t="s">
        <v>167</v>
      </c>
      <c r="C91" s="48">
        <v>21</v>
      </c>
      <c r="D91" s="49">
        <v>24</v>
      </c>
      <c r="E91" s="49">
        <f t="shared" si="1"/>
        <v>504</v>
      </c>
    </row>
    <row r="92" spans="1:5" x14ac:dyDescent="0.25">
      <c r="A92" s="34">
        <v>100</v>
      </c>
      <c r="B92" s="9" t="s">
        <v>168</v>
      </c>
      <c r="C92" s="48">
        <v>36</v>
      </c>
      <c r="D92" s="49">
        <v>17</v>
      </c>
      <c r="E92" s="49">
        <f t="shared" si="1"/>
        <v>612</v>
      </c>
    </row>
    <row r="93" spans="1:5" x14ac:dyDescent="0.25">
      <c r="A93" s="34">
        <v>101</v>
      </c>
      <c r="B93" s="9" t="s">
        <v>169</v>
      </c>
      <c r="C93" s="50">
        <v>19</v>
      </c>
      <c r="D93" s="49">
        <v>14</v>
      </c>
      <c r="E93" s="49">
        <f t="shared" si="1"/>
        <v>266</v>
      </c>
    </row>
    <row r="94" spans="1:5" x14ac:dyDescent="0.25">
      <c r="A94" s="34">
        <v>102</v>
      </c>
      <c r="B94" s="9" t="s">
        <v>170</v>
      </c>
      <c r="C94" s="48">
        <v>0</v>
      </c>
      <c r="D94" s="49">
        <v>54</v>
      </c>
      <c r="E94" s="49">
        <f t="shared" si="1"/>
        <v>0</v>
      </c>
    </row>
    <row r="95" spans="1:5" x14ac:dyDescent="0.25">
      <c r="A95" s="34">
        <v>103</v>
      </c>
      <c r="B95" s="9" t="s">
        <v>171</v>
      </c>
      <c r="C95" s="48">
        <v>1</v>
      </c>
      <c r="D95" s="49">
        <v>125</v>
      </c>
      <c r="E95" s="49">
        <f t="shared" si="1"/>
        <v>125</v>
      </c>
    </row>
    <row r="96" spans="1:5" x14ac:dyDescent="0.25">
      <c r="A96" s="34">
        <v>104</v>
      </c>
      <c r="B96" s="9" t="s">
        <v>172</v>
      </c>
      <c r="C96" s="48">
        <f>1.688+0.276</f>
        <v>1.964</v>
      </c>
      <c r="D96" s="49">
        <v>60</v>
      </c>
      <c r="E96" s="49">
        <f t="shared" si="1"/>
        <v>117.84</v>
      </c>
    </row>
    <row r="97" spans="1:5" x14ac:dyDescent="0.25">
      <c r="A97" s="34">
        <v>105</v>
      </c>
      <c r="B97" s="9" t="s">
        <v>173</v>
      </c>
      <c r="C97" s="48">
        <v>0</v>
      </c>
      <c r="D97" s="49">
        <v>45</v>
      </c>
      <c r="E97" s="49">
        <f t="shared" si="1"/>
        <v>0</v>
      </c>
    </row>
    <row r="98" spans="1:5" x14ac:dyDescent="0.25">
      <c r="A98" s="34">
        <v>106</v>
      </c>
      <c r="B98" s="9" t="s">
        <v>175</v>
      </c>
      <c r="C98" s="48">
        <f>9+10.12</f>
        <v>19.119999999999997</v>
      </c>
      <c r="D98" s="49">
        <v>88</v>
      </c>
      <c r="E98" s="49">
        <f t="shared" si="1"/>
        <v>1682.5599999999997</v>
      </c>
    </row>
    <row r="99" spans="1:5" x14ac:dyDescent="0.25">
      <c r="A99" s="34">
        <v>107</v>
      </c>
      <c r="B99" s="9" t="s">
        <v>174</v>
      </c>
      <c r="C99" s="48">
        <f>7.3+12.14+2.048</f>
        <v>21.488</v>
      </c>
      <c r="D99" s="49">
        <v>98</v>
      </c>
      <c r="E99" s="49">
        <f t="shared" si="1"/>
        <v>2105.8240000000001</v>
      </c>
    </row>
    <row r="100" spans="1:5" x14ac:dyDescent="0.25">
      <c r="A100" s="34">
        <v>108</v>
      </c>
      <c r="B100" s="9" t="s">
        <v>176</v>
      </c>
      <c r="C100" s="48">
        <f>1.4+14.3</f>
        <v>15.700000000000001</v>
      </c>
      <c r="D100" s="49">
        <v>80</v>
      </c>
      <c r="E100" s="49">
        <f t="shared" si="1"/>
        <v>1256</v>
      </c>
    </row>
    <row r="101" spans="1:5" x14ac:dyDescent="0.25">
      <c r="A101" s="34">
        <v>109</v>
      </c>
      <c r="B101" s="9" t="s">
        <v>177</v>
      </c>
      <c r="C101" s="48">
        <f>3.612+0.265+6.9+9.8</f>
        <v>20.577000000000002</v>
      </c>
      <c r="D101" s="49">
        <v>94</v>
      </c>
      <c r="E101" s="49">
        <f t="shared" si="1"/>
        <v>1934.2380000000001</v>
      </c>
    </row>
    <row r="102" spans="1:5" x14ac:dyDescent="0.25">
      <c r="A102" s="34">
        <v>110</v>
      </c>
      <c r="B102" s="9" t="s">
        <v>178</v>
      </c>
      <c r="C102" s="48">
        <f>4+2.23</f>
        <v>6.23</v>
      </c>
      <c r="D102" s="49">
        <v>60</v>
      </c>
      <c r="E102" s="49">
        <f t="shared" si="1"/>
        <v>373.8</v>
      </c>
    </row>
    <row r="103" spans="1:5" x14ac:dyDescent="0.25">
      <c r="A103" s="34">
        <v>111</v>
      </c>
      <c r="B103" s="9" t="s">
        <v>179</v>
      </c>
      <c r="C103" s="48">
        <f>11.3-3.9+12.52-2.2</f>
        <v>17.720000000000002</v>
      </c>
      <c r="D103" s="49">
        <v>80</v>
      </c>
      <c r="E103" s="49">
        <f t="shared" si="1"/>
        <v>1417.6000000000001</v>
      </c>
    </row>
    <row r="104" spans="1:5" x14ac:dyDescent="0.25">
      <c r="A104" s="34">
        <v>112</v>
      </c>
      <c r="B104" s="9" t="s">
        <v>180</v>
      </c>
      <c r="C104" s="48">
        <f>1.4+2.94+538.1+91.5+627.5</f>
        <v>1261.44</v>
      </c>
      <c r="D104" s="49">
        <v>36</v>
      </c>
      <c r="E104" s="49">
        <f t="shared" si="1"/>
        <v>45411.840000000004</v>
      </c>
    </row>
    <row r="105" spans="1:5" x14ac:dyDescent="0.25">
      <c r="A105" s="34">
        <v>113</v>
      </c>
      <c r="B105" s="9" t="s">
        <v>181</v>
      </c>
      <c r="C105" s="48">
        <f>9.14-3.9+7.26</f>
        <v>12.5</v>
      </c>
      <c r="D105" s="49">
        <v>74</v>
      </c>
      <c r="E105" s="49">
        <f t="shared" si="1"/>
        <v>925</v>
      </c>
    </row>
    <row r="106" spans="1:5" x14ac:dyDescent="0.25">
      <c r="A106" s="34">
        <v>114</v>
      </c>
      <c r="B106" s="9" t="s">
        <v>182</v>
      </c>
      <c r="C106" s="48">
        <f>1.16+2.16</f>
        <v>3.3200000000000003</v>
      </c>
      <c r="D106" s="49">
        <v>98</v>
      </c>
      <c r="E106" s="49">
        <f t="shared" si="1"/>
        <v>325.36</v>
      </c>
    </row>
    <row r="107" spans="1:5" x14ac:dyDescent="0.25">
      <c r="A107" s="34">
        <v>115</v>
      </c>
      <c r="B107" s="9" t="s">
        <v>183</v>
      </c>
      <c r="C107" s="48">
        <f>10.24-3.9+9.16+24.6+59.2</f>
        <v>99.300000000000011</v>
      </c>
      <c r="D107" s="49">
        <v>96</v>
      </c>
      <c r="E107" s="49">
        <f t="shared" si="1"/>
        <v>9532.8000000000011</v>
      </c>
    </row>
    <row r="108" spans="1:5" x14ac:dyDescent="0.25">
      <c r="A108" s="34">
        <v>116</v>
      </c>
      <c r="B108" s="9" t="s">
        <v>269</v>
      </c>
      <c r="C108" s="48">
        <f>70.4+11.48</f>
        <v>81.88000000000001</v>
      </c>
      <c r="D108" s="49">
        <v>90</v>
      </c>
      <c r="E108" s="49">
        <f t="shared" si="1"/>
        <v>7369.2000000000007</v>
      </c>
    </row>
    <row r="109" spans="1:5" x14ac:dyDescent="0.25">
      <c r="A109" s="34">
        <v>117</v>
      </c>
      <c r="B109" s="9" t="s">
        <v>268</v>
      </c>
      <c r="C109" s="48">
        <v>5</v>
      </c>
      <c r="D109" s="49">
        <v>108</v>
      </c>
      <c r="E109" s="49">
        <f t="shared" si="1"/>
        <v>540</v>
      </c>
    </row>
    <row r="110" spans="1:5" x14ac:dyDescent="0.25">
      <c r="A110" s="34">
        <v>118</v>
      </c>
      <c r="B110" s="9" t="s">
        <v>267</v>
      </c>
      <c r="C110" s="48">
        <f>9.46-3.9+3.78+30.4+382</f>
        <v>421.74</v>
      </c>
      <c r="D110" s="49">
        <v>10</v>
      </c>
      <c r="E110" s="49">
        <f t="shared" si="1"/>
        <v>4217.3999999999996</v>
      </c>
    </row>
    <row r="111" spans="1:5" x14ac:dyDescent="0.25">
      <c r="A111" s="34">
        <v>119</v>
      </c>
      <c r="B111" s="9" t="s">
        <v>266</v>
      </c>
      <c r="C111" s="48">
        <f>4.48+14.22-2.2+36.6</f>
        <v>53.100000000000009</v>
      </c>
      <c r="D111" s="49">
        <v>58</v>
      </c>
      <c r="E111" s="49">
        <f t="shared" si="1"/>
        <v>3079.8000000000006</v>
      </c>
    </row>
    <row r="112" spans="1:5" x14ac:dyDescent="0.25">
      <c r="A112" s="34">
        <v>120</v>
      </c>
      <c r="B112" s="9" t="s">
        <v>265</v>
      </c>
      <c r="C112" s="48">
        <f>3.22+63.56</f>
        <v>66.78</v>
      </c>
      <c r="D112" s="49">
        <v>280</v>
      </c>
      <c r="E112" s="49">
        <f t="shared" si="1"/>
        <v>18698.400000000001</v>
      </c>
    </row>
    <row r="113" spans="1:5" x14ac:dyDescent="0.25">
      <c r="A113" s="34">
        <v>121</v>
      </c>
      <c r="B113" s="9" t="s">
        <v>264</v>
      </c>
      <c r="C113" s="48">
        <v>61.2</v>
      </c>
      <c r="D113" s="49">
        <v>64</v>
      </c>
      <c r="E113" s="49">
        <f t="shared" si="1"/>
        <v>3916.8</v>
      </c>
    </row>
    <row r="114" spans="1:5" x14ac:dyDescent="0.25">
      <c r="A114" s="34">
        <v>122</v>
      </c>
      <c r="B114" s="9" t="s">
        <v>263</v>
      </c>
      <c r="C114" s="48">
        <f>26.3+1+4.99</f>
        <v>32.29</v>
      </c>
      <c r="D114" s="49">
        <v>74</v>
      </c>
      <c r="E114" s="49">
        <f t="shared" si="1"/>
        <v>2389.46</v>
      </c>
    </row>
    <row r="115" spans="1:5" x14ac:dyDescent="0.25">
      <c r="A115" s="34">
        <v>123</v>
      </c>
      <c r="B115" s="9" t="s">
        <v>262</v>
      </c>
      <c r="C115" s="48">
        <f>7.12+64.5+15.3+92.8+79.2+9.3+36.4</f>
        <v>304.62</v>
      </c>
      <c r="D115" s="49">
        <v>110</v>
      </c>
      <c r="E115" s="49">
        <f t="shared" si="1"/>
        <v>33508.199999999997</v>
      </c>
    </row>
    <row r="116" spans="1:5" x14ac:dyDescent="0.25">
      <c r="A116" s="34">
        <v>124</v>
      </c>
      <c r="B116" s="43" t="s">
        <v>261</v>
      </c>
      <c r="C116" s="48">
        <v>0</v>
      </c>
      <c r="D116" s="49">
        <v>182</v>
      </c>
      <c r="E116" s="49">
        <f t="shared" si="1"/>
        <v>0</v>
      </c>
    </row>
    <row r="117" spans="1:5" x14ac:dyDescent="0.25">
      <c r="A117" s="34">
        <v>125</v>
      </c>
      <c r="B117" s="9" t="s">
        <v>260</v>
      </c>
      <c r="C117" s="48">
        <f>20.16-3.9+16.02-3.9+12.68-3.9+6.8+10.3</f>
        <v>54.260000000000005</v>
      </c>
      <c r="D117" s="49">
        <v>74</v>
      </c>
      <c r="E117" s="49">
        <f t="shared" si="1"/>
        <v>4015.2400000000002</v>
      </c>
    </row>
    <row r="118" spans="1:5" x14ac:dyDescent="0.25">
      <c r="A118" s="34">
        <v>126</v>
      </c>
      <c r="B118" s="9" t="s">
        <v>259</v>
      </c>
      <c r="C118" s="48">
        <f>10.07-2.2</f>
        <v>7.87</v>
      </c>
      <c r="D118" s="49">
        <v>210</v>
      </c>
      <c r="E118" s="49">
        <f t="shared" si="1"/>
        <v>1652.7</v>
      </c>
    </row>
    <row r="119" spans="1:5" x14ac:dyDescent="0.25">
      <c r="A119" s="34">
        <v>127</v>
      </c>
      <c r="B119" s="9" t="s">
        <v>258</v>
      </c>
      <c r="C119" s="48">
        <v>0</v>
      </c>
      <c r="D119" s="49">
        <v>182</v>
      </c>
      <c r="E119" s="49">
        <f t="shared" si="1"/>
        <v>0</v>
      </c>
    </row>
    <row r="120" spans="1:5" x14ac:dyDescent="0.25">
      <c r="A120" s="34">
        <v>128</v>
      </c>
      <c r="B120" s="9" t="s">
        <v>257</v>
      </c>
      <c r="C120" s="48">
        <v>13.8</v>
      </c>
      <c r="D120" s="49">
        <v>42</v>
      </c>
      <c r="E120" s="49">
        <f t="shared" si="1"/>
        <v>579.6</v>
      </c>
    </row>
    <row r="121" spans="1:5" x14ac:dyDescent="0.25">
      <c r="A121" s="34">
        <v>129</v>
      </c>
      <c r="B121" s="9" t="s">
        <v>256</v>
      </c>
      <c r="C121" s="48">
        <f>1.48+25.4</f>
        <v>26.88</v>
      </c>
      <c r="D121" s="49">
        <v>75</v>
      </c>
      <c r="E121" s="49">
        <f t="shared" si="1"/>
        <v>2016</v>
      </c>
    </row>
    <row r="122" spans="1:5" x14ac:dyDescent="0.25">
      <c r="A122" s="34">
        <v>130</v>
      </c>
      <c r="B122" s="9" t="s">
        <v>255</v>
      </c>
      <c r="C122" s="48">
        <f>6.06-3.9</f>
        <v>2.1599999999999997</v>
      </c>
      <c r="D122" s="49">
        <v>78</v>
      </c>
      <c r="E122" s="49">
        <f t="shared" si="1"/>
        <v>168.48</v>
      </c>
    </row>
    <row r="123" spans="1:5" x14ac:dyDescent="0.25">
      <c r="A123" s="34">
        <v>131</v>
      </c>
      <c r="B123" s="9" t="s">
        <v>254</v>
      </c>
      <c r="C123" s="48">
        <f>12.06-3.9+12.1+13.8</f>
        <v>34.06</v>
      </c>
      <c r="D123" s="49">
        <v>120</v>
      </c>
      <c r="E123" s="49">
        <f t="shared" si="1"/>
        <v>4087.2000000000003</v>
      </c>
    </row>
    <row r="124" spans="1:5" x14ac:dyDescent="0.25">
      <c r="A124" s="34">
        <v>132</v>
      </c>
      <c r="B124" s="9" t="s">
        <v>253</v>
      </c>
      <c r="C124" s="48">
        <v>0</v>
      </c>
      <c r="D124" s="49">
        <v>120</v>
      </c>
      <c r="E124" s="49">
        <f t="shared" si="1"/>
        <v>0</v>
      </c>
    </row>
    <row r="125" spans="1:5" x14ac:dyDescent="0.25">
      <c r="A125" s="34">
        <v>133</v>
      </c>
      <c r="B125" s="9" t="s">
        <v>252</v>
      </c>
      <c r="C125" s="48">
        <f>6-3.9</f>
        <v>2.1</v>
      </c>
      <c r="D125" s="49">
        <v>173</v>
      </c>
      <c r="E125" s="49">
        <f t="shared" si="1"/>
        <v>363.3</v>
      </c>
    </row>
    <row r="126" spans="1:5" x14ac:dyDescent="0.25">
      <c r="A126" s="34">
        <v>134</v>
      </c>
      <c r="B126" s="9" t="s">
        <v>251</v>
      </c>
      <c r="C126" s="48">
        <f>0.86+1.32+9.32+6.8+22.6+4.8+53+101.3</f>
        <v>200</v>
      </c>
      <c r="D126" s="49">
        <v>116</v>
      </c>
      <c r="E126" s="49">
        <f t="shared" si="1"/>
        <v>23200</v>
      </c>
    </row>
    <row r="127" spans="1:5" x14ac:dyDescent="0.25">
      <c r="A127" s="34">
        <v>135</v>
      </c>
      <c r="B127" s="9" t="s">
        <v>250</v>
      </c>
      <c r="C127" s="48">
        <f>3.3+82+49.4</f>
        <v>134.69999999999999</v>
      </c>
      <c r="D127" s="49">
        <v>86</v>
      </c>
      <c r="E127" s="49">
        <f t="shared" si="1"/>
        <v>11584.199999999999</v>
      </c>
    </row>
    <row r="128" spans="1:5" x14ac:dyDescent="0.25">
      <c r="A128" s="34">
        <v>136</v>
      </c>
      <c r="B128" s="9" t="s">
        <v>249</v>
      </c>
      <c r="C128" s="48">
        <f>2.22+19.8</f>
        <v>22.02</v>
      </c>
      <c r="D128" s="49">
        <v>48</v>
      </c>
      <c r="E128" s="49">
        <f t="shared" si="1"/>
        <v>1056.96</v>
      </c>
    </row>
    <row r="129" spans="1:5" x14ac:dyDescent="0.25">
      <c r="A129" s="34">
        <v>137</v>
      </c>
      <c r="B129" s="9" t="s">
        <v>248</v>
      </c>
      <c r="C129" s="48">
        <f>41.5+0.69+14.84+9.72+1.26+34.54+10.1+60.7+44.4+27.4+183.7+19.5+389.4</f>
        <v>837.75</v>
      </c>
      <c r="D129" s="49">
        <v>184</v>
      </c>
      <c r="E129" s="49">
        <f t="shared" si="1"/>
        <v>154146</v>
      </c>
    </row>
    <row r="130" spans="1:5" x14ac:dyDescent="0.25">
      <c r="A130" s="34">
        <v>138</v>
      </c>
      <c r="B130" s="9" t="s">
        <v>247</v>
      </c>
      <c r="C130" s="48">
        <f>15.3+89.3</f>
        <v>104.6</v>
      </c>
      <c r="D130" s="49">
        <v>177</v>
      </c>
      <c r="E130" s="49">
        <f t="shared" si="1"/>
        <v>18514.2</v>
      </c>
    </row>
    <row r="131" spans="1:5" x14ac:dyDescent="0.25">
      <c r="A131" s="34">
        <v>139</v>
      </c>
      <c r="B131" s="9" t="s">
        <v>246</v>
      </c>
      <c r="C131" s="48">
        <f>8.16-3.9+11.16+10.46</f>
        <v>25.880000000000003</v>
      </c>
      <c r="D131" s="49">
        <v>187</v>
      </c>
      <c r="E131" s="49">
        <f t="shared" si="1"/>
        <v>4839.5600000000004</v>
      </c>
    </row>
    <row r="132" spans="1:5" x14ac:dyDescent="0.25">
      <c r="A132" s="34">
        <v>140</v>
      </c>
      <c r="B132" s="43" t="s">
        <v>245</v>
      </c>
      <c r="C132" s="48">
        <v>0</v>
      </c>
      <c r="D132" s="49">
        <v>182</v>
      </c>
      <c r="E132" s="49">
        <f t="shared" si="1"/>
        <v>0</v>
      </c>
    </row>
    <row r="133" spans="1:5" x14ac:dyDescent="0.25">
      <c r="A133" s="34">
        <v>141</v>
      </c>
      <c r="B133" s="43" t="s">
        <v>244</v>
      </c>
      <c r="C133" s="48">
        <v>0</v>
      </c>
      <c r="D133" s="49">
        <v>182</v>
      </c>
      <c r="E133" s="49">
        <f t="shared" ref="E133" si="2">C133*D133</f>
        <v>0</v>
      </c>
    </row>
    <row r="134" spans="1:5" ht="15.75" thickBot="1" x14ac:dyDescent="0.3">
      <c r="A134" s="32"/>
      <c r="B134" s="22" t="s">
        <v>17</v>
      </c>
      <c r="C134" s="15">
        <f>SUM(C89:C132)</f>
        <v>5201.6590000000015</v>
      </c>
      <c r="D134" s="38"/>
      <c r="E134" s="36">
        <f>SUM(E91:E133)</f>
        <v>366532.56200000003</v>
      </c>
    </row>
    <row r="135" spans="1:5" ht="24" customHeight="1" thickBot="1" x14ac:dyDescent="0.3">
      <c r="A135" s="33"/>
      <c r="B135" s="19" t="s">
        <v>1</v>
      </c>
      <c r="C135" s="57" t="s">
        <v>2</v>
      </c>
      <c r="D135" s="57" t="s">
        <v>3</v>
      </c>
      <c r="E135" s="58" t="s">
        <v>4</v>
      </c>
    </row>
    <row r="136" spans="1:5" x14ac:dyDescent="0.25">
      <c r="A136" s="34">
        <v>142</v>
      </c>
      <c r="B136" s="9" t="s">
        <v>243</v>
      </c>
      <c r="C136" s="48">
        <v>12</v>
      </c>
      <c r="D136" s="49">
        <v>80</v>
      </c>
      <c r="E136" s="49">
        <f t="shared" ref="E136:E199" si="3">C136*D136</f>
        <v>960</v>
      </c>
    </row>
    <row r="137" spans="1:5" x14ac:dyDescent="0.25">
      <c r="A137" s="34">
        <v>143</v>
      </c>
      <c r="B137" s="9" t="s">
        <v>242</v>
      </c>
      <c r="C137" s="48">
        <f>3.18+5.98+89.1+41.2+39.2+13.1</f>
        <v>191.75999999999996</v>
      </c>
      <c r="D137" s="49">
        <v>63</v>
      </c>
      <c r="E137" s="49">
        <f t="shared" si="3"/>
        <v>12080.879999999997</v>
      </c>
    </row>
    <row r="138" spans="1:5" x14ac:dyDescent="0.25">
      <c r="A138" s="34">
        <v>144</v>
      </c>
      <c r="B138" s="9" t="s">
        <v>241</v>
      </c>
      <c r="C138" s="48">
        <v>38.4</v>
      </c>
      <c r="D138" s="49">
        <v>220</v>
      </c>
      <c r="E138" s="49">
        <f t="shared" si="3"/>
        <v>8448</v>
      </c>
    </row>
    <row r="139" spans="1:5" x14ac:dyDescent="0.25">
      <c r="A139" s="34">
        <v>145</v>
      </c>
      <c r="B139" s="9" t="s">
        <v>240</v>
      </c>
      <c r="C139" s="48">
        <v>2</v>
      </c>
      <c r="D139" s="49">
        <v>56</v>
      </c>
      <c r="E139" s="49">
        <f t="shared" si="3"/>
        <v>112</v>
      </c>
    </row>
    <row r="140" spans="1:5" x14ac:dyDescent="0.25">
      <c r="A140" s="34">
        <v>146</v>
      </c>
      <c r="B140" s="9" t="s">
        <v>239</v>
      </c>
      <c r="C140" s="48">
        <f>13.5+1.02+6.3</f>
        <v>20.82</v>
      </c>
      <c r="D140" s="49">
        <v>134</v>
      </c>
      <c r="E140" s="49">
        <f t="shared" si="3"/>
        <v>2789.88</v>
      </c>
    </row>
    <row r="141" spans="1:5" x14ac:dyDescent="0.25">
      <c r="A141" s="34">
        <v>147</v>
      </c>
      <c r="B141" s="9" t="s">
        <v>238</v>
      </c>
      <c r="C141" s="48">
        <f>6.74+0.52+11.3</f>
        <v>18.560000000000002</v>
      </c>
      <c r="D141" s="49">
        <v>95</v>
      </c>
      <c r="E141" s="49">
        <f t="shared" si="3"/>
        <v>1763.2000000000003</v>
      </c>
    </row>
    <row r="142" spans="1:5" x14ac:dyDescent="0.25">
      <c r="A142" s="34">
        <v>148</v>
      </c>
      <c r="B142" s="9" t="s">
        <v>237</v>
      </c>
      <c r="C142" s="48">
        <f>7.22+9.18+1</f>
        <v>17.399999999999999</v>
      </c>
      <c r="D142" s="49">
        <v>130</v>
      </c>
      <c r="E142" s="49">
        <f t="shared" si="3"/>
        <v>2262</v>
      </c>
    </row>
    <row r="143" spans="1:5" x14ac:dyDescent="0.25">
      <c r="A143" s="34">
        <v>149</v>
      </c>
      <c r="B143" s="9" t="s">
        <v>236</v>
      </c>
      <c r="C143" s="48">
        <f>4.26+0.83</f>
        <v>5.09</v>
      </c>
      <c r="D143" s="49">
        <v>173</v>
      </c>
      <c r="E143" s="49">
        <f t="shared" si="3"/>
        <v>880.56999999999994</v>
      </c>
    </row>
    <row r="144" spans="1:5" x14ac:dyDescent="0.25">
      <c r="A144" s="34">
        <v>150</v>
      </c>
      <c r="B144" s="9" t="s">
        <v>275</v>
      </c>
      <c r="C144" s="48">
        <v>0</v>
      </c>
      <c r="D144" s="49">
        <v>92</v>
      </c>
      <c r="E144" s="49">
        <f t="shared" si="3"/>
        <v>0</v>
      </c>
    </row>
    <row r="145" spans="1:5" x14ac:dyDescent="0.25">
      <c r="A145" s="34">
        <v>151</v>
      </c>
      <c r="B145" s="9" t="s">
        <v>235</v>
      </c>
      <c r="C145" s="48">
        <f>4.82+7.9-3.9+62.3+10.3+118.4+110</f>
        <v>309.82</v>
      </c>
      <c r="D145" s="49">
        <v>132</v>
      </c>
      <c r="E145" s="49">
        <f t="shared" si="3"/>
        <v>40896.239999999998</v>
      </c>
    </row>
    <row r="146" spans="1:5" x14ac:dyDescent="0.25">
      <c r="A146" s="34">
        <v>152</v>
      </c>
      <c r="B146" s="9" t="s">
        <v>234</v>
      </c>
      <c r="C146" s="48">
        <v>0</v>
      </c>
      <c r="D146" s="49">
        <v>187</v>
      </c>
      <c r="E146" s="49">
        <f t="shared" si="3"/>
        <v>0</v>
      </c>
    </row>
    <row r="147" spans="1:5" x14ac:dyDescent="0.25">
      <c r="A147" s="34">
        <v>153</v>
      </c>
      <c r="B147" s="9" t="s">
        <v>233</v>
      </c>
      <c r="C147" s="48">
        <v>0</v>
      </c>
      <c r="D147" s="49">
        <v>154</v>
      </c>
      <c r="E147" s="49">
        <f t="shared" si="3"/>
        <v>0</v>
      </c>
    </row>
    <row r="148" spans="1:5" x14ac:dyDescent="0.25">
      <c r="A148" s="34">
        <v>154</v>
      </c>
      <c r="B148" s="9" t="s">
        <v>232</v>
      </c>
      <c r="C148" s="48">
        <v>0</v>
      </c>
      <c r="D148" s="49">
        <v>82</v>
      </c>
      <c r="E148" s="49">
        <f t="shared" si="3"/>
        <v>0</v>
      </c>
    </row>
    <row r="149" spans="1:5" x14ac:dyDescent="0.25">
      <c r="A149" s="34">
        <v>155</v>
      </c>
      <c r="B149" s="9" t="s">
        <v>231</v>
      </c>
      <c r="C149" s="48">
        <f>9.76-2.2+1.2+11.8</f>
        <v>20.560000000000002</v>
      </c>
      <c r="D149" s="49">
        <v>98</v>
      </c>
      <c r="E149" s="49">
        <f t="shared" si="3"/>
        <v>2014.88</v>
      </c>
    </row>
    <row r="150" spans="1:5" x14ac:dyDescent="0.25">
      <c r="A150" s="34">
        <v>156</v>
      </c>
      <c r="B150" s="9" t="s">
        <v>230</v>
      </c>
      <c r="C150" s="48">
        <v>0</v>
      </c>
      <c r="D150" s="49">
        <v>125</v>
      </c>
      <c r="E150" s="49">
        <f t="shared" si="3"/>
        <v>0</v>
      </c>
    </row>
    <row r="151" spans="1:5" x14ac:dyDescent="0.25">
      <c r="A151" s="34">
        <v>157</v>
      </c>
      <c r="B151" s="9" t="s">
        <v>229</v>
      </c>
      <c r="C151" s="48">
        <v>1.58</v>
      </c>
      <c r="D151" s="49">
        <v>900</v>
      </c>
      <c r="E151" s="49">
        <f t="shared" si="3"/>
        <v>1422</v>
      </c>
    </row>
    <row r="152" spans="1:5" x14ac:dyDescent="0.25">
      <c r="A152" s="34">
        <v>158</v>
      </c>
      <c r="B152" s="9" t="s">
        <v>228</v>
      </c>
      <c r="C152" s="48">
        <f>14.72+37.9</f>
        <v>52.62</v>
      </c>
      <c r="D152" s="49">
        <v>71</v>
      </c>
      <c r="E152" s="49">
        <f t="shared" si="3"/>
        <v>3736.02</v>
      </c>
    </row>
    <row r="153" spans="1:5" x14ac:dyDescent="0.25">
      <c r="A153" s="34">
        <v>159</v>
      </c>
      <c r="B153" s="9" t="s">
        <v>227</v>
      </c>
      <c r="C153" s="48">
        <f>9.74-3.9+4.8</f>
        <v>10.64</v>
      </c>
      <c r="D153" s="49">
        <v>78</v>
      </c>
      <c r="E153" s="49">
        <f t="shared" si="3"/>
        <v>829.92000000000007</v>
      </c>
    </row>
    <row r="154" spans="1:5" x14ac:dyDescent="0.25">
      <c r="A154" s="34">
        <v>160</v>
      </c>
      <c r="B154" s="9" t="s">
        <v>226</v>
      </c>
      <c r="C154" s="48">
        <v>0</v>
      </c>
      <c r="D154" s="49">
        <v>115</v>
      </c>
      <c r="E154" s="49">
        <f t="shared" si="3"/>
        <v>0</v>
      </c>
    </row>
    <row r="155" spans="1:5" x14ac:dyDescent="0.25">
      <c r="A155" s="34">
        <v>161</v>
      </c>
      <c r="B155" s="9" t="s">
        <v>225</v>
      </c>
      <c r="C155" s="48">
        <v>30.7</v>
      </c>
      <c r="D155" s="49">
        <v>120</v>
      </c>
      <c r="E155" s="49">
        <f t="shared" si="3"/>
        <v>3684</v>
      </c>
    </row>
    <row r="156" spans="1:5" x14ac:dyDescent="0.25">
      <c r="A156" s="34">
        <v>162</v>
      </c>
      <c r="B156" s="9" t="s">
        <v>21</v>
      </c>
      <c r="C156" s="48">
        <f>4.89+3.8</f>
        <v>8.69</v>
      </c>
      <c r="D156" s="49">
        <v>600</v>
      </c>
      <c r="E156" s="49">
        <f t="shared" si="3"/>
        <v>5214</v>
      </c>
    </row>
    <row r="157" spans="1:5" x14ac:dyDescent="0.25">
      <c r="A157" s="34">
        <v>163</v>
      </c>
      <c r="B157" s="9" t="s">
        <v>224</v>
      </c>
      <c r="C157" s="48">
        <f>37.9+18.8+92.6</f>
        <v>149.30000000000001</v>
      </c>
      <c r="D157" s="49">
        <v>187</v>
      </c>
      <c r="E157" s="49">
        <f t="shared" si="3"/>
        <v>27919.100000000002</v>
      </c>
    </row>
    <row r="158" spans="1:5" x14ac:dyDescent="0.25">
      <c r="A158" s="34">
        <v>164</v>
      </c>
      <c r="B158" s="9" t="s">
        <v>22</v>
      </c>
      <c r="C158" s="48">
        <f>93.6+114.2</f>
        <v>207.8</v>
      </c>
      <c r="D158" s="49">
        <v>136</v>
      </c>
      <c r="E158" s="49">
        <f t="shared" si="3"/>
        <v>28260.800000000003</v>
      </c>
    </row>
    <row r="159" spans="1:5" x14ac:dyDescent="0.25">
      <c r="A159" s="34">
        <v>165</v>
      </c>
      <c r="B159" s="9" t="s">
        <v>223</v>
      </c>
      <c r="C159" s="48">
        <f>2.96+7.14+20.8+54.2</f>
        <v>85.1</v>
      </c>
      <c r="D159" s="49">
        <v>30</v>
      </c>
      <c r="E159" s="49">
        <f t="shared" si="3"/>
        <v>2553</v>
      </c>
    </row>
    <row r="160" spans="1:5" x14ac:dyDescent="0.25">
      <c r="A160" s="34">
        <v>166</v>
      </c>
      <c r="B160" s="9" t="s">
        <v>23</v>
      </c>
      <c r="C160" s="48">
        <f>6.77+7.8</f>
        <v>14.57</v>
      </c>
      <c r="D160" s="49">
        <v>600</v>
      </c>
      <c r="E160" s="49">
        <f t="shared" si="3"/>
        <v>8742</v>
      </c>
    </row>
    <row r="161" spans="1:5" x14ac:dyDescent="0.25">
      <c r="A161" s="34">
        <v>167</v>
      </c>
      <c r="B161" s="9" t="s">
        <v>222</v>
      </c>
      <c r="C161" s="48">
        <f>94.6+89.1+116.7+90.1</f>
        <v>390.5</v>
      </c>
      <c r="D161" s="49">
        <v>116</v>
      </c>
      <c r="E161" s="49">
        <f t="shared" si="3"/>
        <v>45298</v>
      </c>
    </row>
    <row r="162" spans="1:5" x14ac:dyDescent="0.25">
      <c r="A162" s="34">
        <v>168</v>
      </c>
      <c r="B162" s="9" t="s">
        <v>221</v>
      </c>
      <c r="C162" s="48">
        <f>1.53+44.75</f>
        <v>46.28</v>
      </c>
      <c r="D162" s="49">
        <v>280</v>
      </c>
      <c r="E162" s="49">
        <f t="shared" si="3"/>
        <v>12958.4</v>
      </c>
    </row>
    <row r="163" spans="1:5" x14ac:dyDescent="0.25">
      <c r="A163" s="34">
        <v>169</v>
      </c>
      <c r="B163" s="9" t="s">
        <v>274</v>
      </c>
      <c r="C163" s="48">
        <f>94.1+71</f>
        <v>165.1</v>
      </c>
      <c r="D163" s="49">
        <v>94</v>
      </c>
      <c r="E163" s="49">
        <f t="shared" si="3"/>
        <v>15519.4</v>
      </c>
    </row>
    <row r="164" spans="1:5" x14ac:dyDescent="0.25">
      <c r="A164" s="34">
        <v>170</v>
      </c>
      <c r="B164" s="9" t="s">
        <v>324</v>
      </c>
      <c r="C164" s="48">
        <f>74.9+67.5+105.9</f>
        <v>248.3</v>
      </c>
      <c r="D164" s="49">
        <v>116</v>
      </c>
      <c r="E164" s="49">
        <f t="shared" si="3"/>
        <v>28802.800000000003</v>
      </c>
    </row>
    <row r="165" spans="1:5" x14ac:dyDescent="0.25">
      <c r="A165" s="34">
        <v>171</v>
      </c>
      <c r="B165" s="9" t="s">
        <v>219</v>
      </c>
      <c r="C165" s="48">
        <f>19.08-2.2+147.6+18.3+15.6</f>
        <v>198.38</v>
      </c>
      <c r="D165" s="49">
        <v>72</v>
      </c>
      <c r="E165" s="49">
        <f t="shared" si="3"/>
        <v>14283.36</v>
      </c>
    </row>
    <row r="166" spans="1:5" x14ac:dyDescent="0.25">
      <c r="A166" s="34">
        <v>172</v>
      </c>
      <c r="B166" s="9" t="s">
        <v>218</v>
      </c>
      <c r="C166" s="48">
        <v>8.6</v>
      </c>
      <c r="D166" s="49">
        <v>158</v>
      </c>
      <c r="E166" s="49">
        <f t="shared" si="3"/>
        <v>1358.8</v>
      </c>
    </row>
    <row r="167" spans="1:5" x14ac:dyDescent="0.25">
      <c r="A167" s="34">
        <v>173</v>
      </c>
      <c r="B167" s="9" t="s">
        <v>217</v>
      </c>
      <c r="C167" s="48">
        <f>9.14-3.9</f>
        <v>5.24</v>
      </c>
      <c r="D167" s="49">
        <v>134</v>
      </c>
      <c r="E167" s="49">
        <f t="shared" si="3"/>
        <v>702.16000000000008</v>
      </c>
    </row>
    <row r="168" spans="1:5" x14ac:dyDescent="0.25">
      <c r="A168" s="34">
        <v>174</v>
      </c>
      <c r="B168" s="9" t="s">
        <v>216</v>
      </c>
      <c r="C168" s="48">
        <f>18.78-3.9+2.8</f>
        <v>17.68</v>
      </c>
      <c r="D168" s="49">
        <v>74</v>
      </c>
      <c r="E168" s="49">
        <f t="shared" si="3"/>
        <v>1308.32</v>
      </c>
    </row>
    <row r="169" spans="1:5" x14ac:dyDescent="0.25">
      <c r="A169" s="34">
        <v>175</v>
      </c>
      <c r="B169" s="9" t="s">
        <v>215</v>
      </c>
      <c r="C169" s="48">
        <f>14.8+24.6+524.9</f>
        <v>564.29999999999995</v>
      </c>
      <c r="D169" s="49">
        <v>66</v>
      </c>
      <c r="E169" s="49">
        <f t="shared" si="3"/>
        <v>37243.799999999996</v>
      </c>
    </row>
    <row r="170" spans="1:5" x14ac:dyDescent="0.25">
      <c r="A170" s="34">
        <v>176</v>
      </c>
      <c r="B170" s="9" t="s">
        <v>214</v>
      </c>
      <c r="C170" s="48">
        <f>4.82+53+119.9</f>
        <v>177.72</v>
      </c>
      <c r="D170" s="49">
        <v>66</v>
      </c>
      <c r="E170" s="49">
        <f t="shared" si="3"/>
        <v>11729.52</v>
      </c>
    </row>
    <row r="171" spans="1:5" x14ac:dyDescent="0.25">
      <c r="A171" s="34">
        <v>177</v>
      </c>
      <c r="B171" s="9" t="s">
        <v>213</v>
      </c>
      <c r="C171" s="48">
        <f>21.32-3.9+21.96+8.3</f>
        <v>47.680000000000007</v>
      </c>
      <c r="D171" s="49">
        <v>170</v>
      </c>
      <c r="E171" s="49">
        <f t="shared" si="3"/>
        <v>8105.6000000000013</v>
      </c>
    </row>
    <row r="172" spans="1:5" x14ac:dyDescent="0.25">
      <c r="A172" s="34">
        <v>178</v>
      </c>
      <c r="B172" s="9" t="s">
        <v>212</v>
      </c>
      <c r="C172" s="48">
        <f>172.1+171.9+245.4+51.4</f>
        <v>640.79999999999995</v>
      </c>
      <c r="D172" s="49">
        <v>72</v>
      </c>
      <c r="E172" s="49">
        <f t="shared" si="3"/>
        <v>46137.599999999999</v>
      </c>
    </row>
    <row r="173" spans="1:5" x14ac:dyDescent="0.25">
      <c r="A173" s="34">
        <v>179</v>
      </c>
      <c r="B173" s="9" t="s">
        <v>211</v>
      </c>
      <c r="C173" s="48">
        <v>48.7</v>
      </c>
      <c r="D173" s="49">
        <v>92</v>
      </c>
      <c r="E173" s="49">
        <f t="shared" si="3"/>
        <v>4480.4000000000005</v>
      </c>
    </row>
    <row r="174" spans="1:5" x14ac:dyDescent="0.25">
      <c r="A174" s="34">
        <v>180</v>
      </c>
      <c r="B174" s="9" t="s">
        <v>210</v>
      </c>
      <c r="C174" s="48">
        <f>10.68-3.9+30.7</f>
        <v>37.479999999999997</v>
      </c>
      <c r="D174" s="49">
        <v>100</v>
      </c>
      <c r="E174" s="49">
        <f t="shared" si="3"/>
        <v>3747.9999999999995</v>
      </c>
    </row>
    <row r="175" spans="1:5" x14ac:dyDescent="0.25">
      <c r="A175" s="34">
        <v>183</v>
      </c>
      <c r="B175" s="9" t="s">
        <v>207</v>
      </c>
      <c r="C175" s="48">
        <v>63.5</v>
      </c>
      <c r="D175" s="49">
        <v>149</v>
      </c>
      <c r="E175" s="49">
        <f t="shared" si="3"/>
        <v>9461.5</v>
      </c>
    </row>
    <row r="176" spans="1:5" x14ac:dyDescent="0.25">
      <c r="A176" s="34">
        <v>181</v>
      </c>
      <c r="B176" s="9" t="s">
        <v>209</v>
      </c>
      <c r="C176" s="48">
        <v>82.5</v>
      </c>
      <c r="D176" s="49">
        <v>51</v>
      </c>
      <c r="E176" s="49">
        <f t="shared" si="3"/>
        <v>4207.5</v>
      </c>
    </row>
    <row r="177" spans="1:5" x14ac:dyDescent="0.25">
      <c r="A177" s="34">
        <v>182</v>
      </c>
      <c r="B177" s="9" t="s">
        <v>208</v>
      </c>
      <c r="C177" s="48">
        <v>23.9</v>
      </c>
      <c r="D177" s="49">
        <v>120</v>
      </c>
      <c r="E177" s="49">
        <f t="shared" si="3"/>
        <v>2868</v>
      </c>
    </row>
    <row r="178" spans="1:5" x14ac:dyDescent="0.25">
      <c r="A178" s="34">
        <v>184</v>
      </c>
      <c r="B178" s="9" t="s">
        <v>206</v>
      </c>
      <c r="C178" s="48">
        <f>7+6.42+1.32</f>
        <v>14.74</v>
      </c>
      <c r="D178" s="49">
        <v>184</v>
      </c>
      <c r="E178" s="49">
        <f t="shared" si="3"/>
        <v>2712.16</v>
      </c>
    </row>
    <row r="179" spans="1:5" ht="15.75" thickBot="1" x14ac:dyDescent="0.3">
      <c r="A179" s="32"/>
      <c r="B179" s="22" t="s">
        <v>17</v>
      </c>
      <c r="C179" s="15">
        <f>SUM(C133:C177)</f>
        <v>9165.7290000000012</v>
      </c>
      <c r="D179" s="15"/>
      <c r="E179" s="36">
        <f>SUM(E136:E178)</f>
        <v>405493.80999999988</v>
      </c>
    </row>
    <row r="180" spans="1:5" ht="27.75" customHeight="1" thickBot="1" x14ac:dyDescent="0.3">
      <c r="A180" s="33"/>
      <c r="B180" s="19" t="s">
        <v>1</v>
      </c>
      <c r="C180" s="57" t="s">
        <v>2</v>
      </c>
      <c r="D180" s="57" t="s">
        <v>3</v>
      </c>
      <c r="E180" s="58" t="s">
        <v>4</v>
      </c>
    </row>
    <row r="181" spans="1:5" x14ac:dyDescent="0.25">
      <c r="A181" s="34">
        <v>185</v>
      </c>
      <c r="B181" s="9" t="s">
        <v>205</v>
      </c>
      <c r="C181" s="48">
        <f>89.9+55</f>
        <v>144.9</v>
      </c>
      <c r="D181" s="49">
        <v>180</v>
      </c>
      <c r="E181" s="49">
        <f t="shared" si="3"/>
        <v>26082</v>
      </c>
    </row>
    <row r="182" spans="1:5" x14ac:dyDescent="0.25">
      <c r="A182" s="34">
        <v>186</v>
      </c>
      <c r="B182" s="9" t="s">
        <v>204</v>
      </c>
      <c r="C182" s="48">
        <v>124.4</v>
      </c>
      <c r="D182" s="49">
        <v>182</v>
      </c>
      <c r="E182" s="49">
        <f t="shared" si="3"/>
        <v>22640.799999999999</v>
      </c>
    </row>
    <row r="183" spans="1:5" x14ac:dyDescent="0.25">
      <c r="A183" s="34">
        <v>187</v>
      </c>
      <c r="B183" s="9" t="s">
        <v>203</v>
      </c>
      <c r="C183" s="48">
        <v>0</v>
      </c>
      <c r="D183" s="49">
        <v>62</v>
      </c>
      <c r="E183" s="49">
        <f t="shared" si="3"/>
        <v>0</v>
      </c>
    </row>
    <row r="184" spans="1:5" x14ac:dyDescent="0.25">
      <c r="A184" s="34">
        <v>188</v>
      </c>
      <c r="B184" s="9" t="s">
        <v>202</v>
      </c>
      <c r="C184" s="48">
        <f>3.584+2.86+13.2+22.3+7.43</f>
        <v>49.374000000000002</v>
      </c>
      <c r="D184" s="49">
        <v>58</v>
      </c>
      <c r="E184" s="49">
        <f t="shared" si="3"/>
        <v>2863.692</v>
      </c>
    </row>
    <row r="185" spans="1:5" x14ac:dyDescent="0.25">
      <c r="A185" s="34">
        <v>189</v>
      </c>
      <c r="B185" s="9" t="s">
        <v>201</v>
      </c>
      <c r="C185" s="48">
        <v>0</v>
      </c>
      <c r="D185" s="49">
        <v>72</v>
      </c>
      <c r="E185" s="49">
        <f t="shared" si="3"/>
        <v>0</v>
      </c>
    </row>
    <row r="186" spans="1:5" x14ac:dyDescent="0.25">
      <c r="A186" s="34">
        <v>190</v>
      </c>
      <c r="B186" s="9" t="s">
        <v>200</v>
      </c>
      <c r="C186" s="48">
        <f>4.08+9.74-3.9+3.6</f>
        <v>13.52</v>
      </c>
      <c r="D186" s="49">
        <v>120</v>
      </c>
      <c r="E186" s="49">
        <f t="shared" si="3"/>
        <v>1622.3999999999999</v>
      </c>
    </row>
    <row r="187" spans="1:5" x14ac:dyDescent="0.25">
      <c r="A187" s="34">
        <v>191</v>
      </c>
      <c r="B187" s="9" t="s">
        <v>199</v>
      </c>
      <c r="C187" s="48">
        <f>4.08+61</f>
        <v>65.08</v>
      </c>
      <c r="D187" s="49">
        <v>14</v>
      </c>
      <c r="E187" s="49">
        <f t="shared" si="3"/>
        <v>911.12</v>
      </c>
    </row>
    <row r="188" spans="1:5" x14ac:dyDescent="0.25">
      <c r="A188" s="34">
        <v>192</v>
      </c>
      <c r="B188" s="9" t="s">
        <v>198</v>
      </c>
      <c r="C188" s="48">
        <f>6.8+47.7+8.8</f>
        <v>63.3</v>
      </c>
      <c r="D188" s="49">
        <v>40</v>
      </c>
      <c r="E188" s="49">
        <f t="shared" si="3"/>
        <v>2532</v>
      </c>
    </row>
    <row r="189" spans="1:5" x14ac:dyDescent="0.25">
      <c r="A189" s="34">
        <v>193</v>
      </c>
      <c r="B189" s="9" t="s">
        <v>197</v>
      </c>
      <c r="C189" s="48">
        <v>24.3</v>
      </c>
      <c r="D189" s="49">
        <v>20</v>
      </c>
      <c r="E189" s="49">
        <f t="shared" si="3"/>
        <v>486</v>
      </c>
    </row>
    <row r="190" spans="1:5" x14ac:dyDescent="0.25">
      <c r="A190" s="34">
        <v>194</v>
      </c>
      <c r="B190" s="9" t="s">
        <v>196</v>
      </c>
      <c r="C190" s="48">
        <v>28.6</v>
      </c>
      <c r="D190" s="49">
        <v>32</v>
      </c>
      <c r="E190" s="49">
        <f t="shared" si="3"/>
        <v>915.2</v>
      </c>
    </row>
    <row r="191" spans="1:5" x14ac:dyDescent="0.25">
      <c r="A191" s="34">
        <v>195</v>
      </c>
      <c r="B191" s="9" t="s">
        <v>93</v>
      </c>
      <c r="C191" s="48">
        <f>3.64+12.86-2.2+82.8</f>
        <v>97.1</v>
      </c>
      <c r="D191" s="49">
        <v>38</v>
      </c>
      <c r="E191" s="49">
        <f t="shared" si="3"/>
        <v>3689.7999999999997</v>
      </c>
    </row>
    <row r="192" spans="1:5" x14ac:dyDescent="0.25">
      <c r="A192" s="34">
        <v>196</v>
      </c>
      <c r="B192" s="9" t="s">
        <v>92</v>
      </c>
      <c r="C192" s="48">
        <f>27.1+34.1</f>
        <v>61.2</v>
      </c>
      <c r="D192" s="49">
        <v>95</v>
      </c>
      <c r="E192" s="49">
        <f t="shared" si="3"/>
        <v>5814</v>
      </c>
    </row>
    <row r="193" spans="1:5" x14ac:dyDescent="0.25">
      <c r="A193" s="34">
        <v>197</v>
      </c>
      <c r="B193" s="9" t="s">
        <v>91</v>
      </c>
      <c r="C193" s="48">
        <v>1.18</v>
      </c>
      <c r="D193" s="49">
        <v>420</v>
      </c>
      <c r="E193" s="49">
        <f t="shared" si="3"/>
        <v>495.59999999999997</v>
      </c>
    </row>
    <row r="194" spans="1:5" x14ac:dyDescent="0.25">
      <c r="A194" s="34">
        <v>198</v>
      </c>
      <c r="B194" s="9" t="s">
        <v>90</v>
      </c>
      <c r="C194" s="48">
        <f>67+29.294-2.2</f>
        <v>94.093999999999994</v>
      </c>
      <c r="D194" s="49">
        <v>184</v>
      </c>
      <c r="E194" s="49">
        <f t="shared" si="3"/>
        <v>17313.295999999998</v>
      </c>
    </row>
    <row r="195" spans="1:5" x14ac:dyDescent="0.25">
      <c r="A195" s="34">
        <v>199</v>
      </c>
      <c r="B195" s="9" t="s">
        <v>89</v>
      </c>
      <c r="C195" s="48">
        <v>1.5</v>
      </c>
      <c r="D195" s="49">
        <v>50</v>
      </c>
      <c r="E195" s="49">
        <f t="shared" si="3"/>
        <v>75</v>
      </c>
    </row>
    <row r="196" spans="1:5" x14ac:dyDescent="0.25">
      <c r="A196" s="34">
        <v>200</v>
      </c>
      <c r="B196" s="9" t="s">
        <v>290</v>
      </c>
      <c r="C196" s="48">
        <v>140.4</v>
      </c>
      <c r="D196" s="49">
        <v>57</v>
      </c>
      <c r="E196" s="49">
        <f t="shared" si="3"/>
        <v>8002.8</v>
      </c>
    </row>
    <row r="197" spans="1:5" x14ac:dyDescent="0.25">
      <c r="A197" s="34">
        <v>201</v>
      </c>
      <c r="B197" s="9" t="s">
        <v>88</v>
      </c>
      <c r="C197" s="48">
        <f>4.46+13.84+14.3+61.2</f>
        <v>93.800000000000011</v>
      </c>
      <c r="D197" s="49">
        <v>42</v>
      </c>
      <c r="E197" s="49">
        <f t="shared" si="3"/>
        <v>3939.6000000000004</v>
      </c>
    </row>
    <row r="198" spans="1:5" x14ac:dyDescent="0.25">
      <c r="A198" s="34">
        <v>202</v>
      </c>
      <c r="B198" s="9" t="s">
        <v>87</v>
      </c>
      <c r="C198" s="48">
        <f>13.2+20</f>
        <v>33.200000000000003</v>
      </c>
      <c r="D198" s="49">
        <v>98</v>
      </c>
      <c r="E198" s="49">
        <f t="shared" si="3"/>
        <v>3253.6000000000004</v>
      </c>
    </row>
    <row r="199" spans="1:5" x14ac:dyDescent="0.25">
      <c r="A199" s="34">
        <v>203</v>
      </c>
      <c r="B199" s="9" t="s">
        <v>86</v>
      </c>
      <c r="C199" s="48">
        <v>121</v>
      </c>
      <c r="D199" s="49">
        <v>120</v>
      </c>
      <c r="E199" s="49">
        <f t="shared" si="3"/>
        <v>14520</v>
      </c>
    </row>
    <row r="200" spans="1:5" x14ac:dyDescent="0.25">
      <c r="A200" s="34">
        <v>204</v>
      </c>
      <c r="B200" s="9" t="s">
        <v>85</v>
      </c>
      <c r="C200" s="48">
        <f>25+130</f>
        <v>155</v>
      </c>
      <c r="D200" s="49">
        <v>105</v>
      </c>
      <c r="E200" s="49">
        <f t="shared" ref="E200:E262" si="4">C200*D200</f>
        <v>16275</v>
      </c>
    </row>
    <row r="201" spans="1:5" x14ac:dyDescent="0.25">
      <c r="A201" s="34">
        <v>205</v>
      </c>
      <c r="B201" s="9" t="s">
        <v>84</v>
      </c>
      <c r="C201" s="48">
        <f>21.52-2.2</f>
        <v>19.32</v>
      </c>
      <c r="D201" s="49">
        <v>70</v>
      </c>
      <c r="E201" s="49">
        <f t="shared" si="4"/>
        <v>1352.4</v>
      </c>
    </row>
    <row r="202" spans="1:5" x14ac:dyDescent="0.25">
      <c r="A202" s="34">
        <v>206</v>
      </c>
      <c r="B202" s="9" t="s">
        <v>83</v>
      </c>
      <c r="C202" s="48">
        <f>21.56-2.2+0.8</f>
        <v>20.16</v>
      </c>
      <c r="D202" s="49">
        <v>100</v>
      </c>
      <c r="E202" s="49">
        <f t="shared" si="4"/>
        <v>2016</v>
      </c>
    </row>
    <row r="203" spans="1:5" x14ac:dyDescent="0.25">
      <c r="A203" s="34">
        <v>207</v>
      </c>
      <c r="B203" s="9" t="s">
        <v>79</v>
      </c>
      <c r="C203" s="48">
        <f>3.22+1.43</f>
        <v>4.6500000000000004</v>
      </c>
      <c r="D203" s="49">
        <v>160</v>
      </c>
      <c r="E203" s="49">
        <f t="shared" si="4"/>
        <v>744</v>
      </c>
    </row>
    <row r="204" spans="1:5" x14ac:dyDescent="0.25">
      <c r="A204" s="34">
        <v>208</v>
      </c>
      <c r="B204" s="9" t="s">
        <v>82</v>
      </c>
      <c r="C204" s="48">
        <f>1.5+30</f>
        <v>31.5</v>
      </c>
      <c r="D204" s="49">
        <v>93</v>
      </c>
      <c r="E204" s="49">
        <f t="shared" si="4"/>
        <v>2929.5</v>
      </c>
    </row>
    <row r="205" spans="1:5" x14ac:dyDescent="0.25">
      <c r="A205" s="34">
        <v>209</v>
      </c>
      <c r="B205" s="9" t="s">
        <v>81</v>
      </c>
      <c r="C205" s="48">
        <v>12</v>
      </c>
      <c r="D205" s="49">
        <v>75</v>
      </c>
      <c r="E205" s="49">
        <f t="shared" si="4"/>
        <v>900</v>
      </c>
    </row>
    <row r="206" spans="1:5" x14ac:dyDescent="0.25">
      <c r="A206" s="34">
        <v>210</v>
      </c>
      <c r="B206" s="9" t="s">
        <v>80</v>
      </c>
      <c r="C206" s="48">
        <v>5.5</v>
      </c>
      <c r="D206" s="49">
        <v>65</v>
      </c>
      <c r="E206" s="49">
        <f t="shared" si="4"/>
        <v>357.5</v>
      </c>
    </row>
    <row r="207" spans="1:5" x14ac:dyDescent="0.25">
      <c r="A207" s="34">
        <v>211</v>
      </c>
      <c r="B207" s="9" t="s">
        <v>279</v>
      </c>
      <c r="C207" s="48">
        <v>9</v>
      </c>
      <c r="D207" s="49">
        <v>36</v>
      </c>
      <c r="E207" s="49">
        <f t="shared" si="4"/>
        <v>324</v>
      </c>
    </row>
    <row r="208" spans="1:5" x14ac:dyDescent="0.25">
      <c r="A208" s="34">
        <v>212</v>
      </c>
      <c r="B208" s="9" t="s">
        <v>97</v>
      </c>
      <c r="C208" s="48">
        <v>2.2000000000000002</v>
      </c>
      <c r="D208" s="49">
        <v>80</v>
      </c>
      <c r="E208" s="49">
        <f t="shared" si="4"/>
        <v>176</v>
      </c>
    </row>
    <row r="209" spans="1:5" x14ac:dyDescent="0.25">
      <c r="A209" s="34">
        <v>213</v>
      </c>
      <c r="B209" s="9" t="s">
        <v>78</v>
      </c>
      <c r="C209" s="48">
        <f>30+2.24</f>
        <v>32.24</v>
      </c>
      <c r="D209" s="49">
        <v>58</v>
      </c>
      <c r="E209" s="49">
        <f t="shared" si="4"/>
        <v>1869.92</v>
      </c>
    </row>
    <row r="210" spans="1:5" x14ac:dyDescent="0.25">
      <c r="A210" s="34">
        <v>214</v>
      </c>
      <c r="B210" s="9" t="s">
        <v>77</v>
      </c>
      <c r="C210" s="48">
        <v>0</v>
      </c>
      <c r="D210" s="49">
        <v>90</v>
      </c>
      <c r="E210" s="49">
        <f t="shared" si="4"/>
        <v>0</v>
      </c>
    </row>
    <row r="211" spans="1:5" x14ac:dyDescent="0.25">
      <c r="A211" s="34">
        <v>215</v>
      </c>
      <c r="B211" s="9" t="s">
        <v>76</v>
      </c>
      <c r="C211" s="48">
        <v>3</v>
      </c>
      <c r="D211" s="49">
        <v>36</v>
      </c>
      <c r="E211" s="49">
        <f t="shared" si="4"/>
        <v>108</v>
      </c>
    </row>
    <row r="212" spans="1:5" x14ac:dyDescent="0.25">
      <c r="A212" s="34">
        <v>216</v>
      </c>
      <c r="B212" s="9" t="s">
        <v>19</v>
      </c>
      <c r="C212" s="48">
        <v>5</v>
      </c>
      <c r="D212" s="49">
        <v>60</v>
      </c>
      <c r="E212" s="49">
        <f t="shared" si="4"/>
        <v>300</v>
      </c>
    </row>
    <row r="213" spans="1:5" x14ac:dyDescent="0.25">
      <c r="A213" s="34">
        <v>217</v>
      </c>
      <c r="B213" s="43" t="s">
        <v>75</v>
      </c>
      <c r="C213" s="48">
        <v>0</v>
      </c>
      <c r="D213" s="49">
        <v>38</v>
      </c>
      <c r="E213" s="49">
        <f t="shared" si="4"/>
        <v>0</v>
      </c>
    </row>
    <row r="214" spans="1:5" ht="17.25" customHeight="1" x14ac:dyDescent="0.25">
      <c r="A214" s="34">
        <v>218</v>
      </c>
      <c r="B214" s="9" t="s">
        <v>74</v>
      </c>
      <c r="C214" s="48">
        <v>2</v>
      </c>
      <c r="D214" s="49">
        <v>40</v>
      </c>
      <c r="E214" s="49">
        <f t="shared" si="4"/>
        <v>80</v>
      </c>
    </row>
    <row r="215" spans="1:5" ht="17.25" customHeight="1" x14ac:dyDescent="0.25">
      <c r="A215" s="34">
        <v>219</v>
      </c>
      <c r="B215" s="43" t="s">
        <v>73</v>
      </c>
      <c r="C215" s="48">
        <v>0</v>
      </c>
      <c r="D215" s="49">
        <v>110</v>
      </c>
      <c r="E215" s="49">
        <f t="shared" si="4"/>
        <v>0</v>
      </c>
    </row>
    <row r="216" spans="1:5" ht="17.25" customHeight="1" x14ac:dyDescent="0.25">
      <c r="A216" s="34">
        <v>220</v>
      </c>
      <c r="B216" s="9" t="s">
        <v>71</v>
      </c>
      <c r="C216" s="48">
        <v>80</v>
      </c>
      <c r="D216" s="49">
        <v>30</v>
      </c>
      <c r="E216" s="49">
        <f t="shared" si="4"/>
        <v>2400</v>
      </c>
    </row>
    <row r="217" spans="1:5" ht="17.25" customHeight="1" x14ac:dyDescent="0.25">
      <c r="A217" s="34">
        <v>221</v>
      </c>
      <c r="B217" s="9" t="s">
        <v>72</v>
      </c>
      <c r="C217" s="48">
        <f>1.25+0.15</f>
        <v>1.4</v>
      </c>
      <c r="D217" s="49">
        <v>370</v>
      </c>
      <c r="E217" s="49">
        <f t="shared" si="4"/>
        <v>518</v>
      </c>
    </row>
    <row r="218" spans="1:5" ht="17.25" customHeight="1" x14ac:dyDescent="0.25">
      <c r="A218" s="34">
        <v>222</v>
      </c>
      <c r="B218" s="9" t="s">
        <v>70</v>
      </c>
      <c r="C218" s="48">
        <v>0</v>
      </c>
      <c r="D218" s="49">
        <v>280</v>
      </c>
      <c r="E218" s="49">
        <v>1.8160000000000001</v>
      </c>
    </row>
    <row r="219" spans="1:5" ht="17.25" customHeight="1" x14ac:dyDescent="0.25">
      <c r="A219" s="34">
        <v>223</v>
      </c>
      <c r="B219" s="9" t="s">
        <v>69</v>
      </c>
      <c r="C219" s="48">
        <v>0</v>
      </c>
      <c r="D219" s="49">
        <v>475</v>
      </c>
      <c r="E219" s="49">
        <f t="shared" si="4"/>
        <v>0</v>
      </c>
    </row>
    <row r="220" spans="1:5" ht="17.25" customHeight="1" x14ac:dyDescent="0.25">
      <c r="A220" s="34">
        <v>224</v>
      </c>
      <c r="B220" s="43" t="s">
        <v>68</v>
      </c>
      <c r="C220" s="48">
        <v>0</v>
      </c>
      <c r="D220" s="49">
        <v>51</v>
      </c>
      <c r="E220" s="49">
        <f t="shared" si="4"/>
        <v>0</v>
      </c>
    </row>
    <row r="221" spans="1:5" ht="17.25" customHeight="1" x14ac:dyDescent="0.25">
      <c r="A221" s="34">
        <v>225</v>
      </c>
      <c r="B221" s="9" t="s">
        <v>67</v>
      </c>
      <c r="C221" s="48">
        <v>13</v>
      </c>
      <c r="D221" s="49">
        <v>21</v>
      </c>
      <c r="E221" s="49">
        <f t="shared" si="4"/>
        <v>273</v>
      </c>
    </row>
    <row r="222" spans="1:5" ht="17.25" customHeight="1" x14ac:dyDescent="0.25">
      <c r="A222" s="34">
        <v>226</v>
      </c>
      <c r="B222" s="9" t="s">
        <v>66</v>
      </c>
      <c r="C222" s="48">
        <v>0</v>
      </c>
      <c r="D222" s="49">
        <v>96</v>
      </c>
      <c r="E222" s="49">
        <f t="shared" si="4"/>
        <v>0</v>
      </c>
    </row>
    <row r="223" spans="1:5" ht="15.75" thickBot="1" x14ac:dyDescent="0.3">
      <c r="A223" s="32"/>
      <c r="B223" s="22" t="s">
        <v>17</v>
      </c>
      <c r="C223" s="15">
        <f>SUM(C178:C221)</f>
        <v>10733.386999999999</v>
      </c>
      <c r="D223" s="38"/>
      <c r="E223" s="36">
        <f>SUM(E181:E222)</f>
        <v>145782.04400000005</v>
      </c>
    </row>
    <row r="224" spans="1:5" ht="28.5" customHeight="1" thickBot="1" x14ac:dyDescent="0.3">
      <c r="A224" s="33"/>
      <c r="B224" s="19" t="s">
        <v>1</v>
      </c>
      <c r="C224" s="57" t="s">
        <v>2</v>
      </c>
      <c r="D224" s="57" t="s">
        <v>3</v>
      </c>
      <c r="E224" s="58" t="s">
        <v>4</v>
      </c>
    </row>
    <row r="225" spans="1:9" ht="17.25" customHeight="1" x14ac:dyDescent="0.25">
      <c r="A225" s="34">
        <v>227</v>
      </c>
      <c r="B225" s="9" t="s">
        <v>65</v>
      </c>
      <c r="C225" s="48">
        <v>11</v>
      </c>
      <c r="D225" s="49">
        <v>40</v>
      </c>
      <c r="E225" s="49">
        <f t="shared" si="4"/>
        <v>440</v>
      </c>
      <c r="G225" s="62">
        <v>11</v>
      </c>
      <c r="H225" s="63">
        <v>40</v>
      </c>
      <c r="I225" s="63">
        <f t="shared" ref="I225:I262" si="5">G225*H225</f>
        <v>440</v>
      </c>
    </row>
    <row r="226" spans="1:9" ht="17.25" customHeight="1" x14ac:dyDescent="0.25">
      <c r="A226" s="34">
        <v>228</v>
      </c>
      <c r="B226" s="9" t="s">
        <v>64</v>
      </c>
      <c r="C226" s="48">
        <v>10.5</v>
      </c>
      <c r="D226" s="49">
        <v>60</v>
      </c>
      <c r="E226" s="49">
        <f t="shared" si="4"/>
        <v>630</v>
      </c>
      <c r="G226" s="62">
        <v>10.5</v>
      </c>
      <c r="H226" s="63">
        <v>60</v>
      </c>
      <c r="I226" s="63">
        <f t="shared" si="5"/>
        <v>630</v>
      </c>
    </row>
    <row r="227" spans="1:9" ht="17.25" customHeight="1" x14ac:dyDescent="0.25">
      <c r="A227" s="34">
        <v>229</v>
      </c>
      <c r="B227" s="9" t="s">
        <v>63</v>
      </c>
      <c r="C227" s="48">
        <f>5.7+2.37</f>
        <v>8.07</v>
      </c>
      <c r="D227" s="49">
        <v>315</v>
      </c>
      <c r="E227" s="49">
        <f t="shared" si="4"/>
        <v>2542.0500000000002</v>
      </c>
      <c r="G227" s="62">
        <f>5.7+2.37</f>
        <v>8.07</v>
      </c>
      <c r="H227" s="63">
        <v>315</v>
      </c>
      <c r="I227" s="63">
        <f t="shared" si="5"/>
        <v>2542.0500000000002</v>
      </c>
    </row>
    <row r="228" spans="1:9" ht="17.25" customHeight="1" x14ac:dyDescent="0.25">
      <c r="A228" s="34">
        <v>231</v>
      </c>
      <c r="B228" s="9" t="s">
        <v>62</v>
      </c>
      <c r="C228" s="48">
        <f>12.3+134.5+69.7</f>
        <v>216.5</v>
      </c>
      <c r="D228" s="49">
        <v>18</v>
      </c>
      <c r="E228" s="49">
        <f t="shared" si="4"/>
        <v>3897</v>
      </c>
      <c r="G228" s="62">
        <f>12.3+134.5+69.7</f>
        <v>216.5</v>
      </c>
      <c r="H228" s="63">
        <v>18</v>
      </c>
      <c r="I228" s="63">
        <f t="shared" si="5"/>
        <v>3897</v>
      </c>
    </row>
    <row r="229" spans="1:9" ht="17.25" customHeight="1" x14ac:dyDescent="0.25">
      <c r="A229" s="34">
        <v>232</v>
      </c>
      <c r="B229" s="43" t="s">
        <v>61</v>
      </c>
      <c r="C229" s="48">
        <v>0</v>
      </c>
      <c r="D229" s="49">
        <v>400</v>
      </c>
      <c r="E229" s="49">
        <f t="shared" si="4"/>
        <v>0</v>
      </c>
      <c r="G229" s="62">
        <v>0</v>
      </c>
      <c r="H229" s="63">
        <v>400</v>
      </c>
      <c r="I229" s="63">
        <f t="shared" si="5"/>
        <v>0</v>
      </c>
    </row>
    <row r="230" spans="1:9" ht="17.25" customHeight="1" x14ac:dyDescent="0.25">
      <c r="A230" s="34">
        <v>233</v>
      </c>
      <c r="B230" s="9" t="s">
        <v>60</v>
      </c>
      <c r="C230" s="48">
        <v>0</v>
      </c>
      <c r="D230" s="49">
        <v>177</v>
      </c>
      <c r="E230" s="49">
        <f t="shared" si="4"/>
        <v>0</v>
      </c>
      <c r="G230" s="62">
        <v>0</v>
      </c>
      <c r="H230" s="63">
        <v>177</v>
      </c>
      <c r="I230" s="63">
        <f t="shared" si="5"/>
        <v>0</v>
      </c>
    </row>
    <row r="231" spans="1:9" ht="17.25" customHeight="1" x14ac:dyDescent="0.25">
      <c r="A231" s="34">
        <v>234</v>
      </c>
      <c r="B231" s="9" t="s">
        <v>59</v>
      </c>
      <c r="C231" s="48">
        <v>0</v>
      </c>
      <c r="D231" s="49">
        <v>64</v>
      </c>
      <c r="E231" s="49">
        <f t="shared" si="4"/>
        <v>0</v>
      </c>
      <c r="G231" s="62">
        <v>0</v>
      </c>
      <c r="H231" s="63">
        <v>64</v>
      </c>
      <c r="I231" s="63">
        <f t="shared" si="5"/>
        <v>0</v>
      </c>
    </row>
    <row r="232" spans="1:9" ht="17.25" customHeight="1" x14ac:dyDescent="0.25">
      <c r="A232" s="34">
        <v>235</v>
      </c>
      <c r="B232" s="9" t="s">
        <v>58</v>
      </c>
      <c r="C232" s="48">
        <v>5</v>
      </c>
      <c r="D232" s="49">
        <v>130</v>
      </c>
      <c r="E232" s="49">
        <f t="shared" si="4"/>
        <v>650</v>
      </c>
      <c r="G232" s="62">
        <v>5</v>
      </c>
      <c r="H232" s="63">
        <v>130</v>
      </c>
      <c r="I232" s="63">
        <f t="shared" si="5"/>
        <v>650</v>
      </c>
    </row>
    <row r="233" spans="1:9" ht="17.25" customHeight="1" x14ac:dyDescent="0.25">
      <c r="A233" s="34">
        <v>236</v>
      </c>
      <c r="B233" s="9" t="s">
        <v>57</v>
      </c>
      <c r="C233" s="48">
        <f>165.4+50.7+46.6</f>
        <v>262.70000000000005</v>
      </c>
      <c r="D233" s="49">
        <v>36</v>
      </c>
      <c r="E233" s="49">
        <f t="shared" si="4"/>
        <v>9457.2000000000007</v>
      </c>
      <c r="G233" s="62">
        <f>165.4+50.7+46.6</f>
        <v>262.70000000000005</v>
      </c>
      <c r="H233" s="63">
        <v>36</v>
      </c>
      <c r="I233" s="63">
        <f t="shared" si="5"/>
        <v>9457.2000000000007</v>
      </c>
    </row>
    <row r="234" spans="1:9" ht="17.25" customHeight="1" x14ac:dyDescent="0.25">
      <c r="A234" s="34">
        <v>237</v>
      </c>
      <c r="B234" s="9" t="s">
        <v>56</v>
      </c>
      <c r="C234" s="51">
        <v>215.5</v>
      </c>
      <c r="D234" s="49">
        <v>177</v>
      </c>
      <c r="E234" s="49">
        <f t="shared" si="4"/>
        <v>38143.5</v>
      </c>
      <c r="G234" s="62">
        <v>215.5</v>
      </c>
      <c r="H234" s="63">
        <v>177</v>
      </c>
      <c r="I234" s="63">
        <f t="shared" si="5"/>
        <v>38143.5</v>
      </c>
    </row>
    <row r="235" spans="1:9" ht="17.25" customHeight="1" x14ac:dyDescent="0.25">
      <c r="A235" s="34">
        <v>238</v>
      </c>
      <c r="B235" s="9" t="s">
        <v>50</v>
      </c>
      <c r="C235" s="48">
        <v>0</v>
      </c>
      <c r="D235" s="49">
        <v>160</v>
      </c>
      <c r="E235" s="49">
        <f t="shared" si="4"/>
        <v>0</v>
      </c>
      <c r="G235" s="62">
        <v>0</v>
      </c>
      <c r="H235" s="63">
        <v>160</v>
      </c>
      <c r="I235" s="63">
        <f t="shared" si="5"/>
        <v>0</v>
      </c>
    </row>
    <row r="236" spans="1:9" ht="17.25" customHeight="1" x14ac:dyDescent="0.25">
      <c r="A236" s="34">
        <v>239</v>
      </c>
      <c r="B236" s="9" t="s">
        <v>49</v>
      </c>
      <c r="C236" s="48">
        <v>3.66</v>
      </c>
      <c r="D236" s="49">
        <v>76</v>
      </c>
      <c r="E236" s="49">
        <f t="shared" si="4"/>
        <v>278.16000000000003</v>
      </c>
      <c r="G236" s="62">
        <v>3.66</v>
      </c>
      <c r="H236" s="63">
        <v>76</v>
      </c>
      <c r="I236" s="63">
        <f t="shared" si="5"/>
        <v>278.16000000000003</v>
      </c>
    </row>
    <row r="237" spans="1:9" ht="17.25" customHeight="1" x14ac:dyDescent="0.25">
      <c r="A237" s="34">
        <v>240</v>
      </c>
      <c r="B237" s="43" t="s">
        <v>48</v>
      </c>
      <c r="C237" s="48">
        <v>0</v>
      </c>
      <c r="D237" s="49">
        <v>120</v>
      </c>
      <c r="E237" s="49">
        <f t="shared" si="4"/>
        <v>0</v>
      </c>
      <c r="G237" s="62">
        <v>0</v>
      </c>
      <c r="H237" s="63">
        <v>120</v>
      </c>
      <c r="I237" s="63">
        <f t="shared" si="5"/>
        <v>0</v>
      </c>
    </row>
    <row r="238" spans="1:9" ht="17.25" customHeight="1" x14ac:dyDescent="0.25">
      <c r="A238" s="34">
        <v>241</v>
      </c>
      <c r="B238" s="9" t="s">
        <v>47</v>
      </c>
      <c r="C238" s="48">
        <v>0</v>
      </c>
      <c r="D238" s="49">
        <v>62</v>
      </c>
      <c r="E238" s="49">
        <f t="shared" si="4"/>
        <v>0</v>
      </c>
      <c r="G238" s="62">
        <v>0</v>
      </c>
      <c r="H238" s="63">
        <v>62</v>
      </c>
      <c r="I238" s="63">
        <f t="shared" si="5"/>
        <v>0</v>
      </c>
    </row>
    <row r="239" spans="1:9" ht="17.25" customHeight="1" x14ac:dyDescent="0.25">
      <c r="A239" s="34">
        <v>242</v>
      </c>
      <c r="B239" s="9" t="s">
        <v>46</v>
      </c>
      <c r="C239" s="48">
        <f>7+26</f>
        <v>33</v>
      </c>
      <c r="D239" s="49">
        <v>26</v>
      </c>
      <c r="E239" s="49">
        <f t="shared" si="4"/>
        <v>858</v>
      </c>
      <c r="G239" s="62">
        <f>7+26</f>
        <v>33</v>
      </c>
      <c r="H239" s="63">
        <v>26</v>
      </c>
      <c r="I239" s="63">
        <f t="shared" si="5"/>
        <v>858</v>
      </c>
    </row>
    <row r="240" spans="1:9" ht="17.25" customHeight="1" x14ac:dyDescent="0.25">
      <c r="A240" s="34">
        <v>243</v>
      </c>
      <c r="B240" s="9" t="s">
        <v>45</v>
      </c>
      <c r="C240" s="48">
        <v>0</v>
      </c>
      <c r="D240" s="49">
        <v>90</v>
      </c>
      <c r="E240" s="49">
        <f t="shared" si="4"/>
        <v>0</v>
      </c>
      <c r="G240" s="62">
        <v>0</v>
      </c>
      <c r="H240" s="63">
        <v>90</v>
      </c>
      <c r="I240" s="63">
        <f t="shared" si="5"/>
        <v>0</v>
      </c>
    </row>
    <row r="241" spans="1:9" ht="17.25" customHeight="1" x14ac:dyDescent="0.25">
      <c r="A241" s="34">
        <v>244</v>
      </c>
      <c r="B241" s="9" t="s">
        <v>44</v>
      </c>
      <c r="C241" s="48">
        <f>1.22+3.1+4.46+38.4</f>
        <v>47.18</v>
      </c>
      <c r="D241" s="49">
        <v>98</v>
      </c>
      <c r="E241" s="49">
        <f t="shared" si="4"/>
        <v>4623.6400000000003</v>
      </c>
      <c r="G241" s="62">
        <f>1.22+3.1+4.46+38.4</f>
        <v>47.18</v>
      </c>
      <c r="H241" s="63">
        <v>98</v>
      </c>
      <c r="I241" s="63">
        <f t="shared" si="5"/>
        <v>4623.6400000000003</v>
      </c>
    </row>
    <row r="242" spans="1:9" ht="17.25" customHeight="1" x14ac:dyDescent="0.25">
      <c r="A242" s="34">
        <v>245</v>
      </c>
      <c r="B242" s="9" t="s">
        <v>43</v>
      </c>
      <c r="C242" s="48">
        <f>13.8-2.2+23.3</f>
        <v>34.900000000000006</v>
      </c>
      <c r="D242" s="49">
        <v>125</v>
      </c>
      <c r="E242" s="49">
        <f t="shared" si="4"/>
        <v>4362.5000000000009</v>
      </c>
      <c r="G242" s="62">
        <f>13.8-2.2+23.3</f>
        <v>34.900000000000006</v>
      </c>
      <c r="H242" s="63">
        <v>125</v>
      </c>
      <c r="I242" s="63">
        <f t="shared" si="5"/>
        <v>4362.5000000000009</v>
      </c>
    </row>
    <row r="243" spans="1:9" ht="17.25" customHeight="1" x14ac:dyDescent="0.25">
      <c r="A243" s="34">
        <v>246</v>
      </c>
      <c r="B243" s="9" t="s">
        <v>26</v>
      </c>
      <c r="C243" s="48">
        <v>0</v>
      </c>
      <c r="D243" s="49">
        <v>46</v>
      </c>
      <c r="E243" s="49">
        <f t="shared" si="4"/>
        <v>0</v>
      </c>
      <c r="G243" s="62">
        <v>0</v>
      </c>
      <c r="H243" s="63">
        <v>46</v>
      </c>
      <c r="I243" s="63">
        <f t="shared" si="5"/>
        <v>0</v>
      </c>
    </row>
    <row r="244" spans="1:9" ht="17.25" customHeight="1" x14ac:dyDescent="0.25">
      <c r="A244" s="34">
        <v>247</v>
      </c>
      <c r="B244" s="9" t="s">
        <v>42</v>
      </c>
      <c r="C244" s="48">
        <v>14</v>
      </c>
      <c r="D244" s="49">
        <v>20</v>
      </c>
      <c r="E244" s="49">
        <f t="shared" si="4"/>
        <v>280</v>
      </c>
      <c r="G244" s="62">
        <v>14</v>
      </c>
      <c r="H244" s="63">
        <v>20</v>
      </c>
      <c r="I244" s="63">
        <f t="shared" si="5"/>
        <v>280</v>
      </c>
    </row>
    <row r="245" spans="1:9" ht="17.25" customHeight="1" x14ac:dyDescent="0.25">
      <c r="A245" s="34">
        <v>248</v>
      </c>
      <c r="B245" s="9" t="s">
        <v>30</v>
      </c>
      <c r="C245" s="48">
        <v>2.44</v>
      </c>
      <c r="D245" s="49">
        <v>360</v>
      </c>
      <c r="E245" s="49">
        <f t="shared" si="4"/>
        <v>878.4</v>
      </c>
      <c r="G245" s="62">
        <v>2.44</v>
      </c>
      <c r="H245" s="63">
        <v>360</v>
      </c>
      <c r="I245" s="63">
        <f t="shared" si="5"/>
        <v>878.4</v>
      </c>
    </row>
    <row r="246" spans="1:9" ht="17.25" customHeight="1" x14ac:dyDescent="0.25">
      <c r="A246" s="34">
        <v>249</v>
      </c>
      <c r="B246" s="9" t="s">
        <v>29</v>
      </c>
      <c r="C246" s="48">
        <v>0.44400000000000001</v>
      </c>
      <c r="D246" s="49">
        <v>184</v>
      </c>
      <c r="E246" s="49">
        <f t="shared" si="4"/>
        <v>81.695999999999998</v>
      </c>
      <c r="G246" s="62">
        <v>0.44400000000000001</v>
      </c>
      <c r="H246" s="63">
        <v>184</v>
      </c>
      <c r="I246" s="63">
        <f t="shared" si="5"/>
        <v>81.695999999999998</v>
      </c>
    </row>
    <row r="247" spans="1:9" ht="17.25" customHeight="1" x14ac:dyDescent="0.25">
      <c r="A247" s="34">
        <v>250</v>
      </c>
      <c r="B247" s="45" t="s">
        <v>28</v>
      </c>
      <c r="C247" s="48">
        <v>0</v>
      </c>
      <c r="D247" s="49">
        <v>59</v>
      </c>
      <c r="E247" s="49">
        <f t="shared" si="4"/>
        <v>0</v>
      </c>
      <c r="G247" s="62">
        <v>0</v>
      </c>
      <c r="H247" s="63">
        <v>59</v>
      </c>
      <c r="I247" s="63">
        <f t="shared" si="5"/>
        <v>0</v>
      </c>
    </row>
    <row r="248" spans="1:9" ht="17.25" customHeight="1" x14ac:dyDescent="0.25">
      <c r="A248" s="34">
        <v>251</v>
      </c>
      <c r="B248" s="9" t="s">
        <v>98</v>
      </c>
      <c r="C248" s="48">
        <v>8.9700000000000006</v>
      </c>
      <c r="D248" s="49">
        <v>50</v>
      </c>
      <c r="E248" s="49">
        <f t="shared" si="4"/>
        <v>448.50000000000006</v>
      </c>
      <c r="G248" s="62">
        <v>8.9700000000000006</v>
      </c>
      <c r="H248" s="63">
        <v>50</v>
      </c>
      <c r="I248" s="63">
        <f t="shared" si="5"/>
        <v>448.50000000000006</v>
      </c>
    </row>
    <row r="249" spans="1:9" ht="17.25" customHeight="1" x14ac:dyDescent="0.25">
      <c r="A249" s="34">
        <v>252</v>
      </c>
      <c r="B249" s="9" t="s">
        <v>99</v>
      </c>
      <c r="C249" s="48">
        <v>0</v>
      </c>
      <c r="D249" s="49">
        <v>45</v>
      </c>
      <c r="E249" s="49">
        <f t="shared" si="4"/>
        <v>0</v>
      </c>
      <c r="G249" s="62">
        <v>0</v>
      </c>
      <c r="H249" s="63">
        <v>45</v>
      </c>
      <c r="I249" s="63">
        <f t="shared" si="5"/>
        <v>0</v>
      </c>
    </row>
    <row r="250" spans="1:9" ht="17.25" customHeight="1" x14ac:dyDescent="0.25">
      <c r="A250" s="34">
        <v>253</v>
      </c>
      <c r="B250" s="9" t="s">
        <v>95</v>
      </c>
      <c r="C250" s="48">
        <f>3.066+1.025</f>
        <v>4.0909999999999993</v>
      </c>
      <c r="D250" s="49">
        <v>350</v>
      </c>
      <c r="E250" s="49">
        <f t="shared" si="4"/>
        <v>1431.8499999999997</v>
      </c>
      <c r="G250" s="62">
        <f>3.066+1.025</f>
        <v>4.0909999999999993</v>
      </c>
      <c r="H250" s="63">
        <v>350</v>
      </c>
      <c r="I250" s="63">
        <f t="shared" si="5"/>
        <v>1431.8499999999997</v>
      </c>
    </row>
    <row r="251" spans="1:9" s="6" customFormat="1" ht="17.25" customHeight="1" x14ac:dyDescent="0.25">
      <c r="A251" s="34">
        <v>254</v>
      </c>
      <c r="B251" s="10" t="s">
        <v>27</v>
      </c>
      <c r="C251" s="51">
        <v>2</v>
      </c>
      <c r="D251" s="52">
        <v>70</v>
      </c>
      <c r="E251" s="49">
        <f t="shared" si="4"/>
        <v>140</v>
      </c>
      <c r="G251" s="62">
        <v>2</v>
      </c>
      <c r="H251" s="63">
        <v>70</v>
      </c>
      <c r="I251" s="63">
        <f t="shared" si="5"/>
        <v>140</v>
      </c>
    </row>
    <row r="252" spans="1:9" s="6" customFormat="1" ht="17.25" customHeight="1" x14ac:dyDescent="0.25">
      <c r="A252" s="34">
        <v>255</v>
      </c>
      <c r="B252" s="44" t="s">
        <v>184</v>
      </c>
      <c r="C252" s="51">
        <v>0</v>
      </c>
      <c r="D252" s="52">
        <v>125</v>
      </c>
      <c r="E252" s="49">
        <f t="shared" si="4"/>
        <v>0</v>
      </c>
      <c r="G252" s="62">
        <v>0</v>
      </c>
      <c r="H252" s="63">
        <v>125</v>
      </c>
      <c r="I252" s="63">
        <f t="shared" si="5"/>
        <v>0</v>
      </c>
    </row>
    <row r="253" spans="1:9" ht="17.25" customHeight="1" x14ac:dyDescent="0.25">
      <c r="A253" s="34">
        <v>256</v>
      </c>
      <c r="B253" s="9" t="s">
        <v>25</v>
      </c>
      <c r="C253" s="48">
        <f>7.015+10+7.16+7.9</f>
        <v>32.075000000000003</v>
      </c>
      <c r="D253" s="49">
        <v>120</v>
      </c>
      <c r="E253" s="49">
        <f t="shared" si="4"/>
        <v>3849.0000000000005</v>
      </c>
      <c r="G253" s="62">
        <f>7.015+10+7.16+7.9</f>
        <v>32.075000000000003</v>
      </c>
      <c r="H253" s="63">
        <v>120</v>
      </c>
      <c r="I253" s="63">
        <f t="shared" si="5"/>
        <v>3849.0000000000005</v>
      </c>
    </row>
    <row r="254" spans="1:9" x14ac:dyDescent="0.25">
      <c r="A254" s="34">
        <v>257</v>
      </c>
      <c r="B254" s="9" t="s">
        <v>24</v>
      </c>
      <c r="C254" s="48">
        <f>3.812+7.2</f>
        <v>11.012</v>
      </c>
      <c r="D254" s="49">
        <v>160</v>
      </c>
      <c r="E254" s="49">
        <f t="shared" si="4"/>
        <v>1761.92</v>
      </c>
      <c r="G254" s="62">
        <f>3.812+7.2</f>
        <v>11.012</v>
      </c>
      <c r="H254" s="63">
        <v>160</v>
      </c>
      <c r="I254" s="63">
        <f t="shared" si="5"/>
        <v>1761.92</v>
      </c>
    </row>
    <row r="255" spans="1:9" x14ac:dyDescent="0.25">
      <c r="A255" s="34">
        <v>258</v>
      </c>
      <c r="B255" s="9" t="s">
        <v>185</v>
      </c>
      <c r="C255" s="48">
        <v>14.1</v>
      </c>
      <c r="D255" s="49">
        <v>10</v>
      </c>
      <c r="E255" s="49">
        <f t="shared" si="4"/>
        <v>141</v>
      </c>
      <c r="G255" s="62">
        <v>14.1</v>
      </c>
      <c r="H255" s="63">
        <v>10</v>
      </c>
      <c r="I255" s="63">
        <f t="shared" si="5"/>
        <v>141</v>
      </c>
    </row>
    <row r="256" spans="1:9" x14ac:dyDescent="0.25">
      <c r="A256" s="34">
        <v>259</v>
      </c>
      <c r="B256" s="9" t="s">
        <v>186</v>
      </c>
      <c r="C256" s="48">
        <v>0</v>
      </c>
      <c r="D256" s="49">
        <v>74</v>
      </c>
      <c r="E256" s="49">
        <f t="shared" si="4"/>
        <v>0</v>
      </c>
      <c r="G256" s="62">
        <v>0</v>
      </c>
      <c r="H256" s="63">
        <v>74</v>
      </c>
      <c r="I256" s="63">
        <f t="shared" si="5"/>
        <v>0</v>
      </c>
    </row>
    <row r="257" spans="1:9" x14ac:dyDescent="0.25">
      <c r="A257" s="34">
        <v>260</v>
      </c>
      <c r="B257" s="9" t="s">
        <v>187</v>
      </c>
      <c r="C257" s="48">
        <f>2.44+5.66+24.8</f>
        <v>32.9</v>
      </c>
      <c r="D257" s="49">
        <v>350</v>
      </c>
      <c r="E257" s="49">
        <f t="shared" si="4"/>
        <v>11515</v>
      </c>
      <c r="G257" s="62">
        <f>2.44+5.66+24.8</f>
        <v>32.9</v>
      </c>
      <c r="H257" s="63">
        <v>350</v>
      </c>
      <c r="I257" s="63">
        <f t="shared" si="5"/>
        <v>11515</v>
      </c>
    </row>
    <row r="258" spans="1:9" x14ac:dyDescent="0.25">
      <c r="A258" s="34">
        <v>261</v>
      </c>
      <c r="B258" s="9" t="s">
        <v>188</v>
      </c>
      <c r="C258" s="48">
        <v>20.8</v>
      </c>
      <c r="D258" s="49">
        <v>170</v>
      </c>
      <c r="E258" s="49">
        <f t="shared" si="4"/>
        <v>3536</v>
      </c>
      <c r="G258" s="62">
        <v>20.8</v>
      </c>
      <c r="H258" s="63">
        <v>170</v>
      </c>
      <c r="I258" s="63">
        <f t="shared" si="5"/>
        <v>3536</v>
      </c>
    </row>
    <row r="259" spans="1:9" x14ac:dyDescent="0.25">
      <c r="A259" s="34">
        <v>262</v>
      </c>
      <c r="B259" s="9" t="s">
        <v>189</v>
      </c>
      <c r="C259" s="48">
        <f>4.26+4.87+4.96+9.7</f>
        <v>23.79</v>
      </c>
      <c r="D259" s="49">
        <v>745</v>
      </c>
      <c r="E259" s="49">
        <f t="shared" si="4"/>
        <v>17723.55</v>
      </c>
      <c r="G259" s="62">
        <f>4.26+4.87+4.96+9.7</f>
        <v>23.79</v>
      </c>
      <c r="H259" s="63">
        <v>745</v>
      </c>
      <c r="I259" s="63">
        <f t="shared" si="5"/>
        <v>17723.55</v>
      </c>
    </row>
    <row r="260" spans="1:9" x14ac:dyDescent="0.25">
      <c r="A260" s="34">
        <v>263</v>
      </c>
      <c r="B260" s="9" t="s">
        <v>190</v>
      </c>
      <c r="C260" s="48">
        <v>1.56</v>
      </c>
      <c r="D260" s="49">
        <v>168</v>
      </c>
      <c r="E260" s="49">
        <f t="shared" si="4"/>
        <v>262.08</v>
      </c>
      <c r="G260" s="62">
        <v>1.56</v>
      </c>
      <c r="H260" s="63">
        <v>168</v>
      </c>
      <c r="I260" s="63">
        <f t="shared" si="5"/>
        <v>262.08</v>
      </c>
    </row>
    <row r="261" spans="1:9" x14ac:dyDescent="0.25">
      <c r="A261" s="34">
        <v>264</v>
      </c>
      <c r="B261" s="9" t="s">
        <v>191</v>
      </c>
      <c r="C261" s="48">
        <f>3.64+0.632</f>
        <v>4.2720000000000002</v>
      </c>
      <c r="D261" s="49">
        <v>555</v>
      </c>
      <c r="E261" s="49">
        <f t="shared" si="4"/>
        <v>2370.96</v>
      </c>
      <c r="G261" s="62">
        <f>3.64+0.632</f>
        <v>4.2720000000000002</v>
      </c>
      <c r="H261" s="63">
        <v>555</v>
      </c>
      <c r="I261" s="63">
        <f t="shared" si="5"/>
        <v>2370.96</v>
      </c>
    </row>
    <row r="262" spans="1:9" x14ac:dyDescent="0.25">
      <c r="A262" s="34">
        <v>265</v>
      </c>
      <c r="B262" s="9" t="s">
        <v>192</v>
      </c>
      <c r="C262" s="53">
        <f>1.9+6.36+6.14+5.03</f>
        <v>19.43</v>
      </c>
      <c r="D262" s="49">
        <v>587</v>
      </c>
      <c r="E262" s="49">
        <f t="shared" si="4"/>
        <v>11405.41</v>
      </c>
      <c r="G262" s="64">
        <f>1.9+6.36+6.14+5.03</f>
        <v>19.43</v>
      </c>
      <c r="H262" s="63">
        <v>587</v>
      </c>
      <c r="I262" s="63">
        <f t="shared" si="5"/>
        <v>11405.41</v>
      </c>
    </row>
    <row r="263" spans="1:9" ht="19.5" thickBot="1" x14ac:dyDescent="0.35">
      <c r="A263" s="32"/>
      <c r="B263" s="22" t="s">
        <v>17</v>
      </c>
      <c r="C263" s="15">
        <f>SUM(C224:C261)</f>
        <v>1020.4639999999998</v>
      </c>
      <c r="D263" s="38"/>
      <c r="E263" s="36">
        <f>SUM(E225:E261)</f>
        <v>110302.00600000001</v>
      </c>
      <c r="I263" s="65">
        <f>SUM(I225:I262)</f>
        <v>121707.41600000001</v>
      </c>
    </row>
    <row r="264" spans="1:9" ht="31.5" customHeight="1" thickBot="1" x14ac:dyDescent="0.3">
      <c r="A264" s="33"/>
      <c r="B264" s="19" t="s">
        <v>1</v>
      </c>
      <c r="C264" s="57" t="s">
        <v>2</v>
      </c>
      <c r="D264" s="57" t="s">
        <v>3</v>
      </c>
      <c r="E264" s="58" t="s">
        <v>4</v>
      </c>
    </row>
    <row r="265" spans="1:9" x14ac:dyDescent="0.25">
      <c r="A265" s="34">
        <v>266</v>
      </c>
      <c r="B265" s="9" t="s">
        <v>193</v>
      </c>
      <c r="C265" s="48">
        <f>1.2+4.95+4.95</f>
        <v>11.100000000000001</v>
      </c>
      <c r="D265" s="49">
        <v>341</v>
      </c>
      <c r="E265" s="49">
        <f t="shared" ref="E265:G329" si="6">C265*D265</f>
        <v>3785.1000000000004</v>
      </c>
    </row>
    <row r="266" spans="1:9" x14ac:dyDescent="0.25">
      <c r="A266" s="34">
        <v>267</v>
      </c>
      <c r="B266" s="9" t="s">
        <v>194</v>
      </c>
      <c r="C266" s="48">
        <f>3.28+0.836</f>
        <v>4.1159999999999997</v>
      </c>
      <c r="D266" s="49">
        <v>659</v>
      </c>
      <c r="E266" s="49">
        <f t="shared" si="6"/>
        <v>2712.444</v>
      </c>
    </row>
    <row r="267" spans="1:9" x14ac:dyDescent="0.25">
      <c r="A267" s="34">
        <v>268</v>
      </c>
      <c r="B267" s="9" t="s">
        <v>195</v>
      </c>
      <c r="C267" s="48">
        <f>2.38+0.624+3.86</f>
        <v>6.8639999999999999</v>
      </c>
      <c r="D267" s="49">
        <v>689</v>
      </c>
      <c r="E267" s="49">
        <f t="shared" si="6"/>
        <v>4729.2960000000003</v>
      </c>
    </row>
    <row r="268" spans="1:9" x14ac:dyDescent="0.25">
      <c r="A268" s="34">
        <v>269</v>
      </c>
      <c r="B268" s="9" t="s">
        <v>126</v>
      </c>
      <c r="C268" s="48">
        <v>9</v>
      </c>
      <c r="D268" s="49">
        <v>810</v>
      </c>
      <c r="E268" s="49">
        <f t="shared" si="6"/>
        <v>7290</v>
      </c>
    </row>
    <row r="269" spans="1:9" x14ac:dyDescent="0.25">
      <c r="A269" s="34">
        <v>270</v>
      </c>
      <c r="B269" s="9" t="s">
        <v>125</v>
      </c>
      <c r="C269" s="48">
        <f>1.3+5.07</f>
        <v>6.37</v>
      </c>
      <c r="D269" s="49">
        <v>741</v>
      </c>
      <c r="E269" s="49">
        <f t="shared" si="6"/>
        <v>4720.17</v>
      </c>
    </row>
    <row r="270" spans="1:9" x14ac:dyDescent="0.25">
      <c r="A270" s="34">
        <v>271</v>
      </c>
      <c r="B270" s="9" t="s">
        <v>124</v>
      </c>
      <c r="C270" s="48">
        <v>0</v>
      </c>
      <c r="D270" s="49">
        <v>152</v>
      </c>
      <c r="E270" s="49">
        <f t="shared" si="6"/>
        <v>0</v>
      </c>
    </row>
    <row r="271" spans="1:9" x14ac:dyDescent="0.25">
      <c r="A271" s="34">
        <v>272</v>
      </c>
      <c r="B271" s="9" t="s">
        <v>123</v>
      </c>
      <c r="C271" s="48">
        <v>0</v>
      </c>
      <c r="D271" s="49">
        <v>145</v>
      </c>
      <c r="E271" s="49">
        <f t="shared" si="6"/>
        <v>0</v>
      </c>
    </row>
    <row r="272" spans="1:9" x14ac:dyDescent="0.25">
      <c r="A272" s="34">
        <v>273</v>
      </c>
      <c r="B272" s="9" t="s">
        <v>122</v>
      </c>
      <c r="C272" s="48">
        <v>84.7</v>
      </c>
      <c r="D272" s="49">
        <v>280</v>
      </c>
      <c r="E272" s="49">
        <f t="shared" si="6"/>
        <v>23716</v>
      </c>
    </row>
    <row r="273" spans="1:5" x14ac:dyDescent="0.25">
      <c r="A273" s="34">
        <v>274</v>
      </c>
      <c r="B273" s="9" t="s">
        <v>121</v>
      </c>
      <c r="C273" s="48">
        <v>4.22</v>
      </c>
      <c r="D273" s="49">
        <v>644</v>
      </c>
      <c r="E273" s="49">
        <f t="shared" si="6"/>
        <v>2717.68</v>
      </c>
    </row>
    <row r="274" spans="1:5" x14ac:dyDescent="0.25">
      <c r="A274" s="34">
        <v>275</v>
      </c>
      <c r="B274" s="9" t="s">
        <v>120</v>
      </c>
      <c r="C274" s="48">
        <v>19.5</v>
      </c>
      <c r="D274" s="49">
        <v>435</v>
      </c>
      <c r="E274" s="49">
        <f t="shared" si="6"/>
        <v>8482.5</v>
      </c>
    </row>
    <row r="275" spans="1:5" x14ac:dyDescent="0.25">
      <c r="A275" s="34">
        <v>276</v>
      </c>
      <c r="B275" s="9" t="s">
        <v>119</v>
      </c>
      <c r="C275" s="48">
        <f>3.38+25.4</f>
        <v>28.779999999999998</v>
      </c>
      <c r="D275" s="49">
        <v>95</v>
      </c>
      <c r="E275" s="49">
        <f t="shared" si="6"/>
        <v>2734.1</v>
      </c>
    </row>
    <row r="276" spans="1:5" x14ac:dyDescent="0.25">
      <c r="A276" s="34">
        <v>277</v>
      </c>
      <c r="B276" s="9" t="s">
        <v>286</v>
      </c>
      <c r="C276" s="48">
        <v>20</v>
      </c>
      <c r="D276" s="49">
        <v>28</v>
      </c>
      <c r="E276" s="49">
        <f t="shared" si="6"/>
        <v>560</v>
      </c>
    </row>
    <row r="277" spans="1:5" x14ac:dyDescent="0.25">
      <c r="A277" s="34">
        <v>278</v>
      </c>
      <c r="B277" s="9" t="s">
        <v>118</v>
      </c>
      <c r="C277" s="48">
        <f>1.22+20.7</f>
        <v>21.919999999999998</v>
      </c>
      <c r="D277" s="49">
        <v>442</v>
      </c>
      <c r="E277" s="49">
        <f t="shared" si="6"/>
        <v>9688.64</v>
      </c>
    </row>
    <row r="278" spans="1:5" x14ac:dyDescent="0.25">
      <c r="A278" s="34">
        <v>279</v>
      </c>
      <c r="B278" s="9" t="s">
        <v>116</v>
      </c>
      <c r="C278" s="48">
        <f>167.4+112.7</f>
        <v>280.10000000000002</v>
      </c>
      <c r="D278" s="49">
        <v>164</v>
      </c>
      <c r="E278" s="49">
        <f t="shared" si="6"/>
        <v>45936.4</v>
      </c>
    </row>
    <row r="279" spans="1:5" x14ac:dyDescent="0.25">
      <c r="A279" s="34">
        <v>280</v>
      </c>
      <c r="B279" s="9" t="s">
        <v>115</v>
      </c>
      <c r="C279" s="48">
        <v>24.9</v>
      </c>
      <c r="D279" s="49">
        <v>600</v>
      </c>
      <c r="E279" s="49">
        <f t="shared" si="6"/>
        <v>14940</v>
      </c>
    </row>
    <row r="280" spans="1:5" x14ac:dyDescent="0.25">
      <c r="A280" s="34">
        <v>281</v>
      </c>
      <c r="B280" s="9" t="s">
        <v>114</v>
      </c>
      <c r="C280" s="48">
        <v>0</v>
      </c>
      <c r="D280" s="49">
        <v>900</v>
      </c>
      <c r="E280" s="49">
        <f t="shared" si="6"/>
        <v>0</v>
      </c>
    </row>
    <row r="281" spans="1:5" x14ac:dyDescent="0.25">
      <c r="A281" s="34">
        <v>282</v>
      </c>
      <c r="B281" s="9" t="s">
        <v>113</v>
      </c>
      <c r="C281" s="48">
        <v>0</v>
      </c>
      <c r="D281" s="49">
        <v>400</v>
      </c>
      <c r="E281" s="49">
        <f t="shared" si="6"/>
        <v>0</v>
      </c>
    </row>
    <row r="282" spans="1:5" x14ac:dyDescent="0.25">
      <c r="A282" s="34">
        <v>283</v>
      </c>
      <c r="B282" s="9" t="s">
        <v>112</v>
      </c>
      <c r="C282" s="48">
        <v>0</v>
      </c>
      <c r="D282" s="49">
        <v>66</v>
      </c>
      <c r="E282" s="49">
        <f t="shared" si="6"/>
        <v>0</v>
      </c>
    </row>
    <row r="283" spans="1:5" x14ac:dyDescent="0.25">
      <c r="A283" s="34">
        <v>284</v>
      </c>
      <c r="B283" s="9" t="s">
        <v>111</v>
      </c>
      <c r="C283" s="48">
        <v>0</v>
      </c>
      <c r="D283" s="49">
        <v>55</v>
      </c>
      <c r="E283" s="49">
        <f t="shared" si="6"/>
        <v>0</v>
      </c>
    </row>
    <row r="284" spans="1:5" x14ac:dyDescent="0.25">
      <c r="A284" s="34">
        <v>285</v>
      </c>
      <c r="B284" s="9" t="s">
        <v>110</v>
      </c>
      <c r="C284" s="48">
        <f>34.4+148.2</f>
        <v>182.6</v>
      </c>
      <c r="D284" s="49">
        <v>68</v>
      </c>
      <c r="E284" s="49">
        <f t="shared" si="6"/>
        <v>12416.8</v>
      </c>
    </row>
    <row r="285" spans="1:5" x14ac:dyDescent="0.25">
      <c r="A285" s="34">
        <v>286</v>
      </c>
      <c r="B285" s="9" t="s">
        <v>276</v>
      </c>
      <c r="C285" s="48">
        <v>0</v>
      </c>
      <c r="D285" s="49">
        <v>80</v>
      </c>
      <c r="E285" s="49">
        <f t="shared" si="6"/>
        <v>0</v>
      </c>
    </row>
    <row r="286" spans="1:5" x14ac:dyDescent="0.25">
      <c r="A286" s="34">
        <v>287</v>
      </c>
      <c r="B286" s="9" t="s">
        <v>277</v>
      </c>
      <c r="C286" s="48">
        <v>10</v>
      </c>
      <c r="D286" s="49">
        <v>46</v>
      </c>
      <c r="E286" s="49">
        <f t="shared" si="6"/>
        <v>460</v>
      </c>
    </row>
    <row r="287" spans="1:5" x14ac:dyDescent="0.25">
      <c r="A287" s="34">
        <v>288</v>
      </c>
      <c r="B287" s="9" t="s">
        <v>278</v>
      </c>
      <c r="C287" s="48">
        <v>20</v>
      </c>
      <c r="D287" s="49">
        <v>110</v>
      </c>
      <c r="E287" s="49">
        <f t="shared" si="6"/>
        <v>2200</v>
      </c>
    </row>
    <row r="288" spans="1:5" x14ac:dyDescent="0.25">
      <c r="A288" s="34">
        <v>289</v>
      </c>
      <c r="B288" s="9" t="s">
        <v>280</v>
      </c>
      <c r="C288" s="48">
        <v>11</v>
      </c>
      <c r="D288" s="49">
        <v>80</v>
      </c>
      <c r="E288" s="49">
        <f t="shared" si="6"/>
        <v>880</v>
      </c>
    </row>
    <row r="289" spans="1:5" x14ac:dyDescent="0.25">
      <c r="A289" s="34">
        <v>290</v>
      </c>
      <c r="B289" s="9" t="s">
        <v>282</v>
      </c>
      <c r="C289" s="48">
        <v>0.42</v>
      </c>
      <c r="D289" s="49">
        <v>980</v>
      </c>
      <c r="E289" s="49">
        <f t="shared" si="6"/>
        <v>411.59999999999997</v>
      </c>
    </row>
    <row r="290" spans="1:5" x14ac:dyDescent="0.25">
      <c r="A290" s="34">
        <v>291</v>
      </c>
      <c r="B290" s="9" t="s">
        <v>283</v>
      </c>
      <c r="C290" s="48">
        <v>0.32</v>
      </c>
      <c r="D290" s="49">
        <v>450</v>
      </c>
      <c r="E290" s="49">
        <f t="shared" si="6"/>
        <v>144</v>
      </c>
    </row>
    <row r="291" spans="1:5" x14ac:dyDescent="0.25">
      <c r="A291" s="34">
        <v>292</v>
      </c>
      <c r="B291" s="9" t="s">
        <v>284</v>
      </c>
      <c r="C291" s="48">
        <v>10</v>
      </c>
      <c r="D291" s="49">
        <v>85</v>
      </c>
      <c r="E291" s="49">
        <f t="shared" si="6"/>
        <v>850</v>
      </c>
    </row>
    <row r="292" spans="1:5" x14ac:dyDescent="0.25">
      <c r="A292" s="34">
        <v>293</v>
      </c>
      <c r="B292" s="9" t="s">
        <v>285</v>
      </c>
      <c r="C292" s="48">
        <v>3</v>
      </c>
      <c r="D292" s="49">
        <v>61</v>
      </c>
      <c r="E292" s="49">
        <f t="shared" si="6"/>
        <v>183</v>
      </c>
    </row>
    <row r="293" spans="1:5" x14ac:dyDescent="0.25">
      <c r="A293" s="34">
        <v>294</v>
      </c>
      <c r="B293" s="9" t="s">
        <v>287</v>
      </c>
      <c r="C293" s="48">
        <v>5</v>
      </c>
      <c r="D293" s="49">
        <v>79</v>
      </c>
      <c r="E293" s="49">
        <f t="shared" si="6"/>
        <v>395</v>
      </c>
    </row>
    <row r="294" spans="1:5" x14ac:dyDescent="0.25">
      <c r="A294" s="34">
        <v>295</v>
      </c>
      <c r="B294" s="9" t="s">
        <v>288</v>
      </c>
      <c r="C294" s="48">
        <v>3</v>
      </c>
      <c r="D294" s="49">
        <v>60</v>
      </c>
      <c r="E294" s="49">
        <f t="shared" si="6"/>
        <v>180</v>
      </c>
    </row>
    <row r="295" spans="1:5" x14ac:dyDescent="0.25">
      <c r="A295" s="34">
        <v>296</v>
      </c>
      <c r="B295" s="43" t="s">
        <v>289</v>
      </c>
      <c r="C295" s="48">
        <v>0</v>
      </c>
      <c r="D295" s="49">
        <v>90</v>
      </c>
      <c r="E295" s="49">
        <f t="shared" si="6"/>
        <v>0</v>
      </c>
    </row>
    <row r="296" spans="1:5" x14ac:dyDescent="0.25">
      <c r="A296" s="34">
        <v>297</v>
      </c>
      <c r="B296" s="9" t="s">
        <v>291</v>
      </c>
      <c r="C296" s="48">
        <f>6.18+0.52+40.8</f>
        <v>47.5</v>
      </c>
      <c r="D296" s="49">
        <v>44</v>
      </c>
      <c r="E296" s="49">
        <f t="shared" si="6"/>
        <v>2090</v>
      </c>
    </row>
    <row r="297" spans="1:5" x14ac:dyDescent="0.25">
      <c r="A297" s="34">
        <v>298</v>
      </c>
      <c r="B297" s="9" t="s">
        <v>292</v>
      </c>
      <c r="C297" s="48">
        <v>18.2</v>
      </c>
      <c r="D297" s="49">
        <v>400</v>
      </c>
      <c r="E297" s="49">
        <f t="shared" si="6"/>
        <v>7280</v>
      </c>
    </row>
    <row r="298" spans="1:5" x14ac:dyDescent="0.25">
      <c r="A298" s="34">
        <v>299</v>
      </c>
      <c r="B298" s="9" t="s">
        <v>293</v>
      </c>
      <c r="C298" s="48">
        <v>27</v>
      </c>
      <c r="D298" s="49">
        <v>530</v>
      </c>
      <c r="E298" s="49">
        <f t="shared" si="6"/>
        <v>14310</v>
      </c>
    </row>
    <row r="299" spans="1:5" x14ac:dyDescent="0.25">
      <c r="A299" s="34">
        <v>300</v>
      </c>
      <c r="B299" s="9" t="s">
        <v>294</v>
      </c>
      <c r="C299" s="48">
        <v>54</v>
      </c>
      <c r="D299" s="49">
        <v>565</v>
      </c>
      <c r="E299" s="49">
        <f t="shared" si="6"/>
        <v>30510</v>
      </c>
    </row>
    <row r="300" spans="1:5" x14ac:dyDescent="0.25">
      <c r="A300" s="34">
        <v>301</v>
      </c>
      <c r="B300" s="9" t="s">
        <v>295</v>
      </c>
      <c r="C300" s="48">
        <v>28.6</v>
      </c>
      <c r="D300" s="49">
        <v>460</v>
      </c>
      <c r="E300" s="49">
        <f t="shared" si="6"/>
        <v>13156</v>
      </c>
    </row>
    <row r="301" spans="1:5" x14ac:dyDescent="0.25">
      <c r="A301" s="34">
        <v>302</v>
      </c>
      <c r="B301" s="9" t="s">
        <v>296</v>
      </c>
      <c r="C301" s="48">
        <v>36.4</v>
      </c>
      <c r="D301" s="49">
        <v>490</v>
      </c>
      <c r="E301" s="49">
        <f t="shared" si="6"/>
        <v>17836</v>
      </c>
    </row>
    <row r="302" spans="1:5" x14ac:dyDescent="0.25">
      <c r="A302" s="34">
        <v>303</v>
      </c>
      <c r="B302" s="9" t="s">
        <v>297</v>
      </c>
      <c r="C302" s="48">
        <v>18.2</v>
      </c>
      <c r="D302" s="49">
        <v>400</v>
      </c>
      <c r="E302" s="49">
        <f t="shared" si="6"/>
        <v>7280</v>
      </c>
    </row>
    <row r="303" spans="1:5" x14ac:dyDescent="0.25">
      <c r="A303" s="34">
        <v>304</v>
      </c>
      <c r="B303" s="9" t="s">
        <v>298</v>
      </c>
      <c r="C303" s="48">
        <v>0</v>
      </c>
      <c r="D303" s="49">
        <v>390</v>
      </c>
      <c r="E303" s="49">
        <f t="shared" si="6"/>
        <v>0</v>
      </c>
    </row>
    <row r="304" spans="1:5" x14ac:dyDescent="0.25">
      <c r="A304" s="34">
        <v>305</v>
      </c>
      <c r="B304" s="9" t="s">
        <v>299</v>
      </c>
      <c r="C304" s="48">
        <f>0.36+12.67</f>
        <v>13.03</v>
      </c>
      <c r="D304" s="49">
        <v>82</v>
      </c>
      <c r="E304" s="49">
        <f t="shared" si="6"/>
        <v>1068.46</v>
      </c>
    </row>
    <row r="305" spans="1:9" x14ac:dyDescent="0.25">
      <c r="A305" s="34">
        <v>306</v>
      </c>
      <c r="B305" s="9" t="s">
        <v>300</v>
      </c>
      <c r="C305" s="48">
        <f>0.907+0.907</f>
        <v>1.8140000000000001</v>
      </c>
      <c r="D305" s="49">
        <v>212</v>
      </c>
      <c r="E305" s="49">
        <f t="shared" si="6"/>
        <v>384.56799999999998</v>
      </c>
    </row>
    <row r="306" spans="1:9" x14ac:dyDescent="0.25">
      <c r="A306" s="34">
        <v>307</v>
      </c>
      <c r="B306" s="9" t="s">
        <v>301</v>
      </c>
      <c r="C306" s="48">
        <f>107.9+84.1+27.4</f>
        <v>219.4</v>
      </c>
      <c r="D306" s="49">
        <v>116</v>
      </c>
      <c r="E306" s="49">
        <f t="shared" si="6"/>
        <v>25450.400000000001</v>
      </c>
    </row>
    <row r="307" spans="1:9" x14ac:dyDescent="0.25">
      <c r="A307" s="34">
        <v>308</v>
      </c>
      <c r="B307" s="9" t="s">
        <v>302</v>
      </c>
      <c r="C307" s="48">
        <f>0.98+16.7</f>
        <v>17.68</v>
      </c>
      <c r="D307" s="49">
        <v>210</v>
      </c>
      <c r="E307" s="49">
        <f t="shared" si="6"/>
        <v>3712.7999999999997</v>
      </c>
    </row>
    <row r="308" spans="1:9" ht="15.75" thickBot="1" x14ac:dyDescent="0.3">
      <c r="A308" s="32"/>
      <c r="B308" s="22" t="s">
        <v>17</v>
      </c>
      <c r="C308" s="15">
        <f>SUM(C270:C307)</f>
        <v>1211.2840000000001</v>
      </c>
      <c r="D308" s="38"/>
      <c r="E308" s="36">
        <f>SUM(E265:E307)</f>
        <v>273210.95799999998</v>
      </c>
    </row>
    <row r="309" spans="1:9" ht="31.5" customHeight="1" thickBot="1" x14ac:dyDescent="0.3">
      <c r="A309" s="33"/>
      <c r="B309" s="19" t="s">
        <v>1</v>
      </c>
      <c r="C309" s="57" t="s">
        <v>2</v>
      </c>
      <c r="D309" s="57" t="s">
        <v>3</v>
      </c>
      <c r="E309" s="58" t="s">
        <v>4</v>
      </c>
    </row>
    <row r="310" spans="1:9" x14ac:dyDescent="0.25">
      <c r="A310" s="34">
        <v>309</v>
      </c>
      <c r="B310" s="9" t="s">
        <v>303</v>
      </c>
      <c r="C310" s="48">
        <v>0</v>
      </c>
      <c r="D310" s="49">
        <v>65</v>
      </c>
      <c r="E310" s="49">
        <f>C310*D310</f>
        <v>0</v>
      </c>
      <c r="G310" s="66">
        <v>0</v>
      </c>
      <c r="H310" s="67">
        <v>65</v>
      </c>
      <c r="I310" s="67">
        <f>G310*H310</f>
        <v>0</v>
      </c>
    </row>
    <row r="311" spans="1:9" x14ac:dyDescent="0.25">
      <c r="A311" s="34">
        <v>310</v>
      </c>
      <c r="B311" s="9" t="s">
        <v>304</v>
      </c>
      <c r="C311" s="48">
        <v>46</v>
      </c>
      <c r="D311" s="49">
        <v>110</v>
      </c>
      <c r="E311" s="49">
        <f t="shared" si="6"/>
        <v>5060</v>
      </c>
      <c r="G311" s="66">
        <v>46</v>
      </c>
      <c r="H311" s="67">
        <v>110</v>
      </c>
      <c r="I311" s="67">
        <f t="shared" ref="I311:I334" si="7">G311*H311</f>
        <v>5060</v>
      </c>
    </row>
    <row r="312" spans="1:9" x14ac:dyDescent="0.25">
      <c r="A312" s="34">
        <v>311</v>
      </c>
      <c r="B312" s="9" t="s">
        <v>305</v>
      </c>
      <c r="C312" s="48">
        <v>0</v>
      </c>
      <c r="D312" s="49">
        <v>140</v>
      </c>
      <c r="E312" s="49">
        <f t="shared" si="6"/>
        <v>0</v>
      </c>
      <c r="G312" s="66">
        <v>0</v>
      </c>
      <c r="H312" s="67">
        <v>140</v>
      </c>
      <c r="I312" s="67">
        <f t="shared" si="7"/>
        <v>0</v>
      </c>
    </row>
    <row r="313" spans="1:9" x14ac:dyDescent="0.25">
      <c r="A313" s="34">
        <v>312</v>
      </c>
      <c r="B313" s="9" t="s">
        <v>306</v>
      </c>
      <c r="C313" s="48">
        <v>2.94</v>
      </c>
      <c r="D313" s="49">
        <v>775</v>
      </c>
      <c r="E313" s="49">
        <f t="shared" si="6"/>
        <v>2278.5</v>
      </c>
      <c r="G313" s="66">
        <v>2.94</v>
      </c>
      <c r="H313" s="67">
        <v>775</v>
      </c>
      <c r="I313" s="67">
        <f t="shared" si="7"/>
        <v>2278.5</v>
      </c>
    </row>
    <row r="314" spans="1:9" x14ac:dyDescent="0.25">
      <c r="A314" s="34">
        <v>313</v>
      </c>
      <c r="B314" s="9" t="s">
        <v>307</v>
      </c>
      <c r="C314" s="48">
        <v>0</v>
      </c>
      <c r="D314" s="49">
        <v>390</v>
      </c>
      <c r="E314" s="49">
        <f t="shared" si="6"/>
        <v>0</v>
      </c>
      <c r="G314" s="66">
        <v>0</v>
      </c>
      <c r="H314" s="67">
        <v>390</v>
      </c>
      <c r="I314" s="67">
        <f t="shared" si="7"/>
        <v>0</v>
      </c>
    </row>
    <row r="315" spans="1:9" x14ac:dyDescent="0.25">
      <c r="A315" s="34">
        <v>314</v>
      </c>
      <c r="B315" s="9" t="s">
        <v>308</v>
      </c>
      <c r="C315" s="48">
        <v>40.86</v>
      </c>
      <c r="D315" s="49">
        <v>50</v>
      </c>
      <c r="E315" s="49">
        <f t="shared" si="6"/>
        <v>2043</v>
      </c>
      <c r="G315" s="66">
        <v>40.86</v>
      </c>
      <c r="H315" s="67">
        <v>50</v>
      </c>
      <c r="I315" s="67">
        <f t="shared" si="7"/>
        <v>2043</v>
      </c>
    </row>
    <row r="316" spans="1:9" x14ac:dyDescent="0.25">
      <c r="A316" s="34">
        <v>315</v>
      </c>
      <c r="B316" s="9" t="s">
        <v>309</v>
      </c>
      <c r="C316" s="48">
        <f>3.08+6</f>
        <v>9.08</v>
      </c>
      <c r="D316" s="49">
        <v>64</v>
      </c>
      <c r="E316" s="49">
        <f t="shared" si="6"/>
        <v>581.12</v>
      </c>
      <c r="G316" s="66">
        <f>3.08+6</f>
        <v>9.08</v>
      </c>
      <c r="H316" s="67">
        <v>64</v>
      </c>
      <c r="I316" s="67">
        <f t="shared" si="7"/>
        <v>581.12</v>
      </c>
    </row>
    <row r="317" spans="1:9" x14ac:dyDescent="0.25">
      <c r="A317" s="34">
        <v>316</v>
      </c>
      <c r="B317" s="9" t="s">
        <v>310</v>
      </c>
      <c r="C317" s="48">
        <f>1.66+4.52</f>
        <v>6.18</v>
      </c>
      <c r="D317" s="49">
        <v>170</v>
      </c>
      <c r="E317" s="49">
        <f t="shared" si="6"/>
        <v>1050.5999999999999</v>
      </c>
      <c r="G317" s="66">
        <f>1.66+4.52</f>
        <v>6.18</v>
      </c>
      <c r="H317" s="67">
        <v>170</v>
      </c>
      <c r="I317" s="67">
        <f t="shared" si="7"/>
        <v>1050.5999999999999</v>
      </c>
    </row>
    <row r="318" spans="1:9" x14ac:dyDescent="0.25">
      <c r="A318" s="34">
        <v>317</v>
      </c>
      <c r="B318" s="9" t="s">
        <v>311</v>
      </c>
      <c r="C318" s="48">
        <v>0</v>
      </c>
      <c r="D318" s="49">
        <v>44</v>
      </c>
      <c r="E318" s="49">
        <f t="shared" si="6"/>
        <v>0</v>
      </c>
      <c r="G318" s="66">
        <v>0</v>
      </c>
      <c r="H318" s="67">
        <v>44</v>
      </c>
      <c r="I318" s="67">
        <f t="shared" si="7"/>
        <v>0</v>
      </c>
    </row>
    <row r="319" spans="1:9" x14ac:dyDescent="0.25">
      <c r="A319" s="34">
        <v>318</v>
      </c>
      <c r="B319" s="9" t="s">
        <v>313</v>
      </c>
      <c r="C319" s="48">
        <f>2.85+1.56</f>
        <v>4.41</v>
      </c>
      <c r="D319" s="49">
        <v>195</v>
      </c>
      <c r="E319" s="49">
        <f t="shared" si="6"/>
        <v>859.95</v>
      </c>
      <c r="G319" s="66">
        <f>2.85+1.56</f>
        <v>4.41</v>
      </c>
      <c r="H319" s="67">
        <v>195</v>
      </c>
      <c r="I319" s="67">
        <f t="shared" si="7"/>
        <v>859.95</v>
      </c>
    </row>
    <row r="320" spans="1:9" x14ac:dyDescent="0.25">
      <c r="A320" s="34">
        <v>319</v>
      </c>
      <c r="B320" s="9" t="s">
        <v>314</v>
      </c>
      <c r="C320" s="48">
        <f>85+60+60+60</f>
        <v>265</v>
      </c>
      <c r="D320" s="49">
        <v>5</v>
      </c>
      <c r="E320" s="49">
        <f t="shared" si="6"/>
        <v>1325</v>
      </c>
      <c r="G320" s="66">
        <f>85+60+60+60</f>
        <v>265</v>
      </c>
      <c r="H320" s="67">
        <v>5</v>
      </c>
      <c r="I320" s="67">
        <f t="shared" si="7"/>
        <v>1325</v>
      </c>
    </row>
    <row r="321" spans="1:9" x14ac:dyDescent="0.25">
      <c r="A321" s="34">
        <v>320</v>
      </c>
      <c r="B321" s="9" t="s">
        <v>315</v>
      </c>
      <c r="C321" s="48">
        <f>1.814+1.814</f>
        <v>3.6280000000000001</v>
      </c>
      <c r="D321" s="49">
        <v>242</v>
      </c>
      <c r="E321" s="49">
        <f t="shared" si="6"/>
        <v>877.976</v>
      </c>
      <c r="G321" s="66">
        <f>1.814+1.814</f>
        <v>3.6280000000000001</v>
      </c>
      <c r="H321" s="67">
        <v>242</v>
      </c>
      <c r="I321" s="67">
        <f t="shared" si="7"/>
        <v>877.976</v>
      </c>
    </row>
    <row r="322" spans="1:9" x14ac:dyDescent="0.25">
      <c r="A322" s="34">
        <v>321</v>
      </c>
      <c r="B322" s="9" t="s">
        <v>316</v>
      </c>
      <c r="C322" s="48">
        <f>0.88+0.4+3.3</f>
        <v>4.58</v>
      </c>
      <c r="D322" s="49">
        <v>290</v>
      </c>
      <c r="E322" s="49">
        <f t="shared" si="6"/>
        <v>1328.2</v>
      </c>
      <c r="G322" s="66">
        <f>0.88+0.4+3.3</f>
        <v>4.58</v>
      </c>
      <c r="H322" s="67">
        <v>290</v>
      </c>
      <c r="I322" s="67">
        <f t="shared" si="7"/>
        <v>1328.2</v>
      </c>
    </row>
    <row r="323" spans="1:9" x14ac:dyDescent="0.25">
      <c r="A323" s="34">
        <v>322</v>
      </c>
      <c r="B323" s="9" t="s">
        <v>317</v>
      </c>
      <c r="C323" s="48">
        <v>8</v>
      </c>
      <c r="D323" s="49">
        <v>40</v>
      </c>
      <c r="E323" s="49">
        <f t="shared" si="6"/>
        <v>320</v>
      </c>
      <c r="G323" s="66">
        <v>8</v>
      </c>
      <c r="H323" s="67">
        <v>40</v>
      </c>
      <c r="I323" s="67">
        <f t="shared" si="7"/>
        <v>320</v>
      </c>
    </row>
    <row r="324" spans="1:9" x14ac:dyDescent="0.25">
      <c r="A324" s="34">
        <v>323</v>
      </c>
      <c r="B324" s="9" t="s">
        <v>318</v>
      </c>
      <c r="C324" s="48">
        <v>6</v>
      </c>
      <c r="D324" s="49">
        <v>70</v>
      </c>
      <c r="E324" s="49">
        <f t="shared" si="6"/>
        <v>420</v>
      </c>
      <c r="G324" s="66">
        <v>6</v>
      </c>
      <c r="H324" s="67">
        <v>70</v>
      </c>
      <c r="I324" s="67">
        <f t="shared" si="7"/>
        <v>420</v>
      </c>
    </row>
    <row r="325" spans="1:9" ht="18" customHeight="1" x14ac:dyDescent="0.25">
      <c r="A325" s="34">
        <v>324</v>
      </c>
      <c r="B325" s="9" t="s">
        <v>319</v>
      </c>
      <c r="C325" s="48">
        <f>4.66+4.74</f>
        <v>9.4</v>
      </c>
      <c r="D325" s="49">
        <v>400</v>
      </c>
      <c r="E325" s="49">
        <f t="shared" si="6"/>
        <v>3760</v>
      </c>
      <c r="G325" s="66">
        <f>4.66+4.74</f>
        <v>9.4</v>
      </c>
      <c r="H325" s="67">
        <v>400</v>
      </c>
      <c r="I325" s="67">
        <f t="shared" si="7"/>
        <v>3760</v>
      </c>
    </row>
    <row r="326" spans="1:9" ht="18" customHeight="1" x14ac:dyDescent="0.25">
      <c r="A326" s="34">
        <v>325</v>
      </c>
      <c r="B326" s="9" t="s">
        <v>320</v>
      </c>
      <c r="C326" s="48">
        <v>110</v>
      </c>
      <c r="D326" s="49">
        <v>360</v>
      </c>
      <c r="E326" s="49">
        <f t="shared" si="6"/>
        <v>39600</v>
      </c>
      <c r="G326" s="66">
        <v>110</v>
      </c>
      <c r="H326" s="67">
        <v>360</v>
      </c>
      <c r="I326" s="67">
        <f t="shared" si="7"/>
        <v>39600</v>
      </c>
    </row>
    <row r="327" spans="1:9" ht="18" customHeight="1" x14ac:dyDescent="0.25">
      <c r="A327" s="34">
        <v>326</v>
      </c>
      <c r="B327" s="9" t="s">
        <v>321</v>
      </c>
      <c r="C327" s="48">
        <v>2.4</v>
      </c>
      <c r="D327" s="49">
        <v>235</v>
      </c>
      <c r="E327" s="49">
        <f t="shared" si="6"/>
        <v>564</v>
      </c>
      <c r="G327" s="66">
        <v>2.4</v>
      </c>
      <c r="H327" s="67">
        <v>235</v>
      </c>
      <c r="I327" s="67">
        <f t="shared" si="7"/>
        <v>564</v>
      </c>
    </row>
    <row r="328" spans="1:9" ht="18" customHeight="1" x14ac:dyDescent="0.25">
      <c r="A328" s="34">
        <v>327</v>
      </c>
      <c r="B328" s="9" t="s">
        <v>170</v>
      </c>
      <c r="C328" s="48">
        <v>1279</v>
      </c>
      <c r="D328" s="49">
        <v>114</v>
      </c>
      <c r="E328" s="49">
        <f t="shared" si="6"/>
        <v>145806</v>
      </c>
      <c r="G328" s="66">
        <v>1279</v>
      </c>
      <c r="H328" s="67">
        <v>114</v>
      </c>
      <c r="I328" s="67">
        <f t="shared" si="7"/>
        <v>145806</v>
      </c>
    </row>
    <row r="329" spans="1:9" ht="18" customHeight="1" x14ac:dyDescent="0.25">
      <c r="A329" s="34">
        <v>328</v>
      </c>
      <c r="B329" s="9" t="s">
        <v>322</v>
      </c>
      <c r="C329" s="48">
        <f>103.3+119.4+91.1+122.4+92.1</f>
        <v>528.29999999999995</v>
      </c>
      <c r="D329" s="49">
        <v>116</v>
      </c>
      <c r="E329" s="49">
        <f t="shared" si="6"/>
        <v>61282.799999999996</v>
      </c>
      <c r="G329" s="66">
        <f>103.3+119.4+91.1+122.4+92.1</f>
        <v>528.29999999999995</v>
      </c>
      <c r="H329" s="67">
        <v>116</v>
      </c>
      <c r="I329" s="67">
        <f t="shared" si="7"/>
        <v>61282.799999999996</v>
      </c>
    </row>
    <row r="330" spans="1:9" ht="18" customHeight="1" x14ac:dyDescent="0.25">
      <c r="A330" s="34">
        <v>329</v>
      </c>
      <c r="B330" s="9" t="s">
        <v>323</v>
      </c>
      <c r="C330" s="48">
        <f>8.3+40.9</f>
        <v>49.2</v>
      </c>
      <c r="D330" s="49">
        <v>450</v>
      </c>
      <c r="E330" s="49">
        <f t="shared" ref="E330:G334" si="8">C330*D330</f>
        <v>22140</v>
      </c>
      <c r="G330" s="66">
        <f>8.3+40.9</f>
        <v>49.2</v>
      </c>
      <c r="H330" s="67">
        <v>450</v>
      </c>
      <c r="I330" s="67">
        <f t="shared" si="7"/>
        <v>22140</v>
      </c>
    </row>
    <row r="331" spans="1:9" ht="18" customHeight="1" x14ac:dyDescent="0.25">
      <c r="A331" s="34">
        <v>330</v>
      </c>
      <c r="B331" s="9" t="s">
        <v>325</v>
      </c>
      <c r="C331" s="48">
        <v>52.4</v>
      </c>
      <c r="D331" s="49">
        <v>116</v>
      </c>
      <c r="E331" s="49">
        <f t="shared" si="8"/>
        <v>6078.4</v>
      </c>
      <c r="G331" s="66">
        <v>52.4</v>
      </c>
      <c r="H331" s="67">
        <v>116</v>
      </c>
      <c r="I331" s="67">
        <f t="shared" si="7"/>
        <v>6078.4</v>
      </c>
    </row>
    <row r="332" spans="1:9" ht="18" customHeight="1" x14ac:dyDescent="0.25">
      <c r="A332" s="34">
        <v>331</v>
      </c>
      <c r="B332" s="9" t="s">
        <v>326</v>
      </c>
      <c r="C332" s="48">
        <f>94.5+2.8</f>
        <v>97.3</v>
      </c>
      <c r="D332" s="49">
        <v>3</v>
      </c>
      <c r="E332" s="49">
        <f t="shared" si="8"/>
        <v>291.89999999999998</v>
      </c>
      <c r="G332" s="66">
        <f>94.5+2.8</f>
        <v>97.3</v>
      </c>
      <c r="H332" s="67">
        <v>3</v>
      </c>
      <c r="I332" s="67">
        <f t="shared" si="7"/>
        <v>291.89999999999998</v>
      </c>
    </row>
    <row r="333" spans="1:9" ht="18" customHeight="1" x14ac:dyDescent="0.25">
      <c r="A333" s="34">
        <v>332</v>
      </c>
      <c r="B333" s="9" t="s">
        <v>327</v>
      </c>
      <c r="C333" s="48">
        <v>136.9</v>
      </c>
      <c r="D333" s="49">
        <v>110</v>
      </c>
      <c r="E333" s="49">
        <f t="shared" si="8"/>
        <v>15059</v>
      </c>
      <c r="G333" s="66">
        <v>136.9</v>
      </c>
      <c r="H333" s="67">
        <v>110</v>
      </c>
      <c r="I333" s="67">
        <f t="shared" si="7"/>
        <v>15059</v>
      </c>
    </row>
    <row r="334" spans="1:9" ht="18" customHeight="1" x14ac:dyDescent="0.25">
      <c r="A334" s="34">
        <v>333</v>
      </c>
      <c r="B334" s="9" t="s">
        <v>328</v>
      </c>
      <c r="C334" s="48">
        <v>5.3</v>
      </c>
      <c r="D334" s="49">
        <v>50</v>
      </c>
      <c r="E334" s="49">
        <f t="shared" si="8"/>
        <v>265</v>
      </c>
      <c r="G334" s="66">
        <v>5.3</v>
      </c>
      <c r="H334" s="67">
        <v>50</v>
      </c>
      <c r="I334" s="67">
        <f t="shared" si="7"/>
        <v>265</v>
      </c>
    </row>
    <row r="335" spans="1:9" ht="17.25" customHeight="1" x14ac:dyDescent="0.3">
      <c r="A335" s="26"/>
      <c r="B335" s="22" t="s">
        <v>17</v>
      </c>
      <c r="C335" s="54">
        <f>SUM(C251:C284)</f>
        <v>1886.5729999999999</v>
      </c>
      <c r="D335" s="55"/>
      <c r="E335" s="55">
        <f>SUM(E310:E319)</f>
        <v>11873.170000000002</v>
      </c>
      <c r="I335" s="61">
        <f>SUM(I310:I334)</f>
        <v>310991.44600000005</v>
      </c>
    </row>
    <row r="336" spans="1:9" ht="19.5" thickBot="1" x14ac:dyDescent="0.35">
      <c r="E336" s="55"/>
    </row>
    <row r="337" spans="1:8" ht="23.25" x14ac:dyDescent="0.35">
      <c r="B337" s="3" t="s">
        <v>270</v>
      </c>
      <c r="C337" s="42">
        <f>C335+C308+C223+C179+C89+C44</f>
        <v>24372.597999999998</v>
      </c>
      <c r="D337" s="56" t="s">
        <v>271</v>
      </c>
      <c r="E337" s="55">
        <f>E335+E308+E263+E223+E134+E44</f>
        <v>951437.90000000014</v>
      </c>
      <c r="G337" s="68">
        <f>E308+E223+E179+E134+E89+E44+I335+I263</f>
        <v>2112071.9179999996</v>
      </c>
      <c r="H337" s="69"/>
    </row>
    <row r="338" spans="1:8" x14ac:dyDescent="0.25">
      <c r="G338" s="70" t="s">
        <v>329</v>
      </c>
      <c r="H338" s="71"/>
    </row>
    <row r="339" spans="1:8" ht="15.75" thickBot="1" x14ac:dyDescent="0.3">
      <c r="A339" s="8">
        <v>289</v>
      </c>
      <c r="B339" s="9" t="s">
        <v>117</v>
      </c>
      <c r="C339" s="48">
        <v>684</v>
      </c>
      <c r="D339" s="48">
        <v>1E-3</v>
      </c>
      <c r="E339" s="48">
        <f t="shared" ref="E339" si="9">C339*D339</f>
        <v>0.68400000000000005</v>
      </c>
      <c r="G339" s="72"/>
      <c r="H339" s="73"/>
    </row>
  </sheetData>
  <mergeCells count="4">
    <mergeCell ref="A1:E1"/>
    <mergeCell ref="A2:E2"/>
    <mergeCell ref="G337:H337"/>
    <mergeCell ref="G338:H339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ENERO 02</vt:lpstr>
      <vt:lpstr>ABRIL 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SERVIDOR</dc:creator>
  <cp:lastModifiedBy>ROUSS</cp:lastModifiedBy>
  <cp:lastPrinted>2022-03-29T20:57:51Z</cp:lastPrinted>
  <dcterms:created xsi:type="dcterms:W3CDTF">2022-01-03T13:58:14Z</dcterms:created>
  <dcterms:modified xsi:type="dcterms:W3CDTF">2022-05-06T13:07:14Z</dcterms:modified>
</cp:coreProperties>
</file>