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r:id="rId12"/>
    <sheet name="FILETE    DE    CERDO  " sheetId="159" r:id="rId13"/>
    <sheet name="  B O L A          " sheetId="198" r:id="rId14"/>
    <sheet name="B U CH E      " sheetId="157" r:id="rId15"/>
    <sheet name="   TOP    S I R L O N       " sheetId="154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state="hidden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" i="38" l="1"/>
  <c r="Q14" i="38" l="1"/>
  <c r="Q12" i="38"/>
  <c r="Q11" i="38"/>
  <c r="Q10" i="38"/>
  <c r="Q9" i="38"/>
  <c r="Q6" i="38"/>
  <c r="Q5" i="38"/>
  <c r="Q19" i="38"/>
  <c r="Q39" i="209" l="1"/>
  <c r="P42" i="209" s="1"/>
  <c r="Q9" i="40"/>
  <c r="S9" i="40" s="1"/>
  <c r="L12" i="177"/>
  <c r="L13" i="177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L11" i="177"/>
  <c r="L10" i="177"/>
  <c r="P66" i="177"/>
  <c r="P65" i="177"/>
  <c r="P20" i="177"/>
  <c r="P19" i="177"/>
  <c r="P18" i="177"/>
  <c r="P17" i="177"/>
  <c r="P16" i="177"/>
  <c r="P15" i="177"/>
  <c r="P14" i="177"/>
  <c r="P13" i="177"/>
  <c r="P12" i="177"/>
  <c r="P11" i="177"/>
  <c r="P10" i="177"/>
  <c r="B11" i="197" l="1"/>
  <c r="B12" i="197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10" i="197"/>
  <c r="B9" i="197"/>
  <c r="I11" i="197"/>
  <c r="I12" i="197"/>
  <c r="I13" i="197" s="1"/>
  <c r="I14" i="197" s="1"/>
  <c r="I9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9" i="197"/>
  <c r="R6" i="197"/>
  <c r="T51" i="117" l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U51" i="117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Q51" i="117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69" i="117"/>
  <c r="D33" i="205"/>
  <c r="E34" i="205"/>
  <c r="E61" i="187"/>
  <c r="E59" i="187"/>
  <c r="D67" i="40" l="1"/>
  <c r="AB12" i="129" l="1"/>
  <c r="AB11" i="129"/>
  <c r="AB10" i="129"/>
  <c r="Q24" i="129" l="1"/>
  <c r="J51" i="117" l="1"/>
  <c r="J52" i="117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F51" i="117"/>
  <c r="I51" i="117" s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69" i="117"/>
  <c r="I52" i="117" l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F53" i="54"/>
  <c r="F54" i="54"/>
  <c r="F55" i="54"/>
  <c r="F57" i="54"/>
  <c r="F58" i="54"/>
  <c r="F59" i="54"/>
  <c r="F60" i="54"/>
  <c r="F61" i="54"/>
  <c r="F62" i="54"/>
  <c r="F63" i="54"/>
  <c r="F64" i="54"/>
  <c r="F65" i="54"/>
  <c r="F66" i="54"/>
  <c r="B53" i="54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67" i="54" s="1"/>
  <c r="I53" i="54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Q10" i="40" l="1"/>
  <c r="Q11" i="40"/>
  <c r="Q12" i="40"/>
  <c r="Q13" i="40"/>
  <c r="Q14" i="40"/>
  <c r="S14" i="40" s="1"/>
  <c r="X14" i="40" s="1"/>
  <c r="Q15" i="40"/>
  <c r="Q16" i="40"/>
  <c r="S16" i="40" s="1"/>
  <c r="X16" i="40" s="1"/>
  <c r="Q17" i="40"/>
  <c r="Q18" i="40"/>
  <c r="S18" i="40" s="1"/>
  <c r="X18" i="40" s="1"/>
  <c r="Q19" i="40"/>
  <c r="Q20" i="40"/>
  <c r="Q21" i="40"/>
  <c r="S21" i="40" s="1"/>
  <c r="X21" i="40" s="1"/>
  <c r="Q22" i="40"/>
  <c r="S22" i="40" s="1"/>
  <c r="X22" i="40" s="1"/>
  <c r="Q23" i="40"/>
  <c r="Q24" i="40"/>
  <c r="P115" i="40"/>
  <c r="R118" i="40" s="1"/>
  <c r="Q114" i="40"/>
  <c r="S114" i="40" s="1"/>
  <c r="X114" i="40" s="1"/>
  <c r="S113" i="40"/>
  <c r="X113" i="40" s="1"/>
  <c r="Q113" i="40"/>
  <c r="N113" i="40"/>
  <c r="S112" i="40"/>
  <c r="X112" i="40" s="1"/>
  <c r="Q112" i="40"/>
  <c r="Q111" i="40"/>
  <c r="S111" i="40" s="1"/>
  <c r="X111" i="40" s="1"/>
  <c r="S110" i="40"/>
  <c r="X110" i="40" s="1"/>
  <c r="Q110" i="40"/>
  <c r="S109" i="40"/>
  <c r="X109" i="40" s="1"/>
  <c r="Q109" i="40"/>
  <c r="S108" i="40"/>
  <c r="X108" i="40" s="1"/>
  <c r="Q108" i="40"/>
  <c r="X107" i="40"/>
  <c r="Q107" i="40"/>
  <c r="S107" i="40" s="1"/>
  <c r="S106" i="40"/>
  <c r="X106" i="40" s="1"/>
  <c r="Q106" i="40"/>
  <c r="S105" i="40"/>
  <c r="X105" i="40" s="1"/>
  <c r="Q105" i="40"/>
  <c r="S104" i="40"/>
  <c r="X104" i="40" s="1"/>
  <c r="Q104" i="40"/>
  <c r="Q103" i="40"/>
  <c r="S103" i="40" s="1"/>
  <c r="X103" i="40" s="1"/>
  <c r="S102" i="40"/>
  <c r="X102" i="40" s="1"/>
  <c r="Q102" i="40"/>
  <c r="S101" i="40"/>
  <c r="X101" i="40" s="1"/>
  <c r="Q101" i="40"/>
  <c r="S100" i="40"/>
  <c r="X100" i="40" s="1"/>
  <c r="Q100" i="40"/>
  <c r="X99" i="40"/>
  <c r="Q99" i="40"/>
  <c r="S99" i="40" s="1"/>
  <c r="S98" i="40"/>
  <c r="X98" i="40" s="1"/>
  <c r="Q98" i="40"/>
  <c r="S97" i="40"/>
  <c r="X97" i="40" s="1"/>
  <c r="Q97" i="40"/>
  <c r="S96" i="40"/>
  <c r="X96" i="40" s="1"/>
  <c r="Q96" i="40"/>
  <c r="Q95" i="40"/>
  <c r="S95" i="40" s="1"/>
  <c r="X95" i="40" s="1"/>
  <c r="S94" i="40"/>
  <c r="X94" i="40" s="1"/>
  <c r="Q94" i="40"/>
  <c r="S93" i="40"/>
  <c r="X93" i="40" s="1"/>
  <c r="Q93" i="40"/>
  <c r="S92" i="40"/>
  <c r="X92" i="40" s="1"/>
  <c r="Q92" i="40"/>
  <c r="X91" i="40"/>
  <c r="Q91" i="40"/>
  <c r="S91" i="40" s="1"/>
  <c r="S90" i="40"/>
  <c r="X90" i="40" s="1"/>
  <c r="Q90" i="40"/>
  <c r="S89" i="40"/>
  <c r="X89" i="40" s="1"/>
  <c r="Q89" i="40"/>
  <c r="S88" i="40"/>
  <c r="X88" i="40" s="1"/>
  <c r="Q88" i="40"/>
  <c r="Q87" i="40"/>
  <c r="S87" i="40" s="1"/>
  <c r="X87" i="40" s="1"/>
  <c r="S86" i="40"/>
  <c r="X86" i="40" s="1"/>
  <c r="Q86" i="40"/>
  <c r="S85" i="40"/>
  <c r="X85" i="40" s="1"/>
  <c r="Q85" i="40"/>
  <c r="S84" i="40"/>
  <c r="X84" i="40" s="1"/>
  <c r="Q84" i="40"/>
  <c r="X83" i="40"/>
  <c r="Q83" i="40"/>
  <c r="S83" i="40" s="1"/>
  <c r="S82" i="40"/>
  <c r="X82" i="40" s="1"/>
  <c r="Q82" i="40"/>
  <c r="S81" i="40"/>
  <c r="X81" i="40" s="1"/>
  <c r="Q81" i="40"/>
  <c r="S80" i="40"/>
  <c r="X80" i="40" s="1"/>
  <c r="Q80" i="40"/>
  <c r="Q79" i="40"/>
  <c r="S79" i="40" s="1"/>
  <c r="X79" i="40" s="1"/>
  <c r="S78" i="40"/>
  <c r="X78" i="40" s="1"/>
  <c r="Q78" i="40"/>
  <c r="S77" i="40"/>
  <c r="X77" i="40" s="1"/>
  <c r="Q77" i="40"/>
  <c r="S76" i="40"/>
  <c r="X76" i="40" s="1"/>
  <c r="Q76" i="40"/>
  <c r="X75" i="40"/>
  <c r="Q75" i="40"/>
  <c r="S75" i="40" s="1"/>
  <c r="S74" i="40"/>
  <c r="X74" i="40" s="1"/>
  <c r="Q74" i="40"/>
  <c r="S73" i="40"/>
  <c r="X73" i="40" s="1"/>
  <c r="Q73" i="40"/>
  <c r="S72" i="40"/>
  <c r="X72" i="40" s="1"/>
  <c r="Q72" i="40"/>
  <c r="Q71" i="40"/>
  <c r="S71" i="40" s="1"/>
  <c r="X71" i="40" s="1"/>
  <c r="S70" i="40"/>
  <c r="X70" i="40" s="1"/>
  <c r="Q70" i="40"/>
  <c r="S69" i="40"/>
  <c r="X69" i="40" s="1"/>
  <c r="Q69" i="40"/>
  <c r="S68" i="40"/>
  <c r="X68" i="40" s="1"/>
  <c r="Q68" i="40"/>
  <c r="X67" i="40"/>
  <c r="Q67" i="40"/>
  <c r="S67" i="40" s="1"/>
  <c r="X66" i="40"/>
  <c r="S66" i="40"/>
  <c r="Q66" i="40"/>
  <c r="S65" i="40"/>
  <c r="X65" i="40" s="1"/>
  <c r="Q65" i="40"/>
  <c r="S64" i="40"/>
  <c r="X64" i="40" s="1"/>
  <c r="Q64" i="40"/>
  <c r="Q63" i="40"/>
  <c r="S63" i="40" s="1"/>
  <c r="X63" i="40" s="1"/>
  <c r="Q62" i="40"/>
  <c r="S62" i="40" s="1"/>
  <c r="X62" i="40" s="1"/>
  <c r="S61" i="40"/>
  <c r="X61" i="40" s="1"/>
  <c r="Q61" i="40"/>
  <c r="S60" i="40"/>
  <c r="X60" i="40" s="1"/>
  <c r="Q60" i="40"/>
  <c r="Q59" i="40"/>
  <c r="S59" i="40" s="1"/>
  <c r="X59" i="40" s="1"/>
  <c r="Q58" i="40"/>
  <c r="S58" i="40" s="1"/>
  <c r="X58" i="40" s="1"/>
  <c r="S57" i="40"/>
  <c r="X57" i="40" s="1"/>
  <c r="Q57" i="40"/>
  <c r="S56" i="40"/>
  <c r="X56" i="40" s="1"/>
  <c r="Q56" i="40"/>
  <c r="X55" i="40"/>
  <c r="Q55" i="40"/>
  <c r="S55" i="40" s="1"/>
  <c r="S54" i="40"/>
  <c r="X54" i="40" s="1"/>
  <c r="Q54" i="40"/>
  <c r="S53" i="40"/>
  <c r="X53" i="40" s="1"/>
  <c r="Q53" i="40"/>
  <c r="S52" i="40"/>
  <c r="X52" i="40" s="1"/>
  <c r="Q52" i="40"/>
  <c r="X51" i="40"/>
  <c r="Q51" i="40"/>
  <c r="S51" i="40" s="1"/>
  <c r="X50" i="40"/>
  <c r="S50" i="40"/>
  <c r="Q50" i="40"/>
  <c r="S49" i="40"/>
  <c r="X49" i="40" s="1"/>
  <c r="Q49" i="40"/>
  <c r="S48" i="40"/>
  <c r="X48" i="40" s="1"/>
  <c r="Q48" i="40"/>
  <c r="Q47" i="40"/>
  <c r="S47" i="40" s="1"/>
  <c r="X47" i="40" s="1"/>
  <c r="Q46" i="40"/>
  <c r="S46" i="40" s="1"/>
  <c r="X46" i="40" s="1"/>
  <c r="Q45" i="40"/>
  <c r="S45" i="40" s="1"/>
  <c r="X45" i="40" s="1"/>
  <c r="S44" i="40"/>
  <c r="X44" i="40" s="1"/>
  <c r="Q44" i="40"/>
  <c r="X43" i="40"/>
  <c r="Q43" i="40"/>
  <c r="S43" i="40" s="1"/>
  <c r="Q42" i="40"/>
  <c r="S42" i="40" s="1"/>
  <c r="X42" i="40" s="1"/>
  <c r="Q41" i="40"/>
  <c r="S41" i="40" s="1"/>
  <c r="X41" i="40" s="1"/>
  <c r="S40" i="40"/>
  <c r="X40" i="40" s="1"/>
  <c r="Q40" i="40"/>
  <c r="X39" i="40"/>
  <c r="Q39" i="40"/>
  <c r="S39" i="40" s="1"/>
  <c r="Q38" i="40"/>
  <c r="S38" i="40" s="1"/>
  <c r="X38" i="40" s="1"/>
  <c r="X37" i="40"/>
  <c r="Q37" i="40"/>
  <c r="S37" i="40" s="1"/>
  <c r="Q36" i="40"/>
  <c r="S36" i="40" s="1"/>
  <c r="X36" i="40" s="1"/>
  <c r="X35" i="40"/>
  <c r="Q35" i="40"/>
  <c r="S35" i="40" s="1"/>
  <c r="Q34" i="40"/>
  <c r="S34" i="40" s="1"/>
  <c r="X34" i="40" s="1"/>
  <c r="Q33" i="40"/>
  <c r="S33" i="40" s="1"/>
  <c r="X33" i="40" s="1"/>
  <c r="S32" i="40"/>
  <c r="X32" i="40" s="1"/>
  <c r="Q32" i="40"/>
  <c r="Q31" i="40"/>
  <c r="S31" i="40" s="1"/>
  <c r="X31" i="40" s="1"/>
  <c r="X30" i="40"/>
  <c r="Q30" i="40"/>
  <c r="S30" i="40" s="1"/>
  <c r="Q29" i="40"/>
  <c r="S29" i="40" s="1"/>
  <c r="X29" i="40" s="1"/>
  <c r="S28" i="40"/>
  <c r="X28" i="40" s="1"/>
  <c r="Q28" i="40"/>
  <c r="Q27" i="40"/>
  <c r="S27" i="40" s="1"/>
  <c r="X27" i="40" s="1"/>
  <c r="Q26" i="40"/>
  <c r="S26" i="40" s="1"/>
  <c r="X26" i="40" s="1"/>
  <c r="Q25" i="40"/>
  <c r="S25" i="40" s="1"/>
  <c r="X25" i="40" s="1"/>
  <c r="S24" i="40"/>
  <c r="X24" i="40" s="1"/>
  <c r="S23" i="40"/>
  <c r="X23" i="40" s="1"/>
  <c r="S20" i="40"/>
  <c r="X20" i="40" s="1"/>
  <c r="S19" i="40"/>
  <c r="X19" i="40" s="1"/>
  <c r="S17" i="40"/>
  <c r="X17" i="40" s="1"/>
  <c r="S15" i="40"/>
  <c r="X15" i="40" s="1"/>
  <c r="S13" i="40"/>
  <c r="X13" i="40" s="1"/>
  <c r="S12" i="40"/>
  <c r="X12" i="40" s="1"/>
  <c r="S11" i="40"/>
  <c r="X11" i="40" s="1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Q115" i="40" l="1"/>
  <c r="S10" i="40"/>
  <c r="X10" i="40" s="1"/>
  <c r="D28" i="209"/>
  <c r="D29" i="209"/>
  <c r="D30" i="209"/>
  <c r="D31" i="209"/>
  <c r="S115" i="40" l="1"/>
  <c r="X9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F58" i="129"/>
  <c r="F59" i="129"/>
  <c r="F60" i="129"/>
  <c r="F61" i="129"/>
  <c r="F62" i="129"/>
  <c r="F63" i="129"/>
  <c r="F64" i="129"/>
  <c r="F65" i="129"/>
  <c r="F66" i="129"/>
  <c r="F67" i="129"/>
  <c r="F68" i="129"/>
  <c r="F69" i="129"/>
  <c r="F70" i="129"/>
  <c r="F71" i="129"/>
  <c r="F72" i="129"/>
  <c r="F73" i="129"/>
  <c r="F74" i="129"/>
  <c r="F75" i="129"/>
  <c r="F76" i="129"/>
  <c r="F77" i="129"/>
  <c r="Q33" i="38"/>
  <c r="Q32" i="38"/>
  <c r="Q31" i="38"/>
  <c r="Q34" i="38"/>
  <c r="Q30" i="38"/>
  <c r="V27" i="40" l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120" i="40"/>
  <c r="T5" i="40"/>
  <c r="U5" i="40" s="1"/>
  <c r="Q36" i="38"/>
  <c r="Q35" i="38"/>
  <c r="S124" i="38" l="1"/>
  <c r="T124" i="38" s="1"/>
  <c r="S125" i="38"/>
  <c r="T125" i="38"/>
  <c r="S126" i="38"/>
  <c r="T126" i="38" s="1"/>
  <c r="S127" i="38"/>
  <c r="T127" i="38"/>
  <c r="S128" i="38"/>
  <c r="T128" i="38" s="1"/>
  <c r="S129" i="38"/>
  <c r="T129" i="38"/>
  <c r="S130" i="38"/>
  <c r="T130" i="38" s="1"/>
  <c r="S132" i="38"/>
  <c r="T132" i="38" s="1"/>
  <c r="S133" i="38"/>
  <c r="T133" i="38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/>
  <c r="S148" i="38"/>
  <c r="T148" i="38" s="1"/>
  <c r="S149" i="38"/>
  <c r="T149" i="38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/>
  <c r="S156" i="38"/>
  <c r="T156" i="38" s="1"/>
  <c r="S157" i="38"/>
  <c r="T157" i="38"/>
  <c r="S158" i="38"/>
  <c r="T158" i="38" s="1"/>
  <c r="S159" i="38"/>
  <c r="T159" i="38" s="1"/>
  <c r="S160" i="38"/>
  <c r="T160" i="38" s="1"/>
  <c r="S161" i="38"/>
  <c r="T161" i="38" s="1"/>
  <c r="S162" i="38"/>
  <c r="T162" i="38" s="1"/>
  <c r="I137" i="38" l="1"/>
  <c r="I136" i="38"/>
  <c r="I135" i="38"/>
  <c r="I130" i="38"/>
  <c r="I129" i="38"/>
  <c r="I128" i="38"/>
  <c r="I127" i="38"/>
  <c r="I138" i="38"/>
  <c r="F16" i="198"/>
  <c r="F17" i="198"/>
  <c r="F18" i="198"/>
  <c r="F19" i="198"/>
  <c r="F20" i="198"/>
  <c r="F21" i="198"/>
  <c r="F22" i="198"/>
  <c r="F23" i="198"/>
  <c r="F24" i="198"/>
  <c r="F25" i="198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B16" i="129"/>
  <c r="AB18" i="129"/>
  <c r="AF17" i="129" s="1"/>
  <c r="AB17" i="129"/>
  <c r="AB15" i="129"/>
  <c r="AF15" i="129" s="1"/>
  <c r="AB14" i="129"/>
  <c r="AF14" i="129" s="1"/>
  <c r="AB13" i="129"/>
  <c r="AF13" i="129" s="1"/>
  <c r="AF12" i="129"/>
  <c r="AF11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A42" i="209"/>
  <c r="AB39" i="209"/>
  <c r="Y39" i="209"/>
  <c r="AA40" i="209" s="1"/>
  <c r="AB38" i="209"/>
  <c r="AB37" i="209"/>
  <c r="Z36" i="209"/>
  <c r="AB36" i="209" s="1"/>
  <c r="Z35" i="209"/>
  <c r="AB35" i="209" s="1"/>
  <c r="Z34" i="209"/>
  <c r="AB34" i="209" s="1"/>
  <c r="Z33" i="209"/>
  <c r="AB33" i="209" s="1"/>
  <c r="Z32" i="209"/>
  <c r="AB32" i="209" s="1"/>
  <c r="Z31" i="209"/>
  <c r="AB31" i="209" s="1"/>
  <c r="Z30" i="209"/>
  <c r="AB30" i="209" s="1"/>
  <c r="Z29" i="209"/>
  <c r="AB29" i="209" s="1"/>
  <c r="Z28" i="209"/>
  <c r="AB28" i="209" s="1"/>
  <c r="Z27" i="209"/>
  <c r="AB27" i="209" s="1"/>
  <c r="Z26" i="209"/>
  <c r="AB26" i="209" s="1"/>
  <c r="Z25" i="209"/>
  <c r="AB25" i="209" s="1"/>
  <c r="Z24" i="209"/>
  <c r="AB24" i="209" s="1"/>
  <c r="Z23" i="209"/>
  <c r="AB23" i="209" s="1"/>
  <c r="Z22" i="209"/>
  <c r="AB22" i="209" s="1"/>
  <c r="Z21" i="209"/>
  <c r="AB21" i="209" s="1"/>
  <c r="Z20" i="209"/>
  <c r="AB20" i="209" s="1"/>
  <c r="Z19" i="209"/>
  <c r="AB19" i="209" s="1"/>
  <c r="Z18" i="209"/>
  <c r="AB18" i="209" s="1"/>
  <c r="Z17" i="209"/>
  <c r="AB17" i="209" s="1"/>
  <c r="Z16" i="209"/>
  <c r="AB16" i="209" s="1"/>
  <c r="Z15" i="209"/>
  <c r="AB15" i="209" s="1"/>
  <c r="Z14" i="209"/>
  <c r="AB14" i="209" s="1"/>
  <c r="Z13" i="209"/>
  <c r="AB13" i="209" s="1"/>
  <c r="Z12" i="209"/>
  <c r="AB12" i="209" s="1"/>
  <c r="Z11" i="209"/>
  <c r="AB11" i="209" s="1"/>
  <c r="AF10" i="209"/>
  <c r="AF11" i="209" s="1"/>
  <c r="AF12" i="209" s="1"/>
  <c r="AF13" i="209" s="1"/>
  <c r="AF14" i="209" s="1"/>
  <c r="AF15" i="209" s="1"/>
  <c r="AF16" i="209" s="1"/>
  <c r="AF17" i="209" s="1"/>
  <c r="AF18" i="209" s="1"/>
  <c r="AF19" i="209" s="1"/>
  <c r="AF20" i="209" s="1"/>
  <c r="AF21" i="209" s="1"/>
  <c r="AF22" i="209" s="1"/>
  <c r="AF23" i="209" s="1"/>
  <c r="AF24" i="209" s="1"/>
  <c r="AF25" i="209" s="1"/>
  <c r="AF26" i="209" s="1"/>
  <c r="AF27" i="209" s="1"/>
  <c r="AF28" i="209" s="1"/>
  <c r="AF29" i="209" s="1"/>
  <c r="AF30" i="209" s="1"/>
  <c r="AF31" i="209" s="1"/>
  <c r="AF32" i="209" s="1"/>
  <c r="AF33" i="209" s="1"/>
  <c r="AF34" i="209" s="1"/>
  <c r="AF35" i="209" s="1"/>
  <c r="AF36" i="209" s="1"/>
  <c r="AF37" i="209" s="1"/>
  <c r="Z10" i="209"/>
  <c r="AB10" i="209" s="1"/>
  <c r="AE10" i="209" s="1"/>
  <c r="AC5" i="209"/>
  <c r="AD5" i="209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AC8" i="157" s="1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N32" i="174"/>
  <c r="P33" i="174" s="1"/>
  <c r="M32" i="174"/>
  <c r="P34" i="174" s="1"/>
  <c r="P28" i="174"/>
  <c r="P27" i="174"/>
  <c r="P26" i="174"/>
  <c r="P25" i="174"/>
  <c r="P24" i="174"/>
  <c r="P23" i="174"/>
  <c r="P22" i="174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S8" i="174"/>
  <c r="S9" i="174" s="1"/>
  <c r="S10" i="174" s="1"/>
  <c r="S11" i="174" s="1"/>
  <c r="S12" i="174" s="1"/>
  <c r="S13" i="174" s="1"/>
  <c r="S14" i="174" s="1"/>
  <c r="S15" i="174" s="1"/>
  <c r="S16" i="174" s="1"/>
  <c r="S17" i="174" s="1"/>
  <c r="S18" i="174" s="1"/>
  <c r="S19" i="174" s="1"/>
  <c r="S20" i="174" s="1"/>
  <c r="S21" i="174" s="1"/>
  <c r="S22" i="174" s="1"/>
  <c r="S23" i="174" s="1"/>
  <c r="S24" i="174" s="1"/>
  <c r="S25" i="174" s="1"/>
  <c r="S26" i="174" s="1"/>
  <c r="S27" i="174" s="1"/>
  <c r="S28" i="174" s="1"/>
  <c r="P8" i="174"/>
  <c r="P32" i="174" s="1"/>
  <c r="Q5" i="174" s="1"/>
  <c r="R5" i="174" s="1"/>
  <c r="AF18" i="129" l="1"/>
  <c r="AF16" i="129"/>
  <c r="AE11" i="209"/>
  <c r="AE12" i="209" s="1"/>
  <c r="AE13" i="209" s="1"/>
  <c r="AE14" i="209" s="1"/>
  <c r="AE15" i="209" s="1"/>
  <c r="AE16" i="209" s="1"/>
  <c r="AE17" i="209" s="1"/>
  <c r="AE18" i="209" s="1"/>
  <c r="AE19" i="209" s="1"/>
  <c r="AE20" i="209" s="1"/>
  <c r="AE21" i="209" s="1"/>
  <c r="AE22" i="209" s="1"/>
  <c r="AE23" i="209" s="1"/>
  <c r="AE24" i="209" s="1"/>
  <c r="AE25" i="209" s="1"/>
  <c r="AE26" i="209" s="1"/>
  <c r="AE27" i="209" s="1"/>
  <c r="AE28" i="209" s="1"/>
  <c r="AE29" i="209" s="1"/>
  <c r="AE30" i="209" s="1"/>
  <c r="AE31" i="209" s="1"/>
  <c r="AE32" i="209" s="1"/>
  <c r="AE33" i="209" s="1"/>
  <c r="AE34" i="209" s="1"/>
  <c r="AE35" i="209" s="1"/>
  <c r="AE36" i="209" s="1"/>
  <c r="AE37" i="209" s="1"/>
  <c r="AB79" i="129"/>
  <c r="AA84" i="129" s="1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Z36" i="157"/>
  <c r="AF10" i="129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P68" i="54"/>
  <c r="Q5" i="54" s="1"/>
  <c r="R5" i="54" s="1"/>
  <c r="Z38" i="157"/>
  <c r="AA5" i="157"/>
  <c r="AB5" i="157" s="1"/>
  <c r="Q26" i="38"/>
  <c r="Q25" i="38"/>
  <c r="H131" i="38"/>
  <c r="Q131" i="38"/>
  <c r="S131" i="38" s="1"/>
  <c r="T131" i="38" s="1"/>
  <c r="Q20" i="38"/>
  <c r="Q28" i="38"/>
  <c r="Q27" i="38"/>
  <c r="Q24" i="38"/>
  <c r="Q23" i="38"/>
  <c r="Q22" i="38"/>
  <c r="Q21" i="38"/>
  <c r="AC6" i="129" l="1"/>
  <c r="AD6" i="129" s="1"/>
  <c r="O73" i="54"/>
  <c r="S120" i="38"/>
  <c r="T120" i="38" s="1"/>
  <c r="I120" i="38"/>
  <c r="S114" i="38"/>
  <c r="T114" i="38" s="1"/>
  <c r="S113" i="38"/>
  <c r="T113" i="38" s="1"/>
  <c r="S112" i="38"/>
  <c r="T112" i="38"/>
  <c r="I114" i="38"/>
  <c r="I113" i="38"/>
  <c r="I112" i="38"/>
  <c r="I126" i="38"/>
  <c r="S118" i="38" l="1"/>
  <c r="T118" i="38" s="1"/>
  <c r="I118" i="38"/>
  <c r="Q29" i="38" l="1"/>
  <c r="Q16" i="38" l="1"/>
  <c r="Q15" i="38"/>
  <c r="Q13" i="38"/>
  <c r="Q17" i="38" l="1"/>
  <c r="S103" i="38" l="1"/>
  <c r="T103" i="38" s="1"/>
  <c r="I103" i="38"/>
  <c r="S111" i="38" l="1"/>
  <c r="T111" i="38" s="1"/>
  <c r="S115" i="38"/>
  <c r="T115" i="38" s="1"/>
  <c r="S116" i="38"/>
  <c r="T116" i="38" s="1"/>
  <c r="S117" i="38"/>
  <c r="T117" i="38" s="1"/>
  <c r="S119" i="38"/>
  <c r="T119" i="38" s="1"/>
  <c r="S121" i="38"/>
  <c r="T121" i="38" s="1"/>
  <c r="S122" i="38"/>
  <c r="T122" i="38" s="1"/>
  <c r="S123" i="38"/>
  <c r="T123" i="38" s="1"/>
  <c r="I115" i="38"/>
  <c r="I116" i="38"/>
  <c r="I117" i="38"/>
  <c r="Q18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71" i="117"/>
  <c r="P72" i="117" s="1"/>
  <c r="Q70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Q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U24" i="129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P32" i="180" l="1"/>
  <c r="Q5" i="180" s="1"/>
  <c r="R5" i="180" s="1"/>
  <c r="Q71" i="117"/>
  <c r="P74" i="117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Q79" i="129"/>
  <c r="P84" i="129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Q110" i="38"/>
  <c r="S110" i="38" s="1"/>
  <c r="T110" i="38" s="1"/>
  <c r="R5" i="117" l="1"/>
  <c r="S5" i="117" s="1"/>
  <c r="R6" i="129"/>
  <c r="S6" i="129" s="1"/>
  <c r="Q8" i="38"/>
  <c r="B33" i="38" l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P104" i="65"/>
  <c r="R104" i="65" s="1"/>
  <c r="P103" i="65"/>
  <c r="R103" i="65" s="1"/>
  <c r="P102" i="65"/>
  <c r="R102" i="65" s="1"/>
  <c r="P101" i="65"/>
  <c r="R101" i="65" s="1"/>
  <c r="R100" i="65"/>
  <c r="P100" i="65"/>
  <c r="P99" i="65"/>
  <c r="R99" i="65" s="1"/>
  <c r="R98" i="65"/>
  <c r="P98" i="65"/>
  <c r="P97" i="65"/>
  <c r="R97" i="65" s="1"/>
  <c r="P96" i="65"/>
  <c r="R96" i="65" s="1"/>
  <c r="P95" i="65"/>
  <c r="R95" i="65" s="1"/>
  <c r="P94" i="65"/>
  <c r="R94" i="65" s="1"/>
  <c r="P93" i="65"/>
  <c r="R93" i="65" s="1"/>
  <c r="R92" i="65"/>
  <c r="P92" i="65"/>
  <c r="P91" i="65"/>
  <c r="R91" i="65" s="1"/>
  <c r="R90" i="65"/>
  <c r="P90" i="65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P84" i="65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R68" i="65"/>
  <c r="W68" i="65" s="1"/>
  <c r="P68" i="65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R56" i="65"/>
  <c r="W56" i="65" s="1"/>
  <c r="P56" i="65"/>
  <c r="P55" i="65"/>
  <c r="R55" i="65" s="1"/>
  <c r="W55" i="65" s="1"/>
  <c r="R54" i="65"/>
  <c r="W54" i="65" s="1"/>
  <c r="P54" i="65"/>
  <c r="P53" i="65"/>
  <c r="R53" i="65" s="1"/>
  <c r="W53" i="65" s="1"/>
  <c r="R52" i="65"/>
  <c r="W52" i="65" s="1"/>
  <c r="P52" i="65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W13" i="65"/>
  <c r="P13" i="65"/>
  <c r="R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AH78" i="188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Z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N62" i="177"/>
  <c r="M62" i="177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L10" i="197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0" i="157"/>
  <c r="P8" i="157"/>
  <c r="P15" i="157"/>
  <c r="P14" i="157"/>
  <c r="P13" i="157"/>
  <c r="P12" i="157"/>
  <c r="P11" i="157"/>
  <c r="P9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P62" i="177" l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109" i="65"/>
  <c r="Z78" i="188"/>
  <c r="Y83" i="188" s="1"/>
  <c r="AA6" i="188"/>
  <c r="AB6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O12" i="209"/>
  <c r="O13" i="209"/>
  <c r="O14" i="209"/>
  <c r="O15" i="209"/>
  <c r="O16" i="209"/>
  <c r="O17" i="209"/>
  <c r="O18" i="209"/>
  <c r="O19" i="209"/>
  <c r="O20" i="209"/>
  <c r="O21" i="209"/>
  <c r="O22" i="209"/>
  <c r="O23" i="209"/>
  <c r="O24" i="209"/>
  <c r="O25" i="209"/>
  <c r="O26" i="209"/>
  <c r="O27" i="209"/>
  <c r="O28" i="209"/>
  <c r="O29" i="209"/>
  <c r="O30" i="209"/>
  <c r="O31" i="209"/>
  <c r="O32" i="209"/>
  <c r="O33" i="209"/>
  <c r="O34" i="209"/>
  <c r="O35" i="209"/>
  <c r="O36" i="209"/>
  <c r="O11" i="209"/>
  <c r="O10" i="209"/>
  <c r="L1" i="209"/>
  <c r="K1" i="188"/>
  <c r="Q5" i="177" l="1"/>
  <c r="R5" i="177" s="1"/>
  <c r="O53" i="57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AI83" i="188"/>
  <c r="AK6" i="188"/>
  <c r="AL6" i="188" s="1"/>
  <c r="O83" i="197"/>
  <c r="Q6" i="197"/>
  <c r="Q5" i="157"/>
  <c r="R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Q112" i="65"/>
  <c r="S5" i="65"/>
  <c r="T5" i="65" s="1"/>
  <c r="F10" i="161"/>
  <c r="F16" i="161"/>
  <c r="B10" i="129" l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B9" i="139"/>
  <c r="B10" i="139" s="1"/>
  <c r="D13" i="40" l="1"/>
  <c r="F13" i="40" s="1"/>
  <c r="D12" i="40"/>
  <c r="F12" i="40" s="1"/>
  <c r="D11" i="40"/>
  <c r="F11" i="40" s="1"/>
  <c r="D10" i="40"/>
  <c r="F10" i="40" s="1"/>
  <c r="D9" i="40"/>
  <c r="F9" i="40" s="1"/>
  <c r="I9" i="40" s="1"/>
  <c r="I10" i="40" l="1"/>
  <c r="I11" i="40" s="1"/>
  <c r="I12" i="40" s="1"/>
  <c r="I13" i="40" s="1"/>
  <c r="J58" i="129"/>
  <c r="D34" i="117" l="1"/>
  <c r="D9" i="65" l="1"/>
  <c r="F9" i="65" s="1"/>
  <c r="BX32" i="1" l="1"/>
  <c r="D12" i="209" l="1"/>
  <c r="D13" i="209"/>
  <c r="D14" i="209"/>
  <c r="D15" i="209"/>
  <c r="D16" i="209"/>
  <c r="D17" i="209"/>
  <c r="D18" i="209"/>
  <c r="D19" i="209"/>
  <c r="D20" i="209"/>
  <c r="D21" i="209"/>
  <c r="D22" i="209"/>
  <c r="D23" i="209"/>
  <c r="D24" i="209"/>
  <c r="D25" i="209"/>
  <c r="D26" i="209"/>
  <c r="D27" i="209"/>
  <c r="D32" i="209"/>
  <c r="D33" i="209"/>
  <c r="D34" i="209"/>
  <c r="D35" i="209"/>
  <c r="D36" i="209"/>
  <c r="D11" i="209"/>
  <c r="AM18" i="1" l="1"/>
  <c r="AM17" i="1"/>
  <c r="D10" i="209"/>
  <c r="I111" i="38" l="1"/>
  <c r="I110" i="38"/>
  <c r="I119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6" i="40"/>
  <c r="F66" i="40" s="1"/>
  <c r="F67" i="40"/>
  <c r="K66" i="40" s="1"/>
  <c r="D65" i="40"/>
  <c r="F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K67" i="40" l="1"/>
  <c r="K65" i="40"/>
  <c r="D115" i="40"/>
  <c r="F115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10" i="40"/>
  <c r="K9" i="40"/>
  <c r="E120" i="40" l="1"/>
  <c r="G5" i="40"/>
  <c r="H5" i="40" s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0" i="197"/>
  <c r="F19" i="197"/>
  <c r="F18" i="197"/>
  <c r="F17" i="197"/>
  <c r="F16" i="197"/>
  <c r="F15" i="197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14" i="197"/>
  <c r="F13" i="197"/>
  <c r="F12" i="197"/>
  <c r="F11" i="197"/>
  <c r="F10" i="197"/>
  <c r="F9" i="197"/>
  <c r="I10" i="197" l="1"/>
  <c r="F42" i="196"/>
  <c r="G6" i="196" s="1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78" i="197"/>
  <c r="E47" i="196" l="1"/>
  <c r="E83" i="197"/>
  <c r="G6" i="197"/>
  <c r="H6" i="197" s="1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R5" i="209"/>
  <c r="S5" i="209" s="1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D109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41" i="177"/>
  <c r="F42" i="177"/>
  <c r="F43" i="177"/>
  <c r="F44" i="177"/>
  <c r="F45" i="177"/>
  <c r="F46" i="177"/>
  <c r="F47" i="177"/>
  <c r="F48" i="177"/>
  <c r="F49" i="177"/>
  <c r="F50" i="177"/>
  <c r="F52" i="177"/>
  <c r="F53" i="177"/>
  <c r="F54" i="177"/>
  <c r="F55" i="177"/>
  <c r="F56" i="177"/>
  <c r="F57" i="177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O83" i="188" l="1"/>
  <c r="Q6" i="188"/>
  <c r="R6" i="188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I8" i="180" s="1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C62" i="177"/>
  <c r="F11" i="204" l="1"/>
  <c r="F10" i="129"/>
  <c r="I10" i="129" l="1"/>
  <c r="J10" i="129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45" i="38" l="1"/>
  <c r="I139" i="38"/>
  <c r="D79" i="129"/>
  <c r="C79" i="129"/>
  <c r="E82" i="129" s="1"/>
  <c r="J77" i="129"/>
  <c r="J76" i="129"/>
  <c r="J75" i="129"/>
  <c r="J74" i="129"/>
  <c r="J73" i="129"/>
  <c r="J72" i="129"/>
  <c r="J71" i="129"/>
  <c r="J70" i="129"/>
  <c r="J69" i="129"/>
  <c r="J68" i="129"/>
  <c r="J67" i="129"/>
  <c r="J66" i="129"/>
  <c r="J65" i="129"/>
  <c r="J64" i="129"/>
  <c r="J63" i="129"/>
  <c r="J62" i="129"/>
  <c r="J61" i="129"/>
  <c r="J60" i="129"/>
  <c r="J59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78" i="188"/>
  <c r="G6" i="188" s="1"/>
  <c r="H6" i="188" s="1"/>
  <c r="F38" i="157" l="1"/>
  <c r="E83" i="188"/>
  <c r="I124" i="38"/>
  <c r="S100" i="38" l="1"/>
  <c r="T100" i="38" s="1"/>
  <c r="I100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G5" i="209"/>
  <c r="H5" i="209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I12" i="209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71" i="117"/>
  <c r="E72" i="117" s="1"/>
  <c r="F70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F71" i="117"/>
  <c r="E74" i="117" s="1"/>
  <c r="G5" i="117" l="1"/>
  <c r="H5" i="117" s="1"/>
  <c r="I122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35" i="159"/>
  <c r="E40" i="159" s="1"/>
  <c r="G6" i="57" l="1"/>
  <c r="H6" i="57" s="1"/>
  <c r="G6" i="159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H5" i="205" l="1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68" i="54"/>
  <c r="C68" i="54"/>
  <c r="E71" i="54" s="1"/>
  <c r="F67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68" i="54"/>
  <c r="E73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G6" i="201"/>
  <c r="H6" i="201" s="1"/>
  <c r="D56" i="187"/>
  <c r="C56" i="187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38" i="54" l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G5" i="202"/>
  <c r="H5" i="202" s="1"/>
  <c r="G5" i="54"/>
  <c r="H5" i="54" s="1"/>
  <c r="F56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7" i="38" l="1"/>
  <c r="T107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7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9" i="38" l="1"/>
  <c r="T109" i="38" s="1"/>
  <c r="I109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43" i="38" l="1"/>
  <c r="I142" i="38"/>
  <c r="I141" i="38"/>
  <c r="S21" i="38" l="1"/>
  <c r="BP5" i="1" l="1"/>
  <c r="H4" i="1" l="1"/>
  <c r="G4" i="1"/>
  <c r="F4" i="1"/>
  <c r="E4" i="1"/>
  <c r="D4" i="1"/>
  <c r="B4" i="1"/>
  <c r="I123" i="38" l="1"/>
  <c r="I154" i="38" l="1"/>
  <c r="I15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32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48" i="38" l="1"/>
  <c r="I147" i="38"/>
  <c r="I146" i="38"/>
  <c r="I144" i="38"/>
  <c r="I140" i="38"/>
  <c r="I134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4" i="38" l="1"/>
  <c r="S104" i="38" l="1"/>
  <c r="T104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55" i="38" l="1"/>
  <c r="I156" i="38"/>
  <c r="I157" i="38"/>
  <c r="I158" i="38"/>
  <c r="I159" i="38"/>
  <c r="I160" i="38"/>
  <c r="I161" i="38"/>
  <c r="I162" i="38"/>
  <c r="I163" i="38"/>
  <c r="I164" i="38"/>
  <c r="I165" i="38"/>
  <c r="I5" i="1" l="1"/>
  <c r="I93" i="38" l="1"/>
  <c r="I94" i="38"/>
  <c r="I95" i="38"/>
  <c r="I166" i="38" l="1"/>
  <c r="I167" i="38"/>
  <c r="I168" i="38"/>
  <c r="I169" i="38"/>
  <c r="I170" i="38"/>
  <c r="I171" i="38"/>
  <c r="I172" i="38"/>
  <c r="I173" i="38"/>
  <c r="I174" i="38"/>
  <c r="I175" i="38"/>
  <c r="I176" i="38"/>
  <c r="I177" i="38"/>
  <c r="S108" i="38" l="1"/>
  <c r="T108" i="38" s="1"/>
  <c r="I108" i="38" l="1"/>
  <c r="S99" i="38" l="1"/>
  <c r="S101" i="38"/>
  <c r="T101" i="38" s="1"/>
  <c r="S102" i="38"/>
  <c r="S105" i="38"/>
  <c r="S106" i="38"/>
  <c r="I106" i="38" l="1"/>
  <c r="T105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1" i="38" l="1"/>
  <c r="I101" i="38" l="1"/>
  <c r="AE1" i="1" l="1"/>
  <c r="F10" i="156" l="1"/>
  <c r="I131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E34" i="139" l="1"/>
  <c r="H5" i="139"/>
  <c r="T106" i="38" l="1"/>
  <c r="I105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1" i="38" l="1"/>
  <c r="GF5" i="1" l="1"/>
  <c r="FV5" i="1"/>
  <c r="EH5" i="1"/>
  <c r="DX5" i="1"/>
  <c r="I6" i="1"/>
  <c r="I125" i="38" l="1"/>
  <c r="I133" i="38"/>
  <c r="I149" i="38"/>
  <c r="I150" i="38"/>
  <c r="I152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8" i="38"/>
  <c r="M178" i="38"/>
  <c r="K178" i="38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8" i="38"/>
  <c r="I178" i="38"/>
  <c r="H17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<sst xmlns="http://schemas.openxmlformats.org/spreadsheetml/2006/main" count="4342" uniqueCount="782">
  <si>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</si>
  <si>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</si>
  <si>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</si>
  <si>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</si>
  <si>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</si>
  <si>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</si>
  <si>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</si>
  <si>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</si>
  <si>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</si>
  <si>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</si>
  <si>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</si>
  <si>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</si>
  <si>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</si>
  <si>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</si>
  <si>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</si>
  <si>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</si>
  <si>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</si>
  <si>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</si>
  <si>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</si>
  <si>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</si>
  <si>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</si>
  <si>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</si>
  <si>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</si>
  <si>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</si>
  <si>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</si>
  <si>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</si>
  <si>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</si>
  <si>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</si>
  <si>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</si>
  <si>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</si>
  <si>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</si>
  <si>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</si>
  <si>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</si>
  <si>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</si>
  <si>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</si>
  <si>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</si>
  <si>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</si>
  <si>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</si>
  <si>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</si>
  <si>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</si>
  <si>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</si>
  <si>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</si>
  <si>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</si>
  <si>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</si>
  <si>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</si>
  <si>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</si>
  <si>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</si>
  <si>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</si>
  <si>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</si>
  <si>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</si>
  <si>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</si>
  <si>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</si>
  <si>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</si>
  <si>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</si>
  <si>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</si>
  <si>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</si>
  <si>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</si>
  <si>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</si>
  <si>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</si>
  <si>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</si>
  <si>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</si>
  <si>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</si>
  <si>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</si>
  <si>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</si>
  <si>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</si>
  <si>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</si>
  <si>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</si>
  <si>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</si>
  <si>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</si>
  <si>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</si>
  <si>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</si>
  <si>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</si>
  <si>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</si>
  <si>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</si>
  <si>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</si>
  <si>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</si>
  <si>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</si>
  <si>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</si>
  <si>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</si>
  <si>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</si>
  <si>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</si>
  <si>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</si>
  <si>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</si>
  <si>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</si>
  <si>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</si>
  <si>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</si>
  <si>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</si>
  <si>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</si>
  <si>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</si>
  <si>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</si>
  <si>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</si>
  <si>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</si>
  <si>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</si>
  <si>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</si>
  <si>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</si>
  <si>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</si>
  <si>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</si>
  <si>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</si>
  <si>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</si>
  <si>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</si>
  <si>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</si>
  <si>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</si>
  <si>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</si>
  <si>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</si>
  <si>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</si>
  <si>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</si>
  <si>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>CUERO EN COMBO</t>
  </si>
  <si>
    <t>GRASA</t>
  </si>
  <si>
    <t>0079 A1</t>
  </si>
  <si>
    <t>0120 A1</t>
  </si>
  <si>
    <t>0131 A1</t>
  </si>
  <si>
    <t>0182 A1</t>
  </si>
  <si>
    <t>0206 A1</t>
  </si>
  <si>
    <t>0208 A1</t>
  </si>
  <si>
    <t>0218 A1</t>
  </si>
  <si>
    <t>0237 A1</t>
  </si>
  <si>
    <t>0251 A1</t>
  </si>
  <si>
    <t>0257 A1</t>
  </si>
  <si>
    <t>0263 A1</t>
  </si>
  <si>
    <t>0265 A1</t>
  </si>
  <si>
    <t>0274 A1</t>
  </si>
  <si>
    <t>0279 A1</t>
  </si>
  <si>
    <t>0322 A1</t>
  </si>
  <si>
    <t>0328 A1</t>
  </si>
  <si>
    <t>0334 A1</t>
  </si>
  <si>
    <t>0335 A1</t>
  </si>
  <si>
    <t>IMPORTE</t>
  </si>
  <si>
    <t>0375 A1</t>
  </si>
  <si>
    <t>0382 A1</t>
  </si>
  <si>
    <t>INVENTARIO    DEL MES  DE  JUNIO 2022</t>
  </si>
  <si>
    <t>SEABOARD FOODS</t>
  </si>
  <si>
    <t>Seaboard</t>
  </si>
  <si>
    <t>SESOS DE CERDO</t>
  </si>
  <si>
    <t>ADAMS INT MORELIA</t>
  </si>
  <si>
    <t xml:space="preserve">RYC  ALIMENTOS </t>
  </si>
  <si>
    <t>0390 A1</t>
  </si>
  <si>
    <t>0393 A1</t>
  </si>
  <si>
    <t>0397 A1</t>
  </si>
  <si>
    <t>0405 A1</t>
  </si>
  <si>
    <t>0415 A1</t>
  </si>
  <si>
    <t>0417 A1</t>
  </si>
  <si>
    <t>0427 A1</t>
  </si>
  <si>
    <t>0459 A1</t>
  </si>
  <si>
    <t>0433 A1</t>
  </si>
  <si>
    <t>0442 A1</t>
  </si>
  <si>
    <t>0453 A1</t>
  </si>
  <si>
    <t>0454 A1</t>
  </si>
  <si>
    <t>0458 A1</t>
  </si>
  <si>
    <t>0463 A1</t>
  </si>
  <si>
    <t>0464 A1</t>
  </si>
  <si>
    <t>0467 A1</t>
  </si>
  <si>
    <t>0468 A1</t>
  </si>
  <si>
    <t>0470 A1</t>
  </si>
  <si>
    <t>0472 A1</t>
  </si>
  <si>
    <t>0473 A1</t>
  </si>
  <si>
    <t>0480 A1</t>
  </si>
  <si>
    <t>0487 A1</t>
  </si>
  <si>
    <t>0488 A1</t>
  </si>
  <si>
    <t>0489 A1</t>
  </si>
  <si>
    <t>0496 A1</t>
  </si>
  <si>
    <t>0504 A1</t>
  </si>
  <si>
    <t>0513 A1</t>
  </si>
  <si>
    <t>0514 A1</t>
  </si>
  <si>
    <t>0522 A1</t>
  </si>
  <si>
    <t>0524 A1</t>
  </si>
  <si>
    <t>0549 A1</t>
  </si>
  <si>
    <t>0569 A1</t>
  </si>
  <si>
    <t>0535 A1</t>
  </si>
  <si>
    <t>0553 A1</t>
  </si>
  <si>
    <t>0555 A1</t>
  </si>
  <si>
    <t>0557 A1</t>
  </si>
  <si>
    <t>0561 A1</t>
  </si>
  <si>
    <t>0563 A1</t>
  </si>
  <si>
    <t>0565 A1</t>
  </si>
  <si>
    <t>0564 A1</t>
  </si>
  <si>
    <t>0574 A1</t>
  </si>
  <si>
    <t>0581 A1</t>
  </si>
  <si>
    <t>0582 A1</t>
  </si>
  <si>
    <t>0583 A1</t>
  </si>
  <si>
    <t>TOCINO  Nacional</t>
  </si>
  <si>
    <t>ajuste</t>
  </si>
  <si>
    <t>CABEZA CON PAPADA FRESCA</t>
  </si>
  <si>
    <t>PED. 86440438</t>
  </si>
  <si>
    <t>0584 A1</t>
  </si>
  <si>
    <t>0585 A1</t>
  </si>
  <si>
    <t>0588 A1</t>
  </si>
  <si>
    <t>0589 A1</t>
  </si>
  <si>
    <t>0595 A1</t>
  </si>
  <si>
    <t>0597 A1</t>
  </si>
  <si>
    <t>0600 A1</t>
  </si>
  <si>
    <t>0601 A1</t>
  </si>
  <si>
    <t>0603 A1</t>
  </si>
  <si>
    <t>0608 A1</t>
  </si>
  <si>
    <t>0609 A1</t>
  </si>
  <si>
    <t>0610 A1</t>
  </si>
  <si>
    <t>0611 A1</t>
  </si>
  <si>
    <t>0616 A1</t>
  </si>
  <si>
    <t>0617 A1</t>
  </si>
  <si>
    <t>0620 A1</t>
  </si>
  <si>
    <t>0622 A1</t>
  </si>
  <si>
    <t>0624 A1</t>
  </si>
  <si>
    <t>0653 A1</t>
  </si>
  <si>
    <t>0663 A1</t>
  </si>
  <si>
    <t>0630 A1</t>
  </si>
  <si>
    <t>0635 A1</t>
  </si>
  <si>
    <t>0637 A1</t>
  </si>
  <si>
    <t>0638 A1</t>
  </si>
  <si>
    <t>0639 A1</t>
  </si>
  <si>
    <t>0642 A1</t>
  </si>
  <si>
    <t>0644 A1</t>
  </si>
  <si>
    <t>0655 A1</t>
  </si>
  <si>
    <t>0656 A1</t>
  </si>
  <si>
    <t>0659 A1</t>
  </si>
  <si>
    <t>0664 A1</t>
  </si>
  <si>
    <t>0666 A1</t>
  </si>
  <si>
    <t>0670 A1</t>
  </si>
  <si>
    <t xml:space="preserve">FILETE VAG CONG   DE CERDO </t>
  </si>
  <si>
    <t>0669 A1</t>
  </si>
  <si>
    <t>0676 A1</t>
  </si>
  <si>
    <t>0677 A1</t>
  </si>
  <si>
    <t>0678 A1</t>
  </si>
  <si>
    <t>0680 A1</t>
  </si>
  <si>
    <t>0681 A1</t>
  </si>
  <si>
    <t>0684 A1</t>
  </si>
  <si>
    <t>0688 A1</t>
  </si>
  <si>
    <t>0689 A1</t>
  </si>
  <si>
    <t>0690 A1</t>
  </si>
  <si>
    <t>0692 A1</t>
  </si>
  <si>
    <t>0693 A1</t>
  </si>
  <si>
    <t>0694 A1</t>
  </si>
  <si>
    <t>0696 A1</t>
  </si>
  <si>
    <t>0697 A1</t>
  </si>
  <si>
    <t>0703 A1</t>
  </si>
  <si>
    <t>0707 A1</t>
  </si>
  <si>
    <t>0711 A1</t>
  </si>
  <si>
    <t>0712 A1</t>
  </si>
  <si>
    <t>0715 A1</t>
  </si>
  <si>
    <t>0717 A1</t>
  </si>
  <si>
    <t>0718 a1</t>
  </si>
  <si>
    <t>0720 A1</t>
  </si>
  <si>
    <t>0723 A1</t>
  </si>
  <si>
    <t>0724 A1</t>
  </si>
  <si>
    <t>0725 A1</t>
  </si>
  <si>
    <t>0729 A1</t>
  </si>
  <si>
    <t>0731 A1</t>
  </si>
  <si>
    <t>0733 A1</t>
  </si>
  <si>
    <t>0746 A1</t>
  </si>
  <si>
    <t>0739 A1</t>
  </si>
  <si>
    <t>0740 A1</t>
  </si>
  <si>
    <t>0742 A1</t>
  </si>
  <si>
    <t>0743 A1</t>
  </si>
  <si>
    <t>0744 A1</t>
  </si>
  <si>
    <t>0745 A1</t>
  </si>
  <si>
    <t>0748 A1</t>
  </si>
  <si>
    <t>0752 A1</t>
  </si>
  <si>
    <t>0753 A1</t>
  </si>
  <si>
    <t>0754 A1</t>
  </si>
  <si>
    <t>0757 A1</t>
  </si>
  <si>
    <t>0758 A1</t>
  </si>
  <si>
    <t>0761 A1</t>
  </si>
  <si>
    <t>0764 A1</t>
  </si>
  <si>
    <t>0770 A1</t>
  </si>
  <si>
    <t>0774 A1</t>
  </si>
  <si>
    <t>0775 A1</t>
  </si>
  <si>
    <t>0776 A1</t>
  </si>
  <si>
    <t>0786 A1</t>
  </si>
  <si>
    <t>0777 A1</t>
  </si>
  <si>
    <t>ENTRADA NO REGISTRADA POR ALMACEN</t>
  </si>
  <si>
    <t>0779 A1</t>
  </si>
  <si>
    <t>0783 A1</t>
  </si>
  <si>
    <t>0785 A1</t>
  </si>
  <si>
    <t>0791 A1</t>
  </si>
  <si>
    <t>0789 A1</t>
  </si>
  <si>
    <t>0787 A1</t>
  </si>
  <si>
    <t>0788 A1</t>
  </si>
  <si>
    <t>0704 A1</t>
  </si>
  <si>
    <t>LA SALIDA ESTA 5 pzas</t>
  </si>
  <si>
    <t>INVENTARIO      DEL MES DE    AGOSTO      2022</t>
  </si>
  <si>
    <t>ENTRADAS DEL MES DE SEPTIEMBRE   2022</t>
  </si>
  <si>
    <t>INVENTARIO  DEL MES DE   AGOSTO     2 022</t>
  </si>
  <si>
    <t>INVENTARIO     DEL MES DE AGOSTO 2022</t>
  </si>
  <si>
    <t>INVENTARIO      DEL MES DE AGOSTO  2022</t>
  </si>
  <si>
    <t>INVENTARIO     DEL MES DE   AGOSTO    2022</t>
  </si>
  <si>
    <t>INVENTARIO    DEL MES DE    AGOSTO    2022</t>
  </si>
  <si>
    <t>INVENTARIO    DEL MES DE AGOSTO 2022</t>
  </si>
  <si>
    <t>ENTRADA DEL MES DE    SEPTIEMBRE   2022</t>
  </si>
  <si>
    <t>INVENTARIO     DEL MES DE   AGOSTO   2022</t>
  </si>
  <si>
    <t>INVENTARIO      DEL MES DE  AGOSTO 2022</t>
  </si>
  <si>
    <t>INVENTARIO    DEL MES DE     AGOSTO    2022</t>
  </si>
  <si>
    <t>INVENTARIO    DEL MES DE   AGOSTO   2022</t>
  </si>
  <si>
    <t>INVENTARIO      DEL MES DE    AGOSTO    2022</t>
  </si>
  <si>
    <t>INVENTARIO     DEL MES DE    AGOSTO    2022</t>
  </si>
  <si>
    <t xml:space="preserve"> INVENTARIO   DEL MES DE     AGOSTO     2022</t>
  </si>
  <si>
    <t>INVENTARIO      DEL MES DE     AGOSTO     2022</t>
  </si>
  <si>
    <t>INVENTARIO     DEL MES DE    AGOSTO     2022</t>
  </si>
  <si>
    <t>TOTAL DE ENTRADAS DEL MES      SEPTIEMBRE         2022</t>
  </si>
  <si>
    <t>EXCEL</t>
  </si>
  <si>
    <t>PED. 8601429</t>
  </si>
  <si>
    <t>PED. 86601371</t>
  </si>
  <si>
    <t xml:space="preserve">I B P </t>
  </si>
  <si>
    <t>PED. 86601425</t>
  </si>
  <si>
    <t>SAM  FARMS</t>
  </si>
  <si>
    <t>TYSON FRESH MEAT</t>
  </si>
  <si>
    <t>PED. 86601363</t>
  </si>
  <si>
    <t>PED. 86601368</t>
  </si>
  <si>
    <t>PED. 86729669</t>
  </si>
  <si>
    <t>ENTRADA DEL MES DE SEPTIEMBRE 2022</t>
  </si>
  <si>
    <t>ENTRADA DEL MESD E SEPTIEMBRE 2022</t>
  </si>
  <si>
    <t>ENTRADA DEL MES DE  SEPTIEMBRE 2022</t>
  </si>
  <si>
    <t>ENTRADA DE SEPTIEMBRE 2022</t>
  </si>
  <si>
    <t>ABASTECEDORA DE CARNES ROEL</t>
  </si>
  <si>
    <t>MENUDO EXCEL</t>
  </si>
  <si>
    <t>NLSE22-153</t>
  </si>
  <si>
    <t>NLSE22-154</t>
  </si>
  <si>
    <t>NLP-04</t>
  </si>
  <si>
    <t>F-10909</t>
  </si>
  <si>
    <t>V-3574</t>
  </si>
  <si>
    <t>NLSE22-152</t>
  </si>
  <si>
    <t>NLSE22-155</t>
  </si>
  <si>
    <t xml:space="preserve">GRANJERO FELIZ S DE RL </t>
  </si>
  <si>
    <t>TAMPIQUEÑA</t>
  </si>
  <si>
    <t>A14-27373</t>
  </si>
  <si>
    <t>ARRACHERA TEXANA</t>
  </si>
  <si>
    <t>A14-27400</t>
  </si>
  <si>
    <t>ALIMENTOS CERTIFICADOS DE PUEBLA  INNOVA</t>
  </si>
  <si>
    <t xml:space="preserve">COMERCIAL MARIMEX S DE RL </t>
  </si>
  <si>
    <t>CAMARON 41/50</t>
  </si>
  <si>
    <t>CAMARON 100/200</t>
  </si>
  <si>
    <t>PLA-6511</t>
  </si>
  <si>
    <t>PRODUCTOS DEL MAR BBR</t>
  </si>
  <si>
    <t>TILAPIA</t>
  </si>
  <si>
    <t>ENS-174</t>
  </si>
  <si>
    <t>HC11215</t>
  </si>
  <si>
    <t>Transfer B 13-Sept-22</t>
  </si>
  <si>
    <t>ODELPA</t>
  </si>
  <si>
    <t xml:space="preserve">CARNES SELECTAS EL CIEN SA DE CV </t>
  </si>
  <si>
    <t>RES</t>
  </si>
  <si>
    <t>C-55340-------C-55032</t>
  </si>
  <si>
    <t>Transfer S 12-Sept-22</t>
  </si>
  <si>
    <t>Transfer B 2-Sept-22</t>
  </si>
  <si>
    <t>Transfer B 5-Sept-22</t>
  </si>
  <si>
    <t>Transfer S 2-Sept-22--Transfer B  6-Sept-22</t>
  </si>
  <si>
    <t>Transfer Bnte 1-Sept-22</t>
  </si>
  <si>
    <t>Transfer Bnte 2-Sept-22</t>
  </si>
  <si>
    <t>Ma. DE LOURDES HERNANDEZ CABRERA</t>
  </si>
  <si>
    <t>PED. 86904471</t>
  </si>
  <si>
    <t>PED. 86904007</t>
  </si>
  <si>
    <t>PED. 86966018</t>
  </si>
  <si>
    <t>PED. 87074012</t>
  </si>
  <si>
    <t>PED. 87073245</t>
  </si>
  <si>
    <t>TYSON FRESH MEATS</t>
  </si>
  <si>
    <t>PED. 87074015</t>
  </si>
  <si>
    <t>PED. 87152287</t>
  </si>
  <si>
    <t>PED. 87151175</t>
  </si>
  <si>
    <t xml:space="preserve"> I B P </t>
  </si>
  <si>
    <t>PED. 87152298</t>
  </si>
  <si>
    <t xml:space="preserve">HERCA S DE RL DE CV </t>
  </si>
  <si>
    <t>PED. 87283140</t>
  </si>
  <si>
    <t>SEABOARD  FOODS</t>
  </si>
  <si>
    <t>PED. 87260526</t>
  </si>
  <si>
    <t>PED. 87336291</t>
  </si>
  <si>
    <t>Ma. DE LOURDES HDZ CABRERA</t>
  </si>
  <si>
    <t>CONTRA EXCEL</t>
  </si>
  <si>
    <t>CUERO EN COMB O</t>
  </si>
  <si>
    <t>PU-106826</t>
  </si>
  <si>
    <t>NLSE22-157</t>
  </si>
  <si>
    <t>NLSE22-158</t>
  </si>
  <si>
    <t>NLSE22-159</t>
  </si>
  <si>
    <t>NLSE22-160</t>
  </si>
  <si>
    <t>NLSE22-161</t>
  </si>
  <si>
    <t>NLSE22-162</t>
  </si>
  <si>
    <t>NLSE22-163</t>
  </si>
  <si>
    <t>,09659</t>
  </si>
  <si>
    <t>BAR HERCA S DE RL DE CV</t>
  </si>
  <si>
    <t>,09672</t>
  </si>
  <si>
    <t>NLSE22-164</t>
  </si>
  <si>
    <t>ESPALDILLA S/H</t>
  </si>
  <si>
    <t>TOCINO NACIONAL</t>
  </si>
  <si>
    <t>NLSE22-166</t>
  </si>
  <si>
    <t>Transfer S 14-Sept-22</t>
  </si>
  <si>
    <t>Transfer S 6-Sept-22</t>
  </si>
  <si>
    <t>Transfer S 13-Sept-22</t>
  </si>
  <si>
    <t>ARCADIO LEDO BERISTAIN</t>
  </si>
  <si>
    <t>FOLIO CENTRAL 11112</t>
  </si>
  <si>
    <t>NOTA 729</t>
  </si>
  <si>
    <t>NOTA  639</t>
  </si>
  <si>
    <t>Varios productos</t>
  </si>
  <si>
    <t>A-335558</t>
  </si>
  <si>
    <t>A-335557</t>
  </si>
  <si>
    <t>VARIOS</t>
  </si>
  <si>
    <t>FOLIO CENTRAL 11102</t>
  </si>
  <si>
    <t>A-335543</t>
  </si>
  <si>
    <t>Transfer S 15-Sept-22</t>
  </si>
  <si>
    <t>Transfer Bnte 13-Sept-22</t>
  </si>
  <si>
    <t>Transfer B 1-Sept-22</t>
  </si>
  <si>
    <t>Transfer B 9-Sept-22</t>
  </si>
  <si>
    <t>Transfer Bnte 6-sept-22</t>
  </si>
  <si>
    <t>Transfer Bnte 7-SEPT-22</t>
  </si>
  <si>
    <t>Transfer Bnte 8-Sept-22</t>
  </si>
  <si>
    <t>Transfer Bnte 9-Sept-22</t>
  </si>
  <si>
    <t xml:space="preserve">HERCAS S DE RL DE CV </t>
  </si>
  <si>
    <t>SEABORAD FOODS</t>
  </si>
  <si>
    <t>Seabord</t>
  </si>
  <si>
    <t>PED. 87404024</t>
  </si>
  <si>
    <t>PED. 87403746</t>
  </si>
  <si>
    <t>PED. 87404465</t>
  </si>
  <si>
    <t xml:space="preserve">I BP </t>
  </si>
  <si>
    <t>PED. 87465798</t>
  </si>
  <si>
    <t>PED. 87518661</t>
  </si>
  <si>
    <t>PED. 87516897</t>
  </si>
  <si>
    <t>PED. 87573555</t>
  </si>
  <si>
    <t>HERCA S DE RL DE CV</t>
  </si>
  <si>
    <t>PUNTAS  DE CHULETA</t>
  </si>
  <si>
    <t xml:space="preserve">ALBICIA SE QUEDO CON </t>
  </si>
  <si>
    <t>9,207.75 KG</t>
  </si>
  <si>
    <t>327 CAJAS</t>
  </si>
  <si>
    <t>NLSE22-168</t>
  </si>
  <si>
    <t>O9729</t>
  </si>
  <si>
    <t>O9673</t>
  </si>
  <si>
    <t>C-56239------------C-56711</t>
  </si>
  <si>
    <t>NLSE22-169</t>
  </si>
  <si>
    <t>NLSE22-170</t>
  </si>
  <si>
    <t>NLSE22-167</t>
  </si>
  <si>
    <t>NLSE22-171</t>
  </si>
  <si>
    <t>Transfer S 21-Sept-22</t>
  </si>
  <si>
    <t>Transfer S 20-Sept-22</t>
  </si>
  <si>
    <t>SALCHICHONERIA</t>
  </si>
  <si>
    <t>FOLIO CENTRAL 11113</t>
  </si>
  <si>
    <t>A-335598</t>
  </si>
  <si>
    <t>FOLIO CENTRAL 11117</t>
  </si>
  <si>
    <t>A-335607</t>
  </si>
  <si>
    <t>FOLIO CENTRAL 11110</t>
  </si>
  <si>
    <t>PATA DE RES</t>
  </si>
  <si>
    <t>TOCINO SALADO</t>
  </si>
  <si>
    <t>CHORIZO</t>
  </si>
  <si>
    <t>A-335629</t>
  </si>
  <si>
    <t>FOLIO CENTRAL 11115</t>
  </si>
  <si>
    <t>A-335600</t>
  </si>
  <si>
    <t>CHILE</t>
  </si>
  <si>
    <t>FOLIO CENTRAL 11122</t>
  </si>
  <si>
    <t>A-335632</t>
  </si>
  <si>
    <t>Transfer B 7-Sept-22</t>
  </si>
  <si>
    <t>Transfer B 8-Sept-22</t>
  </si>
  <si>
    <t>Transfer B 14-Sept-22</t>
  </si>
  <si>
    <t>Transfer B 15-Sept-22</t>
  </si>
  <si>
    <t>Transfer B 19-Sept-22</t>
  </si>
  <si>
    <t>Transfer B 21-Sept-22</t>
  </si>
  <si>
    <t>Transfer B 23-Sept-22</t>
  </si>
  <si>
    <t>Transfer Bnte 12-Sept-22</t>
  </si>
  <si>
    <t>Transfer Bnte 15-Sept-22</t>
  </si>
  <si>
    <t>Transfer Bnte 19-Sept-22</t>
  </si>
  <si>
    <t>Transfer Bnte 20-Sept-22</t>
  </si>
  <si>
    <t>Transfer Bnte 21-Sept-22</t>
  </si>
  <si>
    <t>Transfer Bnte 22-Sept-22</t>
  </si>
  <si>
    <t>Transfer Bnte 23-Sept-22</t>
  </si>
  <si>
    <t>M</t>
  </si>
  <si>
    <t>CORBATA Smithfield</t>
  </si>
  <si>
    <t>BAK HERCA S DE RL CV</t>
  </si>
  <si>
    <t xml:space="preserve">BAK HERCA S DE RL DE CV </t>
  </si>
  <si>
    <t xml:space="preserve">BAK HERCA S DE RL </t>
  </si>
  <si>
    <t>SESOS MARQUETA</t>
  </si>
  <si>
    <t>RYC ALIMENTOS</t>
  </si>
  <si>
    <t>TOP SIRLON</t>
  </si>
  <si>
    <t>ENTRADA DEL MES DE SEPTIEMBRE  2022</t>
  </si>
  <si>
    <t xml:space="preserve">RYC ALIMENTOS </t>
  </si>
  <si>
    <t xml:space="preserve">B O L A </t>
  </si>
  <si>
    <t>I B P</t>
  </si>
  <si>
    <t>PED. 87746868</t>
  </si>
  <si>
    <t>PED. 87717007</t>
  </si>
  <si>
    <t>PED. 87811472</t>
  </si>
  <si>
    <t>PED. 87810987</t>
  </si>
  <si>
    <t>PED.87859590</t>
  </si>
  <si>
    <t>PED. 87859194</t>
  </si>
  <si>
    <t>PED. 87859192</t>
  </si>
  <si>
    <t>CORBATA</t>
  </si>
  <si>
    <t>ESPALDILLA DE CARNERO</t>
  </si>
  <si>
    <t>BOLA</t>
  </si>
  <si>
    <t>O9675</t>
  </si>
  <si>
    <t>NLSE22-173</t>
  </si>
  <si>
    <t>NLSE22-172</t>
  </si>
  <si>
    <t>NLSE22-174</t>
  </si>
  <si>
    <t>A14-27653</t>
  </si>
  <si>
    <t>NLSE22-175</t>
  </si>
  <si>
    <t>NLSE22-176</t>
  </si>
  <si>
    <t>Transfer B 27-Sept-22</t>
  </si>
  <si>
    <t>BAK HERCA S DE RL DE CV   Ma  LOURDES HERNANDEZ CABRERA</t>
  </si>
  <si>
    <t>12C04</t>
  </si>
  <si>
    <t>Transfer B 28-Sept-22</t>
  </si>
  <si>
    <t>HC-11411</t>
  </si>
  <si>
    <t>Transfer B 30-Sept-22</t>
  </si>
  <si>
    <t>Transfer S 23-Sept-22</t>
  </si>
  <si>
    <t>Transfer S 26-Sept-22</t>
  </si>
  <si>
    <t>Transfer S 29-Sept-22</t>
  </si>
  <si>
    <t>Transfer S 30-Sept-22</t>
  </si>
  <si>
    <t>Transfer B 20-Sept-22</t>
  </si>
  <si>
    <t>Transfer B 22-Sept-22</t>
  </si>
  <si>
    <t>Transfer Bnte 26-Sept-22</t>
  </si>
  <si>
    <t>Transfer Bnte 27-Sept-22</t>
  </si>
  <si>
    <t>Transfer Bnte 28-Sept-22</t>
  </si>
  <si>
    <t>Transfer Bnte 29-Sept-22</t>
  </si>
  <si>
    <t>Tranfer Bnte 30-Sept-22</t>
  </si>
  <si>
    <t>Transfer Bnte 30-Sept-22</t>
  </si>
  <si>
    <t>0794 A1</t>
  </si>
  <si>
    <t>0795 A1</t>
  </si>
  <si>
    <t>0796 A1</t>
  </si>
  <si>
    <t>0797 A1</t>
  </si>
  <si>
    <t>0798 A1</t>
  </si>
  <si>
    <t>0799 A1</t>
  </si>
  <si>
    <t>0800 A1</t>
  </si>
  <si>
    <t>0802 A1</t>
  </si>
  <si>
    <t>0803 A1</t>
  </si>
  <si>
    <t>0804 A1</t>
  </si>
  <si>
    <t>0807 A1</t>
  </si>
  <si>
    <t>0808 A1</t>
  </si>
  <si>
    <t>0808  A1</t>
  </si>
  <si>
    <t>0809 A1</t>
  </si>
  <si>
    <t>0810 A1</t>
  </si>
  <si>
    <t>0811 A1</t>
  </si>
  <si>
    <t>0812 A1</t>
  </si>
  <si>
    <t>0813 A1</t>
  </si>
  <si>
    <t>0814 A1</t>
  </si>
  <si>
    <t>0815 A1</t>
  </si>
  <si>
    <t>0817 A1</t>
  </si>
  <si>
    <t>0818 A1</t>
  </si>
  <si>
    <t>0819 A1</t>
  </si>
  <si>
    <t>0821 A1</t>
  </si>
  <si>
    <t>0822 A1</t>
  </si>
  <si>
    <t>0823 A1</t>
  </si>
  <si>
    <t>0824 A1</t>
  </si>
  <si>
    <t>0826 A1</t>
  </si>
  <si>
    <t>0827 A1</t>
  </si>
  <si>
    <t>0828 A1</t>
  </si>
  <si>
    <t>0829 A1</t>
  </si>
  <si>
    <t>0830 A1</t>
  </si>
  <si>
    <t>0831 A1</t>
  </si>
  <si>
    <t>0832 A1</t>
  </si>
  <si>
    <t>0833 A1</t>
  </si>
  <si>
    <t>0834 A1</t>
  </si>
  <si>
    <t>0836 A1</t>
  </si>
  <si>
    <t>0846 A1</t>
  </si>
  <si>
    <t>0856 A1</t>
  </si>
  <si>
    <t>0866 A1</t>
  </si>
  <si>
    <t>0876 A1</t>
  </si>
  <si>
    <t>0837 A1</t>
  </si>
  <si>
    <t>0838 A1</t>
  </si>
  <si>
    <t>0839 A1</t>
  </si>
  <si>
    <t>0840 A1</t>
  </si>
  <si>
    <t>0841 A1</t>
  </si>
  <si>
    <t>0842 A1</t>
  </si>
  <si>
    <t>0847 A1</t>
  </si>
  <si>
    <t>0848 A1</t>
  </si>
  <si>
    <t>0843 A1</t>
  </si>
  <si>
    <t>0845 A1</t>
  </si>
  <si>
    <t>0865 A1</t>
  </si>
  <si>
    <t>0875 A1</t>
  </si>
  <si>
    <t>0849 A1</t>
  </si>
  <si>
    <t>0850 A1</t>
  </si>
  <si>
    <t>0851 A1</t>
  </si>
  <si>
    <t>0852 A1</t>
  </si>
  <si>
    <t>0862 A1</t>
  </si>
  <si>
    <t>0872 A1</t>
  </si>
  <si>
    <t>0882 A1</t>
  </si>
  <si>
    <t>0853 A1</t>
  </si>
  <si>
    <t>0857 A1</t>
  </si>
  <si>
    <t>0835 A1</t>
  </si>
  <si>
    <t>0858 A1</t>
  </si>
  <si>
    <t>0859 A1</t>
  </si>
  <si>
    <t>0860 A1</t>
  </si>
  <si>
    <t>0861 A1</t>
  </si>
  <si>
    <t>0863 A1</t>
  </si>
  <si>
    <t>0864 A1</t>
  </si>
  <si>
    <t>0867 A1</t>
  </si>
  <si>
    <t>0872 a1</t>
  </si>
  <si>
    <t>0873 A1</t>
  </si>
  <si>
    <t>0877 A1</t>
  </si>
  <si>
    <t>0878 A1</t>
  </si>
  <si>
    <t>0879 A1</t>
  </si>
  <si>
    <t>0880 A1</t>
  </si>
  <si>
    <t>0881 A1</t>
  </si>
  <si>
    <t>0883 A1</t>
  </si>
  <si>
    <t>0884 A1</t>
  </si>
  <si>
    <t>0885 A1</t>
  </si>
  <si>
    <t>0886 A1</t>
  </si>
  <si>
    <t>0887 A1</t>
  </si>
  <si>
    <t>0888 A1</t>
  </si>
  <si>
    <t>0890 A1</t>
  </si>
  <si>
    <t>0892 A1</t>
  </si>
  <si>
    <t>0893 A1</t>
  </si>
  <si>
    <t>0869 A1</t>
  </si>
  <si>
    <t>0870 A1</t>
  </si>
  <si>
    <t>0871 A1</t>
  </si>
  <si>
    <t>0894 A1</t>
  </si>
  <si>
    <t>0895 A1</t>
  </si>
  <si>
    <t>0896 A1</t>
  </si>
  <si>
    <t>0897 A1</t>
  </si>
  <si>
    <t>0898 A1</t>
  </si>
  <si>
    <t>0899 A1</t>
  </si>
  <si>
    <t>0900 A1</t>
  </si>
  <si>
    <t>0901 A1</t>
  </si>
  <si>
    <t>0902 A1</t>
  </si>
  <si>
    <t>0904 A1</t>
  </si>
  <si>
    <t>0905 A1</t>
  </si>
  <si>
    <t>0906 A1</t>
  </si>
  <si>
    <t>0908 A1</t>
  </si>
  <si>
    <t>0909 A1</t>
  </si>
  <si>
    <t>0909 a1</t>
  </si>
  <si>
    <t>0910 A1</t>
  </si>
  <si>
    <t>0912 A1</t>
  </si>
  <si>
    <t>0914 A1</t>
  </si>
  <si>
    <t>0915 A1</t>
  </si>
  <si>
    <t>0910 a1</t>
  </si>
  <si>
    <t>0913 A1</t>
  </si>
  <si>
    <t>0916 A1</t>
  </si>
  <si>
    <t>0918 A1</t>
  </si>
  <si>
    <t>0919 A1</t>
  </si>
  <si>
    <t>0920 A1</t>
  </si>
  <si>
    <t>0921 A1</t>
  </si>
  <si>
    <t>0922 A1</t>
  </si>
  <si>
    <t>0923 A1</t>
  </si>
  <si>
    <t>0925 A1</t>
  </si>
  <si>
    <t>0926 A1</t>
  </si>
  <si>
    <t>0927 A1</t>
  </si>
  <si>
    <t>0928 A1</t>
  </si>
  <si>
    <t>0929 A1</t>
  </si>
  <si>
    <t>0930 A1</t>
  </si>
  <si>
    <t>0931 A1</t>
  </si>
  <si>
    <t>0932 A1</t>
  </si>
  <si>
    <t>0933 A1</t>
  </si>
  <si>
    <t>0935 A1</t>
  </si>
  <si>
    <t>0936 A1</t>
  </si>
  <si>
    <t>0937 A1</t>
  </si>
  <si>
    <t>0938 A1</t>
  </si>
  <si>
    <t>0939 A1</t>
  </si>
  <si>
    <t>0940 A1</t>
  </si>
  <si>
    <t>0941 A1</t>
  </si>
  <si>
    <t>0942 A1</t>
  </si>
  <si>
    <t>0943 A1</t>
  </si>
  <si>
    <t>0944 A1</t>
  </si>
  <si>
    <t>0946 A1</t>
  </si>
  <si>
    <t>0868 A1</t>
  </si>
  <si>
    <t>0948 A1</t>
  </si>
  <si>
    <t>0949 A1</t>
  </si>
  <si>
    <t>0950 A1</t>
  </si>
  <si>
    <t>0951 A1</t>
  </si>
  <si>
    <t>0952 A1</t>
  </si>
  <si>
    <t>0953 A1</t>
  </si>
  <si>
    <t>0955 A1</t>
  </si>
  <si>
    <t>0956 A1</t>
  </si>
  <si>
    <t>0957 A1</t>
  </si>
  <si>
    <t>0958 A1</t>
  </si>
  <si>
    <t>0959 A1</t>
  </si>
  <si>
    <t>0961 A1</t>
  </si>
  <si>
    <t>0962 A1</t>
  </si>
  <si>
    <t>0963 A1</t>
  </si>
  <si>
    <t>0964 A1</t>
  </si>
  <si>
    <t>0965 A1</t>
  </si>
  <si>
    <t>0966 A1</t>
  </si>
  <si>
    <t>0967 A1</t>
  </si>
  <si>
    <t>0968 A1</t>
  </si>
  <si>
    <t>0969 A1</t>
  </si>
  <si>
    <t>0970 A1</t>
  </si>
  <si>
    <t>0980 A1</t>
  </si>
  <si>
    <t>0972 A1</t>
  </si>
  <si>
    <t>0973 A1</t>
  </si>
  <si>
    <t>0974 A1</t>
  </si>
  <si>
    <t>0975 A1</t>
  </si>
  <si>
    <t>0976 A1</t>
  </si>
  <si>
    <t>0977 A1</t>
  </si>
  <si>
    <t>0978 A1</t>
  </si>
  <si>
    <t>0979 A1</t>
  </si>
  <si>
    <t>979 A1</t>
  </si>
  <si>
    <t>0981 A1</t>
  </si>
  <si>
    <t>0982 A1</t>
  </si>
  <si>
    <t>0983 A1</t>
  </si>
  <si>
    <t>0985 A1</t>
  </si>
  <si>
    <t>0986 A1</t>
  </si>
  <si>
    <t>0987 A1</t>
  </si>
  <si>
    <t>0989 A1</t>
  </si>
  <si>
    <t>0990 A1</t>
  </si>
  <si>
    <t>0991 A1</t>
  </si>
  <si>
    <t>0992 A1</t>
  </si>
  <si>
    <t>0993 A1</t>
  </si>
  <si>
    <t>0994 A1</t>
  </si>
  <si>
    <t>0995 A1</t>
  </si>
  <si>
    <t>0996 A1</t>
  </si>
  <si>
    <t>0997 A1</t>
  </si>
  <si>
    <t>1000 A1</t>
  </si>
  <si>
    <t>0002 B1</t>
  </si>
  <si>
    <t>0003 B1</t>
  </si>
  <si>
    <t>0004 B1</t>
  </si>
  <si>
    <t>0005 B1</t>
  </si>
  <si>
    <t>0007 B1</t>
  </si>
  <si>
    <t>0008 B1</t>
  </si>
  <si>
    <t>0008 A1</t>
  </si>
  <si>
    <t>0009 B1</t>
  </si>
  <si>
    <t>0010 B1</t>
  </si>
  <si>
    <t>0011 B1</t>
  </si>
  <si>
    <t>0013 B1</t>
  </si>
  <si>
    <t>0014 B1</t>
  </si>
  <si>
    <t>0015 B1</t>
  </si>
  <si>
    <t>0017 B1</t>
  </si>
  <si>
    <t>0018 B1</t>
  </si>
  <si>
    <t>0019 B1</t>
  </si>
  <si>
    <t>0012 B1</t>
  </si>
  <si>
    <t>0020 B1</t>
  </si>
  <si>
    <t>0021 B1</t>
  </si>
  <si>
    <t>0022 B1</t>
  </si>
  <si>
    <t>0023 B1</t>
  </si>
  <si>
    <t>0024 B1</t>
  </si>
  <si>
    <t>0025 B1</t>
  </si>
  <si>
    <t>0026 B1</t>
  </si>
  <si>
    <t>0027 B1</t>
  </si>
  <si>
    <t>0029 B1</t>
  </si>
  <si>
    <t>0030 B1</t>
  </si>
  <si>
    <t>0031 B1</t>
  </si>
  <si>
    <t>0032 B1</t>
  </si>
  <si>
    <t>0033 B1</t>
  </si>
  <si>
    <t>0035 B1</t>
  </si>
  <si>
    <t>035 B1</t>
  </si>
  <si>
    <t>0037 B1</t>
  </si>
  <si>
    <t>0039 B1</t>
  </si>
  <si>
    <t>0040 B1</t>
  </si>
  <si>
    <t>0041 B1</t>
  </si>
  <si>
    <t>0042 B1</t>
  </si>
  <si>
    <t>0043 B1</t>
  </si>
  <si>
    <t>0044 B1</t>
  </si>
  <si>
    <t>0045 B1</t>
  </si>
  <si>
    <t>0046 B1</t>
  </si>
  <si>
    <t>0047 B1</t>
  </si>
  <si>
    <t>0049 B1</t>
  </si>
  <si>
    <t>0050 B1</t>
  </si>
  <si>
    <t>0051 B1</t>
  </si>
  <si>
    <t>0052 B1</t>
  </si>
  <si>
    <t>0053 B1</t>
  </si>
  <si>
    <t>0054 B1</t>
  </si>
  <si>
    <t>0055 B1</t>
  </si>
  <si>
    <t>0056 B1</t>
  </si>
  <si>
    <t>0057 B1</t>
  </si>
  <si>
    <t>0059 B1</t>
  </si>
  <si>
    <t>0060 B1</t>
  </si>
  <si>
    <t>0061 B1</t>
  </si>
  <si>
    <t>0062 B1</t>
  </si>
  <si>
    <t>0063 B1</t>
  </si>
  <si>
    <t>0064 B1</t>
  </si>
  <si>
    <t>0065 B1</t>
  </si>
  <si>
    <t>0066 B1</t>
  </si>
  <si>
    <t>0067 B1</t>
  </si>
  <si>
    <t>0068 B1</t>
  </si>
  <si>
    <t>0069 B1</t>
  </si>
  <si>
    <t>0070 B1</t>
  </si>
  <si>
    <t>0071 B1</t>
  </si>
  <si>
    <t>0072 B1</t>
  </si>
  <si>
    <t>0075 B1</t>
  </si>
  <si>
    <t>0074 B1</t>
  </si>
  <si>
    <t>0076 B1</t>
  </si>
  <si>
    <t>0006 B1</t>
  </si>
  <si>
    <t>HC-11410</t>
  </si>
  <si>
    <t>Transfer S 10-Oct-22</t>
  </si>
  <si>
    <t xml:space="preserve"> Ma  LOURDES HERNANDEZ CABRERA</t>
  </si>
  <si>
    <t xml:space="preserve">BAK HERCA S DE RL DE CV  </t>
  </si>
  <si>
    <t>Trnasfer B 3-Oct-22</t>
  </si>
  <si>
    <t>FOLIO CENTRAL 11125</t>
  </si>
  <si>
    <t>A-335657</t>
  </si>
  <si>
    <t>Transfer S 4-Oct--22</t>
  </si>
  <si>
    <t>FOLIO CENTRAL 11127</t>
  </si>
  <si>
    <t>A-335690</t>
  </si>
  <si>
    <t>Transfer S 6-Oct-22</t>
  </si>
  <si>
    <t>Transfer B 3-Oct-22</t>
  </si>
  <si>
    <t>JOSE CUAUHTEMO BAÑALES GARCIA    "GUILLERMO GARCIA WICHOACAN"</t>
  </si>
  <si>
    <t>FOLIO CENTRAL 11128</t>
  </si>
  <si>
    <t>Transfer B 5-Oct-22</t>
  </si>
  <si>
    <t>Transfer  B 15-Sept-22</t>
  </si>
  <si>
    <t>Transfer B 24-Ago-22</t>
  </si>
  <si>
    <t>Transfer B 25-Ago-22</t>
  </si>
  <si>
    <t>Transfer B 23-Ago-22</t>
  </si>
  <si>
    <t>Transfer S 26-Ago-22</t>
  </si>
  <si>
    <t>Transfer S 30-Ago-22</t>
  </si>
  <si>
    <t>Transfer S 31-Ago-22</t>
  </si>
  <si>
    <t>Transfer S 29-Ago-22</t>
  </si>
  <si>
    <t>Transfer Bnte 30-Ago-22</t>
  </si>
  <si>
    <t>FPL-1392799</t>
  </si>
  <si>
    <t>Transfer 14-Oct-22--21-Oct-22--27-Oct-22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</si>
</sst>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2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0000"/>
        <bgColor indexed="64"/>
      </patternFill>
    </fill>
  </fills>
  <borders count="10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13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Alignment="1">
      <alignment wrapText="1"/>
    </xf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6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0" fontId="22" fillId="0" borderId="33" xfId="0" applyFont="1" applyBorder="1" applyAlignment="1">
      <alignment horizontal="left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 wrapText="1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62" fillId="0" borderId="14" xfId="0" applyFont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6" fillId="0" borderId="0" xfId="0" applyNumberFormat="1" applyFont="1" applyAlignment="1">
      <alignment horizontal="left"/>
    </xf>
    <xf numFmtId="167" fontId="66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1" fontId="7" fillId="0" borderId="33" xfId="0" applyNumberFormat="1" applyFont="1" applyBorder="1" applyAlignment="1">
      <alignment horizontal="center" vertical="center"/>
    </xf>
    <xf numFmtId="2" fontId="27" fillId="0" borderId="0" xfId="0" applyNumberFormat="1" applyFont="1" applyAlignment="1">
      <alignment horizontal="right"/>
    </xf>
    <xf numFmtId="0" fontId="23" fillId="0" borderId="0" xfId="0" applyFont="1" applyAlignment="1">
      <alignment vertical="center" wrapText="1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0" fontId="40" fillId="0" borderId="51" xfId="0" applyFont="1" applyBorder="1"/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26" fillId="0" borderId="7" xfId="0" applyFont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1" fontId="53" fillId="0" borderId="33" xfId="0" applyNumberFormat="1" applyFont="1" applyBorder="1" applyAlignment="1">
      <alignment horizontal="center"/>
    </xf>
    <xf numFmtId="0" fontId="6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Border="1" applyAlignment="1">
      <alignment horizontal="right"/>
    </xf>
    <xf numFmtId="164" fontId="69" fillId="0" borderId="0" xfId="0" applyNumberFormat="1" applyFont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/>
    </xf>
    <xf numFmtId="2" fontId="71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/>
    </xf>
    <xf numFmtId="0" fontId="6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6" fontId="10" fillId="0" borderId="33" xfId="0" applyNumberFormat="1" applyFont="1" applyBorder="1" applyAlignment="1">
      <alignment horizontal="right"/>
    </xf>
    <xf numFmtId="4" fontId="7" fillId="7" borderId="0" xfId="0" applyNumberFormat="1" applyFont="1" applyFill="1"/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0" fontId="7" fillId="19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6" fontId="22" fillId="0" borderId="33" xfId="0" applyNumberFormat="1" applyFont="1" applyBorder="1" applyAlignment="1">
      <alignment horizontal="left" wrapText="1"/>
    </xf>
    <xf numFmtId="0" fontId="22" fillId="0" borderId="33" xfId="0" applyFont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2" fontId="76" fillId="0" borderId="0" xfId="0" applyNumberFormat="1" applyFont="1" applyAlignment="1">
      <alignment horizontal="right"/>
    </xf>
    <xf numFmtId="168" fontId="76" fillId="0" borderId="15" xfId="0" applyNumberFormat="1" applyFont="1" applyBorder="1"/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18" fillId="0" borderId="33" xfId="0" applyNumberFormat="1" applyFont="1" applyBorder="1" applyAlignment="1">
      <alignment wrapText="1"/>
    </xf>
    <xf numFmtId="166" fontId="17" fillId="0" borderId="33" xfId="0" applyNumberFormat="1" applyFont="1" applyBorder="1" applyAlignment="1">
      <alignment horizontal="left" wrapText="1"/>
    </xf>
    <xf numFmtId="167" fontId="17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7" fillId="0" borderId="68" xfId="0" applyFont="1" applyBorder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60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7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54" fillId="0" borderId="33" xfId="0" applyFont="1" applyBorder="1" applyAlignment="1">
      <alignment horizontal="left"/>
    </xf>
    <xf numFmtId="1" fontId="41" fillId="0" borderId="33" xfId="0" applyNumberFormat="1" applyFont="1" applyBorder="1" applyAlignment="1">
      <alignment horizontal="center"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0" fontId="56" fillId="0" borderId="10" xfId="0" applyFont="1" applyBorder="1" applyAlignment="1">
      <alignment horizontal="right"/>
    </xf>
    <xf numFmtId="15" fontId="56" fillId="0" borderId="0" xfId="0" applyNumberFormat="1" applyFont="1"/>
    <xf numFmtId="2" fontId="56" fillId="0" borderId="0" xfId="0" applyNumberFormat="1" applyFont="1"/>
    <xf numFmtId="164" fontId="56" fillId="0" borderId="12" xfId="0" applyNumberFormat="1" applyFont="1" applyBorder="1"/>
    <xf numFmtId="167" fontId="56" fillId="0" borderId="0" xfId="0" applyNumberFormat="1" applyFont="1"/>
    <xf numFmtId="15" fontId="56" fillId="0" borderId="15" xfId="0" applyNumberFormat="1" applyFont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168" fontId="56" fillId="0" borderId="0" xfId="0" applyNumberFormat="1" applyFont="1"/>
    <xf numFmtId="2" fontId="56" fillId="0" borderId="51" xfId="0" applyNumberFormat="1" applyFont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/>
    <xf numFmtId="0" fontId="56" fillId="0" borderId="0" xfId="0" applyFont="1" applyAlignment="1">
      <alignment horizontal="right"/>
    </xf>
    <xf numFmtId="0" fontId="56" fillId="0" borderId="0" xfId="0" applyFont="1" applyAlignment="1">
      <alignment horizontal="center"/>
    </xf>
    <xf numFmtId="164" fontId="56" fillId="0" borderId="0" xfId="0" applyNumberFormat="1" applyFont="1" applyAlignment="1">
      <alignment horizontal="right"/>
    </xf>
    <xf numFmtId="2" fontId="78" fillId="0" borderId="5" xfId="0" applyNumberFormat="1" applyFont="1" applyBorder="1" applyAlignment="1">
      <alignment horizontal="right"/>
    </xf>
    <xf numFmtId="15" fontId="78" fillId="0" borderId="0" xfId="0" applyNumberFormat="1" applyFont="1"/>
    <xf numFmtId="0" fontId="77" fillId="0" borderId="33" xfId="0" applyFont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0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Border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44" fontId="7" fillId="0" borderId="33" xfId="1" applyFont="1" applyFill="1" applyBorder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68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168" fontId="56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0" fontId="7" fillId="4" borderId="0" xfId="0" applyFont="1" applyFill="1"/>
    <xf numFmtId="0" fontId="3" fillId="4" borderId="51" xfId="0" applyFont="1" applyFill="1" applyBorder="1" applyAlignment="1">
      <alignment horizontal="center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Border="1"/>
    <xf numFmtId="4" fontId="40" fillId="0" borderId="33" xfId="0" applyNumberFormat="1" applyFont="1" applyBorder="1"/>
    <xf numFmtId="0" fontId="40" fillId="0" borderId="33" xfId="0" applyFont="1" applyBorder="1" applyAlignment="1">
      <alignment horizontal="center"/>
    </xf>
    <xf numFmtId="2" fontId="40" fillId="0" borderId="33" xfId="0" applyNumberFormat="1" applyFont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Border="1" applyAlignment="1">
      <alignment vertical="center"/>
    </xf>
    <xf numFmtId="2" fontId="40" fillId="0" borderId="33" xfId="0" applyNumberFormat="1" applyFont="1" applyBorder="1"/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left" vertical="center"/>
    </xf>
    <xf numFmtId="0" fontId="40" fillId="0" borderId="33" xfId="0" applyFont="1" applyBorder="1" applyAlignment="1">
      <alignment horizontal="center" vertical="center"/>
    </xf>
    <xf numFmtId="0" fontId="81" fillId="0" borderId="33" xfId="0" applyFont="1" applyBorder="1" applyAlignment="1">
      <alignment vertical="center"/>
    </xf>
    <xf numFmtId="2" fontId="40" fillId="0" borderId="33" xfId="0" applyNumberFormat="1" applyFont="1" applyBorder="1" applyAlignment="1">
      <alignment horizontal="center" vertical="center"/>
    </xf>
    <xf numFmtId="0" fontId="40" fillId="0" borderId="33" xfId="0" applyFont="1" applyBorder="1" applyAlignment="1">
      <alignment vertical="center" wrapText="1"/>
    </xf>
    <xf numFmtId="164" fontId="7" fillId="0" borderId="33" xfId="0" applyNumberFormat="1" applyFont="1" applyBorder="1" applyAlignment="1">
      <alignment horizontal="center"/>
    </xf>
    <xf numFmtId="2" fontId="10" fillId="26" borderId="0" xfId="0" applyNumberFormat="1" applyFont="1" applyFill="1"/>
    <xf numFmtId="0" fontId="10" fillId="26" borderId="0" xfId="0" applyFont="1" applyFill="1" applyAlignment="1">
      <alignment horizont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2" fontId="45" fillId="0" borderId="51" xfId="0" applyNumberFormat="1" applyFont="1" applyBorder="1" applyAlignment="1">
      <alignment horizontal="right"/>
    </xf>
    <xf numFmtId="168" fontId="45" fillId="0" borderId="51" xfId="0" applyNumberFormat="1" applyFont="1" applyBorder="1"/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2" fontId="82" fillId="0" borderId="51" xfId="0" applyNumberFormat="1" applyFont="1" applyBorder="1" applyAlignment="1">
      <alignment horizontal="right"/>
    </xf>
    <xf numFmtId="168" fontId="82" fillId="0" borderId="0" xfId="0" applyNumberFormat="1" applyFont="1"/>
    <xf numFmtId="2" fontId="82" fillId="0" borderId="5" xfId="0" applyNumberFormat="1" applyFont="1" applyBorder="1" applyAlignment="1">
      <alignment horizontal="right"/>
    </xf>
    <xf numFmtId="164" fontId="82" fillId="0" borderId="0" xfId="0" applyNumberFormat="1" applyFont="1" applyAlignment="1">
      <alignment horizontal="right"/>
    </xf>
    <xf numFmtId="44" fontId="82" fillId="0" borderId="0" xfId="1" applyFont="1"/>
    <xf numFmtId="44" fontId="82" fillId="0" borderId="0" xfId="1" applyFont="1" applyFill="1"/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0" fontId="7" fillId="6" borderId="0" xfId="0" applyFont="1" applyFill="1"/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164" fontId="7" fillId="0" borderId="92" xfId="0" applyNumberFormat="1" applyFont="1" applyBorder="1" applyAlignment="1">
      <alignment horizontal="center"/>
    </xf>
    <xf numFmtId="164" fontId="7" fillId="0" borderId="92" xfId="0" applyNumberFormat="1" applyFont="1" applyBorder="1"/>
    <xf numFmtId="0" fontId="28" fillId="0" borderId="74" xfId="0" applyFont="1" applyBorder="1" applyAlignment="1">
      <alignment horizontal="center" vertical="center"/>
    </xf>
    <xf numFmtId="1" fontId="53" fillId="0" borderId="68" xfId="0" applyNumberFormat="1" applyFont="1" applyBorder="1" applyAlignment="1">
      <alignment vertical="center"/>
    </xf>
    <xf numFmtId="0" fontId="40" fillId="0" borderId="92" xfId="0" applyFont="1" applyBorder="1" applyAlignment="1">
      <alignment vertical="center"/>
    </xf>
    <xf numFmtId="0" fontId="40" fillId="0" borderId="74" xfId="0" applyFont="1" applyBorder="1" applyAlignment="1">
      <alignment vertical="center" wrapText="1"/>
    </xf>
    <xf numFmtId="0" fontId="40" fillId="0" borderId="68" xfId="0" applyFont="1" applyBorder="1" applyAlignment="1">
      <alignment vertical="center"/>
    </xf>
    <xf numFmtId="0" fontId="54" fillId="0" borderId="92" xfId="0" applyFont="1" applyBorder="1" applyAlignment="1">
      <alignment horizontal="left"/>
    </xf>
    <xf numFmtId="0" fontId="40" fillId="0" borderId="92" xfId="0" applyFont="1" applyBorder="1"/>
    <xf numFmtId="0" fontId="65" fillId="0" borderId="74" xfId="0" applyFont="1" applyBorder="1" applyAlignment="1">
      <alignment horizontal="left" wrapText="1"/>
    </xf>
    <xf numFmtId="164" fontId="7" fillId="0" borderId="92" xfId="0" applyNumberFormat="1" applyFont="1" applyBorder="1" applyAlignment="1">
      <alignment vertical="center"/>
    </xf>
    <xf numFmtId="1" fontId="41" fillId="0" borderId="68" xfId="0" applyNumberFormat="1" applyFont="1" applyBorder="1" applyAlignment="1">
      <alignment vertical="center"/>
    </xf>
    <xf numFmtId="164" fontId="7" fillId="4" borderId="33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44" fontId="7" fillId="0" borderId="91" xfId="1" applyFont="1" applyFill="1" applyBorder="1" applyAlignment="1"/>
    <xf numFmtId="164" fontId="7" fillId="0" borderId="68" xfId="0" applyNumberFormat="1" applyFont="1" applyBorder="1" applyAlignment="1">
      <alignment vertical="center" wrapText="1"/>
    </xf>
    <xf numFmtId="0" fontId="83" fillId="0" borderId="68" xfId="0" applyFont="1" applyBorder="1" applyAlignment="1">
      <alignment vertical="center"/>
    </xf>
    <xf numFmtId="0" fontId="40" fillId="9" borderId="33" xfId="0" applyFont="1" applyFill="1" applyBorder="1" applyAlignment="1">
      <alignment vertical="center" wrapText="1"/>
    </xf>
    <xf numFmtId="164" fontId="84" fillId="0" borderId="33" xfId="0" applyNumberFormat="1" applyFont="1" applyBorder="1" applyAlignment="1">
      <alignment horizontal="center" vertical="center" wrapText="1"/>
    </xf>
    <xf numFmtId="1" fontId="77" fillId="14" borderId="33" xfId="0" applyNumberFormat="1" applyFont="1" applyFill="1" applyBorder="1" applyAlignment="1">
      <alignment horizontal="center" vertical="center" wrapText="1"/>
    </xf>
    <xf numFmtId="0" fontId="79" fillId="19" borderId="0" xfId="0" applyFont="1" applyFill="1" applyAlignment="1">
      <alignment horizontal="center"/>
    </xf>
    <xf numFmtId="44" fontId="56" fillId="0" borderId="0" xfId="1" applyFont="1" applyFill="1" applyAlignment="1"/>
    <xf numFmtId="168" fontId="56" fillId="0" borderId="0" xfId="0" applyNumberFormat="1" applyFont="1" applyAlignment="1">
      <alignment horizontal="right"/>
    </xf>
    <xf numFmtId="173" fontId="56" fillId="0" borderId="0" xfId="0" applyNumberFormat="1" applyFont="1"/>
    <xf numFmtId="0" fontId="7" fillId="0" borderId="92" xfId="0" applyFont="1" applyBorder="1"/>
    <xf numFmtId="0" fontId="7" fillId="0" borderId="92" xfId="0" applyFont="1" applyBorder="1" applyAlignment="1">
      <alignment vertical="center"/>
    </xf>
    <xf numFmtId="0" fontId="28" fillId="0" borderId="92" xfId="0" applyFont="1" applyBorder="1" applyAlignment="1">
      <alignment vertical="center"/>
    </xf>
    <xf numFmtId="0" fontId="81" fillId="0" borderId="74" xfId="0" applyFont="1" applyBorder="1" applyAlignment="1">
      <alignment vertical="center"/>
    </xf>
    <xf numFmtId="1" fontId="7" fillId="0" borderId="92" xfId="0" applyNumberFormat="1" applyFont="1" applyBorder="1" applyAlignment="1">
      <alignment horizontal="center" vertical="center"/>
    </xf>
    <xf numFmtId="1" fontId="7" fillId="0" borderId="92" xfId="0" applyNumberFormat="1" applyFont="1" applyBorder="1" applyAlignment="1">
      <alignment vertical="center"/>
    </xf>
    <xf numFmtId="1" fontId="41" fillId="0" borderId="74" xfId="0" applyNumberFormat="1" applyFont="1" applyBorder="1" applyAlignment="1">
      <alignment horizontal="center" vertical="center"/>
    </xf>
    <xf numFmtId="1" fontId="7" fillId="4" borderId="33" xfId="0" applyNumberFormat="1" applyFont="1" applyFill="1" applyBorder="1" applyAlignment="1">
      <alignment horizontal="center" vertical="center"/>
    </xf>
    <xf numFmtId="44" fontId="7" fillId="0" borderId="68" xfId="1" applyFont="1" applyFill="1" applyBorder="1" applyAlignment="1">
      <alignment horizontal="center" vertical="center" wrapText="1"/>
    </xf>
    <xf numFmtId="168" fontId="40" fillId="0" borderId="68" xfId="0" applyNumberFormat="1" applyFont="1" applyBorder="1" applyAlignment="1">
      <alignment horizontal="center" vertical="center"/>
    </xf>
    <xf numFmtId="1" fontId="53" fillId="0" borderId="74" xfId="0" applyNumberFormat="1" applyFont="1" applyBorder="1" applyAlignment="1">
      <alignment horizontal="center" vertical="center"/>
    </xf>
    <xf numFmtId="1" fontId="41" fillId="0" borderId="0" xfId="0" applyNumberFormat="1" applyFont="1" applyAlignment="1">
      <alignment horizontal="center" vertical="center"/>
    </xf>
    <xf numFmtId="0" fontId="81" fillId="0" borderId="0" xfId="0" applyFont="1" applyAlignment="1">
      <alignment horizontal="center" vertical="center" wrapText="1"/>
    </xf>
    <xf numFmtId="44" fontId="85" fillId="0" borderId="33" xfId="1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1" fontId="41" fillId="0" borderId="33" xfId="0" applyNumberFormat="1" applyFont="1" applyBorder="1" applyAlignment="1">
      <alignment horizontal="center" vertical="center" wrapText="1"/>
    </xf>
    <xf numFmtId="0" fontId="40" fillId="0" borderId="74" xfId="0" applyFont="1" applyBorder="1" applyAlignment="1">
      <alignment vertical="center"/>
    </xf>
    <xf numFmtId="1" fontId="41" fillId="0" borderId="74" xfId="0" applyNumberFormat="1" applyFont="1" applyBorder="1" applyAlignment="1">
      <alignment horizontal="center" vertical="center" wrapText="1"/>
    </xf>
    <xf numFmtId="0" fontId="85" fillId="0" borderId="33" xfId="0" applyFont="1" applyBorder="1" applyAlignment="1">
      <alignment horizontal="center" vertical="center" wrapText="1"/>
    </xf>
    <xf numFmtId="0" fontId="56" fillId="0" borderId="33" xfId="0" applyFont="1" applyBorder="1" applyAlignment="1">
      <alignment vertical="center" wrapText="1"/>
    </xf>
    <xf numFmtId="2" fontId="40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/>
    </xf>
    <xf numFmtId="168" fontId="40" fillId="0" borderId="68" xfId="0" applyNumberFormat="1" applyFont="1" applyBorder="1" applyAlignment="1">
      <alignment vertical="center"/>
    </xf>
    <xf numFmtId="0" fontId="40" fillId="0" borderId="68" xfId="0" applyFont="1" applyBorder="1" applyAlignment="1">
      <alignment vertical="center" wrapText="1"/>
    </xf>
    <xf numFmtId="0" fontId="86" fillId="0" borderId="79" xfId="0" applyFont="1" applyBorder="1" applyAlignment="1">
      <alignment vertical="center"/>
    </xf>
    <xf numFmtId="1" fontId="41" fillId="0" borderId="74" xfId="0" applyNumberFormat="1" applyFont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Border="1" applyAlignment="1">
      <alignment horizontal="center" vertical="center" wrapText="1"/>
    </xf>
    <xf numFmtId="164" fontId="7" fillId="0" borderId="68" xfId="0" applyNumberFormat="1" applyFont="1" applyBorder="1" applyAlignment="1">
      <alignment horizontal="center" vertical="center" wrapText="1"/>
    </xf>
    <xf numFmtId="0" fontId="81" fillId="0" borderId="0" xfId="0" applyFont="1" applyAlignment="1">
      <alignment vertical="center"/>
    </xf>
    <xf numFmtId="1" fontId="41" fillId="0" borderId="52" xfId="0" applyNumberFormat="1" applyFont="1" applyBorder="1" applyAlignment="1">
      <alignment horizontal="center" vertical="center"/>
    </xf>
    <xf numFmtId="0" fontId="7" fillId="27" borderId="74" xfId="0" applyFont="1" applyFill="1" applyBorder="1" applyAlignment="1">
      <alignment vertical="center" wrapText="1"/>
    </xf>
    <xf numFmtId="2" fontId="7" fillId="0" borderId="92" xfId="0" applyNumberFormat="1" applyFont="1" applyBorder="1" applyAlignment="1">
      <alignment vertical="center"/>
    </xf>
    <xf numFmtId="168" fontId="7" fillId="0" borderId="74" xfId="0" applyNumberFormat="1" applyFont="1" applyBorder="1" applyAlignment="1">
      <alignment vertical="center"/>
    </xf>
    <xf numFmtId="1" fontId="7" fillId="0" borderId="74" xfId="0" applyNumberFormat="1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28" fillId="0" borderId="96" xfId="0" applyFont="1" applyBorder="1" applyAlignment="1">
      <alignment horizontal="center"/>
    </xf>
    <xf numFmtId="0" fontId="7" fillId="0" borderId="96" xfId="0" applyFont="1" applyBorder="1" applyAlignment="1">
      <alignment horizontal="center" wrapText="1"/>
    </xf>
    <xf numFmtId="0" fontId="80" fillId="0" borderId="96" xfId="0" applyFont="1" applyBorder="1" applyAlignment="1">
      <alignment horizontal="center" vertical="center"/>
    </xf>
    <xf numFmtId="0" fontId="60" fillId="0" borderId="96" xfId="0" applyFont="1" applyBorder="1" applyAlignment="1">
      <alignment horizontal="center"/>
    </xf>
    <xf numFmtId="0" fontId="53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0" fontId="7" fillId="22" borderId="33" xfId="0" applyFont="1" applyFill="1" applyBorder="1" applyAlignment="1">
      <alignment horizontal="center"/>
    </xf>
    <xf numFmtId="0" fontId="7" fillId="0" borderId="91" xfId="0" applyFont="1" applyBorder="1" applyAlignment="1">
      <alignment vertical="center"/>
    </xf>
    <xf numFmtId="0" fontId="28" fillId="0" borderId="33" xfId="0" applyFont="1" applyBorder="1" applyAlignment="1">
      <alignment horizontal="center" vertical="center"/>
    </xf>
    <xf numFmtId="1" fontId="28" fillId="27" borderId="87" xfId="0" applyNumberFormat="1" applyFont="1" applyFill="1" applyBorder="1" applyAlignment="1">
      <alignment horizontal="center" vertical="center" wrapText="1"/>
    </xf>
    <xf numFmtId="0" fontId="7" fillId="0" borderId="74" xfId="0" applyFont="1" applyBorder="1" applyAlignment="1">
      <alignment vertical="center" wrapText="1"/>
    </xf>
    <xf numFmtId="1" fontId="28" fillId="0" borderId="74" xfId="0" applyNumberFormat="1" applyFont="1" applyBorder="1" applyAlignment="1">
      <alignment horizontal="center" vertical="center"/>
    </xf>
    <xf numFmtId="1" fontId="7" fillId="4" borderId="92" xfId="0" applyNumberFormat="1" applyFont="1" applyFill="1" applyBorder="1" applyAlignment="1">
      <alignment horizontal="center" vertical="center"/>
    </xf>
    <xf numFmtId="0" fontId="10" fillId="0" borderId="33" xfId="0" applyFont="1" applyBorder="1" applyAlignment="1">
      <alignment vertical="center"/>
    </xf>
    <xf numFmtId="166" fontId="45" fillId="26" borderId="33" xfId="0" applyNumberFormat="1" applyFont="1" applyFill="1" applyBorder="1" applyAlignment="1">
      <alignment horizontal="right"/>
    </xf>
    <xf numFmtId="2" fontId="56" fillId="7" borderId="5" xfId="0" applyNumberFormat="1" applyFont="1" applyFill="1" applyBorder="1" applyAlignment="1">
      <alignment horizontal="right"/>
    </xf>
    <xf numFmtId="0" fontId="56" fillId="7" borderId="0" xfId="0" applyFont="1" applyFill="1" applyAlignment="1">
      <alignment horizontal="center"/>
    </xf>
    <xf numFmtId="164" fontId="56" fillId="7" borderId="0" xfId="0" applyNumberFormat="1" applyFont="1" applyFill="1"/>
    <xf numFmtId="0" fontId="56" fillId="7" borderId="10" xfId="0" applyFont="1" applyFill="1" applyBorder="1" applyAlignment="1">
      <alignment horizontal="right"/>
    </xf>
    <xf numFmtId="2" fontId="7" fillId="7" borderId="0" xfId="0" applyNumberFormat="1" applyFont="1" applyFill="1"/>
    <xf numFmtId="164" fontId="0" fillId="7" borderId="0" xfId="0" applyNumberForma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4" fontId="7" fillId="0" borderId="0" xfId="0" applyNumberFormat="1" applyFont="1" applyFill="1"/>
    <xf numFmtId="0" fontId="10" fillId="28" borderId="10" xfId="0" applyFont="1" applyFill="1" applyBorder="1" applyAlignment="1">
      <alignment horizontal="right"/>
    </xf>
    <xf numFmtId="164" fontId="10" fillId="28" borderId="0" xfId="0" applyNumberFormat="1" applyFont="1" applyFill="1"/>
    <xf numFmtId="2" fontId="45" fillId="7" borderId="0" xfId="0" applyNumberFormat="1" applyFont="1" applyFill="1" applyAlignment="1">
      <alignment horizontal="right"/>
    </xf>
    <xf numFmtId="0" fontId="45" fillId="7" borderId="10" xfId="0" applyFont="1" applyFill="1" applyBorder="1" applyAlignment="1">
      <alignment horizontal="right"/>
    </xf>
    <xf numFmtId="164" fontId="45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56" fillId="7" borderId="0" xfId="0" applyNumberFormat="1" applyFont="1" applyFill="1"/>
    <xf numFmtId="4" fontId="15" fillId="7" borderId="0" xfId="0" applyNumberFormat="1" applyFont="1" applyFill="1"/>
    <xf numFmtId="0" fontId="7" fillId="0" borderId="2" xfId="0" applyFont="1" applyBorder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6" fillId="7" borderId="0" xfId="0" applyNumberFormat="1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2" fontId="45" fillId="7" borderId="51" xfId="0" applyNumberFormat="1" applyFont="1" applyFill="1" applyBorder="1" applyAlignment="1">
      <alignment horizontal="right"/>
    </xf>
    <xf numFmtId="0" fontId="45" fillId="7" borderId="51" xfId="0" applyFont="1" applyFill="1" applyBorder="1" applyAlignment="1">
      <alignment horizontal="right"/>
    </xf>
    <xf numFmtId="164" fontId="45" fillId="7" borderId="51" xfId="0" applyNumberFormat="1" applyFont="1" applyFill="1" applyBorder="1"/>
    <xf numFmtId="0" fontId="7" fillId="0" borderId="6" xfId="0" applyFont="1" applyBorder="1" applyAlignment="1">
      <alignment horizontal="center"/>
    </xf>
    <xf numFmtId="2" fontId="7" fillId="2" borderId="5" xfId="0" applyNumberFormat="1" applyFont="1" applyFill="1" applyBorder="1" applyAlignment="1">
      <alignment horizontal="right"/>
    </xf>
    <xf numFmtId="0" fontId="26" fillId="2" borderId="0" xfId="0" applyFont="1" applyFill="1" applyAlignment="1">
      <alignment horizontal="right"/>
    </xf>
    <xf numFmtId="2" fontId="7" fillId="2" borderId="0" xfId="0" applyNumberFormat="1" applyFont="1" applyFill="1" applyAlignment="1">
      <alignment horizontal="right"/>
    </xf>
    <xf numFmtId="2" fontId="7" fillId="7" borderId="0" xfId="0" applyNumberFormat="1" applyFont="1" applyFill="1" applyAlignment="1">
      <alignment horizontal="right"/>
    </xf>
    <xf numFmtId="4" fontId="28" fillId="7" borderId="0" xfId="0" applyNumberFormat="1" applyFont="1" applyFill="1"/>
    <xf numFmtId="164" fontId="7" fillId="7" borderId="37" xfId="0" applyNumberFormat="1" applyFont="1" applyFill="1" applyBorder="1"/>
    <xf numFmtId="2" fontId="10" fillId="7" borderId="0" xfId="0" applyNumberFormat="1" applyFont="1" applyFill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0" fontId="7" fillId="4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100" xfId="0" applyFont="1" applyBorder="1" applyAlignment="1">
      <alignment horizontal="left"/>
    </xf>
    <xf numFmtId="0" fontId="7" fillId="0" borderId="101" xfId="0" applyFont="1" applyBorder="1" applyAlignment="1">
      <alignment horizontal="center"/>
    </xf>
    <xf numFmtId="2" fontId="7" fillId="0" borderId="102" xfId="0" applyNumberFormat="1" applyFont="1" applyBorder="1"/>
    <xf numFmtId="0" fontId="7" fillId="0" borderId="103" xfId="0" applyFont="1" applyBorder="1" applyAlignment="1">
      <alignment horizontal="center"/>
    </xf>
    <xf numFmtId="0" fontId="7" fillId="0" borderId="104" xfId="0" applyFont="1" applyBorder="1" applyAlignment="1">
      <alignment horizontal="center"/>
    </xf>
    <xf numFmtId="0" fontId="7" fillId="0" borderId="105" xfId="0" applyFont="1" applyBorder="1" applyAlignment="1">
      <alignment horizontal="center"/>
    </xf>
    <xf numFmtId="4" fontId="10" fillId="18" borderId="77" xfId="0" applyNumberFormat="1" applyFont="1" applyFill="1" applyBorder="1"/>
    <xf numFmtId="0" fontId="7" fillId="18" borderId="77" xfId="0" applyFont="1" applyFill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4" fontId="10" fillId="5" borderId="0" xfId="0" applyNumberFormat="1" applyFont="1" applyFill="1"/>
    <xf numFmtId="1" fontId="7" fillId="5" borderId="0" xfId="0" applyNumberFormat="1" applyFont="1" applyFill="1" applyAlignment="1">
      <alignment horizontal="center"/>
    </xf>
    <xf numFmtId="0" fontId="7" fillId="0" borderId="33" xfId="0" applyFont="1" applyBorder="1" applyAlignment="1">
      <alignment vertical="center" wrapText="1"/>
    </xf>
    <xf numFmtId="44" fontId="10" fillId="2" borderId="33" xfId="1" applyFont="1" applyFill="1" applyBorder="1" applyAlignment="1">
      <alignment vertical="center"/>
    </xf>
    <xf numFmtId="1" fontId="10" fillId="2" borderId="33" xfId="0" applyNumberFormat="1" applyFont="1" applyFill="1" applyBorder="1" applyAlignment="1">
      <alignment vertical="center" wrapText="1"/>
    </xf>
    <xf numFmtId="1" fontId="10" fillId="2" borderId="33" xfId="0" applyNumberFormat="1" applyFont="1" applyFill="1" applyBorder="1" applyAlignment="1">
      <alignment vertical="center"/>
    </xf>
    <xf numFmtId="1" fontId="23" fillId="2" borderId="33" xfId="0" applyNumberFormat="1" applyFont="1" applyFill="1" applyBorder="1" applyAlignment="1">
      <alignment vertical="center" wrapText="1"/>
    </xf>
    <xf numFmtId="0" fontId="7" fillId="0" borderId="48" xfId="0" applyFont="1" applyBorder="1" applyAlignment="1">
      <alignment vertical="center" wrapText="1"/>
    </xf>
    <xf numFmtId="1" fontId="10" fillId="2" borderId="74" xfId="0" applyNumberFormat="1" applyFont="1" applyFill="1" applyBorder="1" applyAlignment="1">
      <alignment vertical="center" wrapText="1"/>
    </xf>
    <xf numFmtId="44" fontId="10" fillId="2" borderId="33" xfId="1" applyFont="1" applyFill="1" applyBorder="1" applyAlignment="1"/>
    <xf numFmtId="0" fontId="40" fillId="0" borderId="91" xfId="0" applyFont="1" applyBorder="1" applyAlignment="1">
      <alignment vertical="center"/>
    </xf>
    <xf numFmtId="0" fontId="75" fillId="0" borderId="91" xfId="0" applyFont="1" applyBorder="1" applyAlignment="1">
      <alignment horizontal="center" vertical="center"/>
    </xf>
    <xf numFmtId="2" fontId="10" fillId="0" borderId="92" xfId="0" applyNumberFormat="1" applyFont="1" applyBorder="1"/>
    <xf numFmtId="168" fontId="7" fillId="0" borderId="68" xfId="0" applyNumberFormat="1" applyFont="1" applyBorder="1" applyAlignment="1">
      <alignment vertical="center"/>
    </xf>
    <xf numFmtId="1" fontId="59" fillId="0" borderId="33" xfId="0" applyNumberFormat="1" applyFont="1" applyBorder="1" applyAlignment="1">
      <alignment horizontal="center" vertical="center"/>
    </xf>
    <xf numFmtId="166" fontId="7" fillId="11" borderId="33" xfId="0" applyNumberFormat="1" applyFont="1" applyFill="1" applyBorder="1" applyAlignment="1">
      <alignment horizontal="right"/>
    </xf>
    <xf numFmtId="164" fontId="7" fillId="11" borderId="33" xfId="0" applyNumberFormat="1" applyFont="1" applyFill="1" applyBorder="1" applyAlignment="1">
      <alignment horizontal="center"/>
    </xf>
    <xf numFmtId="164" fontId="7" fillId="11" borderId="33" xfId="0" applyNumberFormat="1" applyFont="1" applyFill="1" applyBorder="1" applyAlignment="1">
      <alignment horizontal="right"/>
    </xf>
    <xf numFmtId="44" fontId="87" fillId="0" borderId="33" xfId="1" applyFont="1" applyFill="1" applyBorder="1"/>
    <xf numFmtId="0" fontId="68" fillId="0" borderId="33" xfId="0" applyFont="1" applyBorder="1" applyAlignment="1">
      <alignment wrapText="1"/>
    </xf>
    <xf numFmtId="44" fontId="45" fillId="0" borderId="33" xfId="1" applyFont="1" applyFill="1" applyBorder="1"/>
    <xf numFmtId="0" fontId="84" fillId="0" borderId="33" xfId="0" applyFont="1" applyBorder="1" applyAlignment="1">
      <alignment wrapText="1"/>
    </xf>
    <xf numFmtId="166" fontId="68" fillId="0" borderId="33" xfId="0" applyNumberFormat="1" applyFont="1" applyBorder="1" applyAlignment="1">
      <alignment horizontal="left" wrapText="1"/>
    </xf>
    <xf numFmtId="1" fontId="10" fillId="23" borderId="92" xfId="0" applyNumberFormat="1" applyFont="1" applyFill="1" applyBorder="1" applyAlignment="1">
      <alignment vertical="center"/>
    </xf>
    <xf numFmtId="44" fontId="10" fillId="23" borderId="33" xfId="1" applyFont="1" applyFill="1" applyBorder="1" applyAlignment="1">
      <alignment vertical="center"/>
    </xf>
    <xf numFmtId="1" fontId="10" fillId="23" borderId="99" xfId="0" applyNumberFormat="1" applyFont="1" applyFill="1" applyBorder="1" applyAlignment="1">
      <alignment vertical="center"/>
    </xf>
    <xf numFmtId="44" fontId="10" fillId="23" borderId="68" xfId="1" applyFont="1" applyFill="1" applyBorder="1" applyAlignment="1">
      <alignment vertical="center"/>
    </xf>
    <xf numFmtId="0" fontId="17" fillId="0" borderId="33" xfId="0" applyFont="1" applyFill="1" applyBorder="1" applyAlignment="1">
      <alignment horizontal="left" wrapText="1"/>
    </xf>
    <xf numFmtId="1" fontId="10" fillId="23" borderId="106" xfId="0" applyNumberFormat="1" applyFont="1" applyFill="1" applyBorder="1" applyAlignment="1">
      <alignment horizontal="center" vertical="center" wrapText="1"/>
    </xf>
    <xf numFmtId="1" fontId="10" fillId="23" borderId="87" xfId="0" applyNumberFormat="1" applyFont="1" applyFill="1" applyBorder="1" applyAlignment="1">
      <alignment horizontal="center" vertical="center" wrapText="1"/>
    </xf>
    <xf numFmtId="1" fontId="10" fillId="23" borderId="68" xfId="0" applyNumberFormat="1" applyFont="1" applyFill="1" applyBorder="1" applyAlignment="1">
      <alignment horizontal="center" vertical="center" wrapText="1"/>
    </xf>
    <xf numFmtId="1" fontId="10" fillId="2" borderId="74" xfId="0" applyNumberFormat="1" applyFont="1" applyFill="1" applyBorder="1" applyAlignment="1">
      <alignment horizontal="center" vertical="center" wrapText="1"/>
    </xf>
    <xf numFmtId="1" fontId="10" fillId="2" borderId="87" xfId="0" applyNumberFormat="1" applyFont="1" applyFill="1" applyBorder="1" applyAlignment="1">
      <alignment horizontal="center" vertical="center" wrapText="1"/>
    </xf>
    <xf numFmtId="1" fontId="10" fillId="2" borderId="6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Border="1" applyAlignment="1">
      <alignment horizontal="center" vertical="center" wrapText="1"/>
    </xf>
    <xf numFmtId="0" fontId="65" fillId="0" borderId="51" xfId="0" applyFont="1" applyBorder="1" applyAlignment="1">
      <alignment horizontal="center" vertical="center" wrapText="1"/>
    </xf>
    <xf numFmtId="0" fontId="65" fillId="0" borderId="49" xfId="0" applyFont="1" applyBorder="1" applyAlignment="1">
      <alignment horizontal="center" vertical="center" wrapText="1"/>
    </xf>
    <xf numFmtId="168" fontId="40" fillId="0" borderId="74" xfId="0" applyNumberFormat="1" applyFont="1" applyBorder="1" applyAlignment="1">
      <alignment horizontal="center" vertical="center"/>
    </xf>
    <xf numFmtId="168" fontId="40" fillId="0" borderId="87" xfId="0" applyNumberFormat="1" applyFont="1" applyBorder="1" applyAlignment="1">
      <alignment horizontal="center" vertical="center"/>
    </xf>
    <xf numFmtId="168" fontId="40" fillId="0" borderId="68" xfId="0" applyNumberFormat="1" applyFont="1" applyBorder="1" applyAlignment="1">
      <alignment horizontal="center" vertical="center"/>
    </xf>
    <xf numFmtId="1" fontId="41" fillId="0" borderId="48" xfId="0" applyNumberFormat="1" applyFont="1" applyBorder="1" applyAlignment="1">
      <alignment horizontal="center" vertical="center"/>
    </xf>
    <xf numFmtId="1" fontId="41" fillId="0" borderId="51" xfId="0" applyNumberFormat="1" applyFont="1" applyBorder="1" applyAlignment="1">
      <alignment horizontal="center" vertical="center"/>
    </xf>
    <xf numFmtId="1" fontId="41" fillId="0" borderId="49" xfId="0" applyNumberFormat="1" applyFont="1" applyBorder="1" applyAlignment="1">
      <alignment horizontal="center" vertical="center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4" fontId="7" fillId="0" borderId="48" xfId="0" applyNumberFormat="1" applyFont="1" applyBorder="1" applyAlignment="1">
      <alignment horizontal="center" vertical="center" wrapText="1"/>
    </xf>
    <xf numFmtId="164" fontId="7" fillId="0" borderId="49" xfId="0" applyNumberFormat="1" applyFont="1" applyBorder="1" applyAlignment="1">
      <alignment horizontal="center" vertical="center" wrapText="1"/>
    </xf>
    <xf numFmtId="0" fontId="40" fillId="0" borderId="48" xfId="0" applyFont="1" applyBorder="1" applyAlignment="1">
      <alignment horizontal="center" vertical="center" wrapText="1"/>
    </xf>
    <xf numFmtId="0" fontId="40" fillId="0" borderId="49" xfId="0" applyFont="1" applyBorder="1" applyAlignment="1">
      <alignment horizontal="center" vertical="center" wrapText="1"/>
    </xf>
    <xf numFmtId="1" fontId="53" fillId="0" borderId="48" xfId="0" applyNumberFormat="1" applyFont="1" applyBorder="1" applyAlignment="1">
      <alignment horizontal="center" vertical="center"/>
    </xf>
    <xf numFmtId="1" fontId="53" fillId="0" borderId="49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68" fontId="7" fillId="0" borderId="70" xfId="0" applyNumberFormat="1" applyFont="1" applyBorder="1" applyAlignment="1">
      <alignment horizontal="center" vertical="center" wrapText="1"/>
    </xf>
    <xf numFmtId="168" fontId="7" fillId="0" borderId="98" xfId="0" applyNumberFormat="1" applyFont="1" applyBorder="1" applyAlignment="1">
      <alignment horizontal="center" vertical="center" wrapText="1"/>
    </xf>
    <xf numFmtId="168" fontId="7" fillId="0" borderId="71" xfId="0" applyNumberFormat="1" applyFont="1" applyBorder="1" applyAlignment="1">
      <alignment horizontal="center" vertical="center" wrapText="1"/>
    </xf>
    <xf numFmtId="1" fontId="41" fillId="0" borderId="70" xfId="0" applyNumberFormat="1" applyFont="1" applyBorder="1" applyAlignment="1">
      <alignment horizontal="center" vertical="center"/>
    </xf>
    <xf numFmtId="1" fontId="41" fillId="0" borderId="98" xfId="0" applyNumberFormat="1" applyFont="1" applyBorder="1" applyAlignment="1">
      <alignment horizontal="center" vertical="center"/>
    </xf>
    <xf numFmtId="1" fontId="41" fillId="0" borderId="71" xfId="0" applyNumberFormat="1" applyFont="1" applyBorder="1" applyAlignment="1">
      <alignment horizontal="center" vertical="center"/>
    </xf>
    <xf numFmtId="164" fontId="7" fillId="0" borderId="51" xfId="0" applyNumberFormat="1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56" fillId="0" borderId="93" xfId="0" applyFont="1" applyBorder="1" applyAlignment="1">
      <alignment horizontal="center" vertical="center" wrapText="1"/>
    </xf>
    <xf numFmtId="0" fontId="56" fillId="0" borderId="94" xfId="0" applyFont="1" applyBorder="1" applyAlignment="1">
      <alignment horizontal="center" vertical="center" wrapText="1"/>
    </xf>
    <xf numFmtId="168" fontId="7" fillId="0" borderId="48" xfId="0" applyNumberFormat="1" applyFont="1" applyBorder="1" applyAlignment="1">
      <alignment horizontal="center" vertical="center"/>
    </xf>
    <xf numFmtId="168" fontId="7" fillId="0" borderId="51" xfId="0" applyNumberFormat="1" applyFont="1" applyBorder="1" applyAlignment="1">
      <alignment horizontal="center" vertical="center"/>
    </xf>
    <xf numFmtId="1" fontId="28" fillId="0" borderId="48" xfId="0" applyNumberFormat="1" applyFont="1" applyBorder="1" applyAlignment="1">
      <alignment horizontal="center" vertical="center"/>
    </xf>
    <xf numFmtId="1" fontId="28" fillId="0" borderId="51" xfId="0" applyNumberFormat="1" applyFont="1" applyBorder="1" applyAlignment="1">
      <alignment horizontal="center" vertical="center"/>
    </xf>
    <xf numFmtId="1" fontId="7" fillId="0" borderId="48" xfId="0" applyNumberFormat="1" applyFont="1" applyBorder="1" applyAlignment="1">
      <alignment horizontal="center" vertical="center" wrapText="1"/>
    </xf>
    <xf numFmtId="1" fontId="7" fillId="0" borderId="49" xfId="0" applyNumberFormat="1" applyFont="1" applyBorder="1" applyAlignment="1">
      <alignment horizontal="center" vertical="center" wrapText="1"/>
    </xf>
    <xf numFmtId="168" fontId="40" fillId="0" borderId="48" xfId="0" applyNumberFormat="1" applyFont="1" applyBorder="1" applyAlignment="1">
      <alignment horizontal="center" vertical="center" wrapText="1"/>
    </xf>
    <xf numFmtId="168" fontId="40" fillId="0" borderId="51" xfId="0" applyNumberFormat="1" applyFont="1" applyBorder="1" applyAlignment="1">
      <alignment horizontal="center" vertical="center" wrapText="1"/>
    </xf>
    <xf numFmtId="168" fontId="40" fillId="0" borderId="49" xfId="0" applyNumberFormat="1" applyFont="1" applyBorder="1" applyAlignment="1">
      <alignment horizontal="center" vertical="center" wrapText="1"/>
    </xf>
    <xf numFmtId="1" fontId="41" fillId="0" borderId="48" xfId="0" applyNumberFormat="1" applyFont="1" applyBorder="1" applyAlignment="1">
      <alignment horizontal="center" vertical="center" wrapText="1"/>
    </xf>
    <xf numFmtId="1" fontId="41" fillId="0" borderId="51" xfId="0" applyNumberFormat="1" applyFont="1" applyBorder="1" applyAlignment="1">
      <alignment horizontal="center" vertical="center" wrapText="1"/>
    </xf>
    <xf numFmtId="1" fontId="41" fillId="0" borderId="49" xfId="0" applyNumberFormat="1" applyFont="1" applyBorder="1" applyAlignment="1">
      <alignment horizontal="center" vertical="center" wrapText="1"/>
    </xf>
    <xf numFmtId="0" fontId="85" fillId="0" borderId="87" xfId="0" applyFont="1" applyBorder="1" applyAlignment="1">
      <alignment horizontal="center" vertical="center" wrapText="1"/>
    </xf>
    <xf numFmtId="0" fontId="85" fillId="0" borderId="68" xfId="0" applyFont="1" applyBorder="1" applyAlignment="1">
      <alignment horizontal="center" vertical="center" wrapText="1"/>
    </xf>
    <xf numFmtId="0" fontId="40" fillId="0" borderId="51" xfId="0" applyFont="1" applyBorder="1" applyAlignment="1">
      <alignment horizontal="center" vertical="center" wrapText="1"/>
    </xf>
    <xf numFmtId="0" fontId="85" fillId="0" borderId="48" xfId="0" applyFont="1" applyBorder="1" applyAlignment="1">
      <alignment horizontal="center" vertical="center" wrapText="1"/>
    </xf>
    <xf numFmtId="0" fontId="85" fillId="0" borderId="51" xfId="0" applyFont="1" applyBorder="1" applyAlignment="1">
      <alignment horizontal="center" vertical="center" wrapText="1"/>
    </xf>
    <xf numFmtId="0" fontId="85" fillId="0" borderId="49" xfId="0" applyFont="1" applyBorder="1" applyAlignment="1">
      <alignment horizontal="center" vertical="center" wrapText="1"/>
    </xf>
    <xf numFmtId="168" fontId="40" fillId="0" borderId="48" xfId="0" applyNumberFormat="1" applyFont="1" applyBorder="1" applyAlignment="1">
      <alignment horizontal="center" vertical="center"/>
    </xf>
    <xf numFmtId="168" fontId="40" fillId="0" borderId="51" xfId="0" applyNumberFormat="1" applyFont="1" applyBorder="1" applyAlignment="1">
      <alignment horizontal="center" vertical="center"/>
    </xf>
    <xf numFmtId="168" fontId="40" fillId="0" borderId="49" xfId="0" applyNumberFormat="1" applyFont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57" fillId="6" borderId="0" xfId="0" applyFont="1" applyFill="1" applyAlignment="1">
      <alignment horizontal="center"/>
    </xf>
    <xf numFmtId="0" fontId="28" fillId="0" borderId="0" xfId="0" applyFont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19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64" fontId="7" fillId="26" borderId="33" xfId="0" applyNumberFormat="1" applyFont="1" applyFill="1" applyBorder="1" applyAlignment="1">
      <alignment horizontal="right"/>
    </xf>
    <xf numFmtId="164" fontId="7" fillId="26" borderId="33" xfId="0" applyNumberFormat="1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CCFF"/>
      <color rgb="FF66FFFF"/>
      <color rgb="FF00FF00"/>
      <color rgb="FF0000FF"/>
      <color rgb="FF00FFCC"/>
      <color rgb="FFFFCCFF"/>
      <color rgb="FF3399FF"/>
      <color rgb="FFFF3399"/>
      <color rgb="FFCC99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44799</c:v>
                </c:pt>
                <c:pt idx="1">
                  <c:v>44803</c:v>
                </c:pt>
                <c:pt idx="2">
                  <c:v>44803</c:v>
                </c:pt>
                <c:pt idx="3">
                  <c:v>44803</c:v>
                </c:pt>
                <c:pt idx="4">
                  <c:v>44803</c:v>
                </c:pt>
                <c:pt idx="5">
                  <c:v>44804</c:v>
                </c:pt>
                <c:pt idx="6">
                  <c:v>44806</c:v>
                </c:pt>
                <c:pt idx="7">
                  <c:v>44811</c:v>
                </c:pt>
                <c:pt idx="8">
                  <c:v>44811</c:v>
                </c:pt>
                <c:pt idx="9">
                  <c:v>44812</c:v>
                </c:pt>
                <c:pt idx="10">
                  <c:v>44814</c:v>
                </c:pt>
                <c:pt idx="11">
                  <c:v>44814</c:v>
                </c:pt>
                <c:pt idx="12">
                  <c:v>44814</c:v>
                </c:pt>
                <c:pt idx="13">
                  <c:v>44817</c:v>
                </c:pt>
                <c:pt idx="14">
                  <c:v>44817</c:v>
                </c:pt>
                <c:pt idx="15">
                  <c:v>44817</c:v>
                </c:pt>
                <c:pt idx="16">
                  <c:v>44819</c:v>
                </c:pt>
                <c:pt idx="17">
                  <c:v>44819</c:v>
                </c:pt>
                <c:pt idx="18">
                  <c:v>44820</c:v>
                </c:pt>
                <c:pt idx="19">
                  <c:v>44824</c:v>
                </c:pt>
                <c:pt idx="20">
                  <c:v>44824</c:v>
                </c:pt>
                <c:pt idx="21">
                  <c:v>44824</c:v>
                </c:pt>
                <c:pt idx="22">
                  <c:v>44825</c:v>
                </c:pt>
                <c:pt idx="23">
                  <c:v>44826</c:v>
                </c:pt>
                <c:pt idx="24">
                  <c:v>44826</c:v>
                </c:pt>
                <c:pt idx="25">
                  <c:v>44827</c:v>
                </c:pt>
                <c:pt idx="26">
                  <c:v>44831</c:v>
                </c:pt>
                <c:pt idx="27">
                  <c:v>44832</c:v>
                </c:pt>
                <c:pt idx="28">
                  <c:v>44833</c:v>
                </c:pt>
                <c:pt idx="29">
                  <c:v>44833</c:v>
                </c:pt>
                <c:pt idx="30">
                  <c:v>44834</c:v>
                </c:pt>
                <c:pt idx="31">
                  <c:v>44834</c:v>
                </c:pt>
                <c:pt idx="32">
                  <c:v>44834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18986.52</c:v>
                </c:pt>
                <c:pt idx="1">
                  <c:v>19029.82</c:v>
                </c:pt>
                <c:pt idx="2">
                  <c:v>19151.18</c:v>
                </c:pt>
                <c:pt idx="3">
                  <c:v>18675.16</c:v>
                </c:pt>
                <c:pt idx="4">
                  <c:v>18558.53</c:v>
                </c:pt>
                <c:pt idx="5">
                  <c:v>19088.099999999999</c:v>
                </c:pt>
                <c:pt idx="6">
                  <c:v>19139.939999999999</c:v>
                </c:pt>
                <c:pt idx="7">
                  <c:v>18888.43</c:v>
                </c:pt>
                <c:pt idx="8">
                  <c:v>19117.32</c:v>
                </c:pt>
                <c:pt idx="9">
                  <c:v>19027.88</c:v>
                </c:pt>
                <c:pt idx="10">
                  <c:v>19234.439999999999</c:v>
                </c:pt>
                <c:pt idx="11">
                  <c:v>18891.63</c:v>
                </c:pt>
                <c:pt idx="12">
                  <c:v>18155.939999999999</c:v>
                </c:pt>
                <c:pt idx="13">
                  <c:v>19014.89</c:v>
                </c:pt>
                <c:pt idx="14">
                  <c:v>19040.71</c:v>
                </c:pt>
                <c:pt idx="15">
                  <c:v>18842.21</c:v>
                </c:pt>
                <c:pt idx="16">
                  <c:v>18437</c:v>
                </c:pt>
                <c:pt idx="17">
                  <c:v>18904.29</c:v>
                </c:pt>
                <c:pt idx="18">
                  <c:v>19085.12</c:v>
                </c:pt>
                <c:pt idx="19">
                  <c:v>19029.2</c:v>
                </c:pt>
                <c:pt idx="20">
                  <c:v>18670.46</c:v>
                </c:pt>
                <c:pt idx="21">
                  <c:v>18163.849999999999</c:v>
                </c:pt>
                <c:pt idx="22">
                  <c:v>18296.439999999999</c:v>
                </c:pt>
                <c:pt idx="23">
                  <c:v>19078.37</c:v>
                </c:pt>
                <c:pt idx="24">
                  <c:v>18709.22</c:v>
                </c:pt>
                <c:pt idx="25">
                  <c:v>18948.98</c:v>
                </c:pt>
                <c:pt idx="26">
                  <c:v>18852.580000000002</c:v>
                </c:pt>
                <c:pt idx="27">
                  <c:v>19023.8</c:v>
                </c:pt>
                <c:pt idx="28">
                  <c:v>18953.61</c:v>
                </c:pt>
                <c:pt idx="29">
                  <c:v>18809.29</c:v>
                </c:pt>
                <c:pt idx="30">
                  <c:v>18717.740000000002</c:v>
                </c:pt>
                <c:pt idx="31">
                  <c:v>18895.86</c:v>
                </c:pt>
                <c:pt idx="32">
                  <c:v>18787.43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18968.2</c:v>
                </c:pt>
                <c:pt idx="1">
                  <c:v>18971.599999999999</c:v>
                </c:pt>
                <c:pt idx="2">
                  <c:v>19228.599999999999</c:v>
                </c:pt>
                <c:pt idx="3">
                  <c:v>18731.419999999998</c:v>
                </c:pt>
                <c:pt idx="4">
                  <c:v>18747.34</c:v>
                </c:pt>
                <c:pt idx="5">
                  <c:v>19032.7</c:v>
                </c:pt>
                <c:pt idx="6">
                  <c:v>19155.2</c:v>
                </c:pt>
                <c:pt idx="7">
                  <c:v>18972.599999999999</c:v>
                </c:pt>
                <c:pt idx="8">
                  <c:v>19111.5</c:v>
                </c:pt>
                <c:pt idx="9">
                  <c:v>18978.3</c:v>
                </c:pt>
                <c:pt idx="10">
                  <c:v>19288.400000000001</c:v>
                </c:pt>
                <c:pt idx="11">
                  <c:v>18933.8</c:v>
                </c:pt>
                <c:pt idx="12">
                  <c:v>18314.13</c:v>
                </c:pt>
                <c:pt idx="13">
                  <c:v>19037.599999999999</c:v>
                </c:pt>
                <c:pt idx="14">
                  <c:v>19034.5</c:v>
                </c:pt>
                <c:pt idx="15">
                  <c:v>18866.189999999999</c:v>
                </c:pt>
                <c:pt idx="16">
                  <c:v>18473.8</c:v>
                </c:pt>
                <c:pt idx="17">
                  <c:v>18913.900000000001</c:v>
                </c:pt>
                <c:pt idx="18">
                  <c:v>19109</c:v>
                </c:pt>
                <c:pt idx="19">
                  <c:v>19069.900000000001</c:v>
                </c:pt>
                <c:pt idx="20">
                  <c:v>18708.5</c:v>
                </c:pt>
                <c:pt idx="21">
                  <c:v>18207.09</c:v>
                </c:pt>
                <c:pt idx="22">
                  <c:v>18329.09</c:v>
                </c:pt>
                <c:pt idx="23">
                  <c:v>19098.400000000001</c:v>
                </c:pt>
                <c:pt idx="24">
                  <c:v>18727.599999999999</c:v>
                </c:pt>
                <c:pt idx="25">
                  <c:v>19005.7</c:v>
                </c:pt>
                <c:pt idx="26">
                  <c:v>18908.36</c:v>
                </c:pt>
                <c:pt idx="27">
                  <c:v>19087.400000000001</c:v>
                </c:pt>
                <c:pt idx="28">
                  <c:v>19038</c:v>
                </c:pt>
                <c:pt idx="29">
                  <c:v>18894.599999999999</c:v>
                </c:pt>
                <c:pt idx="30">
                  <c:v>18753.669999999998</c:v>
                </c:pt>
                <c:pt idx="31">
                  <c:v>18950.900000000001</c:v>
                </c:pt>
                <c:pt idx="32">
                  <c:v>18860.2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18.319999999999709</c:v>
                </c:pt>
                <c:pt idx="1">
                  <c:v>58.220000000001164</c:v>
                </c:pt>
                <c:pt idx="2">
                  <c:v>-77.419999999998254</c:v>
                </c:pt>
                <c:pt idx="3">
                  <c:v>-56.259999999998399</c:v>
                </c:pt>
                <c:pt idx="4">
                  <c:v>-188.81000000000131</c:v>
                </c:pt>
                <c:pt idx="5">
                  <c:v>55.399999999997817</c:v>
                </c:pt>
                <c:pt idx="6">
                  <c:v>-15.260000000002037</c:v>
                </c:pt>
                <c:pt idx="7">
                  <c:v>-84.169999999998254</c:v>
                </c:pt>
                <c:pt idx="8">
                  <c:v>5.819999999999709</c:v>
                </c:pt>
                <c:pt idx="9">
                  <c:v>49.580000000001746</c:v>
                </c:pt>
                <c:pt idx="10">
                  <c:v>-53.960000000002765</c:v>
                </c:pt>
                <c:pt idx="11">
                  <c:v>-42.169999999998254</c:v>
                </c:pt>
                <c:pt idx="12">
                  <c:v>-158.19000000000233</c:v>
                </c:pt>
                <c:pt idx="13">
                  <c:v>-22.709999999999127</c:v>
                </c:pt>
                <c:pt idx="14">
                  <c:v>6.2099999999991269</c:v>
                </c:pt>
                <c:pt idx="15">
                  <c:v>-23.979999999999563</c:v>
                </c:pt>
                <c:pt idx="16">
                  <c:v>-36.799999999999272</c:v>
                </c:pt>
                <c:pt idx="17">
                  <c:v>-9.6100000000005821</c:v>
                </c:pt>
                <c:pt idx="18">
                  <c:v>-23.880000000001019</c:v>
                </c:pt>
                <c:pt idx="19">
                  <c:v>-40.700000000000728</c:v>
                </c:pt>
                <c:pt idx="20">
                  <c:v>-38.040000000000873</c:v>
                </c:pt>
                <c:pt idx="21">
                  <c:v>-43.240000000001601</c:v>
                </c:pt>
                <c:pt idx="22">
                  <c:v>-32.650000000001455</c:v>
                </c:pt>
                <c:pt idx="23">
                  <c:v>-20.030000000002474</c:v>
                </c:pt>
                <c:pt idx="24">
                  <c:v>-18.379999999997381</c:v>
                </c:pt>
                <c:pt idx="25">
                  <c:v>-56.720000000001164</c:v>
                </c:pt>
                <c:pt idx="26">
                  <c:v>-55.779999999998836</c:v>
                </c:pt>
                <c:pt idx="27">
                  <c:v>-63.600000000002183</c:v>
                </c:pt>
                <c:pt idx="28">
                  <c:v>-84.389999999999418</c:v>
                </c:pt>
                <c:pt idx="29">
                  <c:v>-85.309999999997672</c:v>
                </c:pt>
                <c:pt idx="30">
                  <c:v>-35.929999999996653</c:v>
                </c:pt>
                <c:pt idx="31">
                  <c:v>-55.040000000000873</c:v>
                </c:pt>
                <c:pt idx="32">
                  <c:v>-72.770000000000437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18300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99810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11151</c:v>
                </c:pt>
                <c:pt idx="2" formatCode="&quot;$&quot;#,##0.00">
                  <c:v>12151</c:v>
                </c:pt>
                <c:pt idx="3" formatCode="&quot;$&quot;#,##0.00">
                  <c:v>1151</c:v>
                </c:pt>
                <c:pt idx="4" formatCode="&quot;$&quot;#,##0.00">
                  <c:v>12001</c:v>
                </c:pt>
                <c:pt idx="5" formatCode="&quot;$&quot;#,##0.00">
                  <c:v>9851</c:v>
                </c:pt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12151</c:v>
                </c:pt>
                <c:pt idx="9" formatCode="&quot;$&quot;#,##0.00">
                  <c:v>11151</c:v>
                </c:pt>
                <c:pt idx="10" formatCode="&quot;$&quot;#,##0.00">
                  <c:v>9851</c:v>
                </c:pt>
                <c:pt idx="11" formatCode="&quot;$&quot;#,##0.00">
                  <c:v>12001</c:v>
                </c:pt>
                <c:pt idx="12" formatCode="&quot;$&quot;#,##0.00">
                  <c:v>12161</c:v>
                </c:pt>
                <c:pt idx="13" formatCode="&quot;$&quot;#,##0.00">
                  <c:v>12001</c:v>
                </c:pt>
                <c:pt idx="14" formatCode="&quot;$&quot;#,##0.00">
                  <c:v>12151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9851</c:v>
                </c:pt>
                <c:pt idx="18" formatCode="&quot;$&quot;#,##0.00">
                  <c:v>11151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12001</c:v>
                </c:pt>
                <c:pt idx="22" formatCode="&quot;$&quot;#,##0.00">
                  <c:v>9851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11151</c:v>
                </c:pt>
                <c:pt idx="28" formatCode="&quot;$&quot;#,##0.00">
                  <c:v>12151</c:v>
                </c:pt>
                <c:pt idx="29">
                  <c:v>9851</c:v>
                </c:pt>
                <c:pt idx="30" formatCode="&quot;$&quot;#,##0.00">
                  <c:v>9851</c:v>
                </c:pt>
                <c:pt idx="31" formatCode="&quot;$&quot;#,##0.00">
                  <c:v>11151</c:v>
                </c:pt>
                <c:pt idx="32" formatCode="&quot;$&quot;#,##0.00">
                  <c:v>12151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2077681</c:v>
                </c:pt>
                <c:pt idx="2">
                  <c:v>2076810</c:v>
                </c:pt>
                <c:pt idx="3">
                  <c:v>0</c:v>
                </c:pt>
                <c:pt idx="4">
                  <c:v>1071385</c:v>
                </c:pt>
                <c:pt idx="5">
                  <c:v>2077680</c:v>
                </c:pt>
                <c:pt idx="6">
                  <c:v>2076810</c:v>
                </c:pt>
                <c:pt idx="7">
                  <c:v>2080205</c:v>
                </c:pt>
                <c:pt idx="8">
                  <c:v>2080206</c:v>
                </c:pt>
                <c:pt idx="9">
                  <c:v>2080207</c:v>
                </c:pt>
                <c:pt idx="10">
                  <c:v>2082097</c:v>
                </c:pt>
                <c:pt idx="11">
                  <c:v>2082098</c:v>
                </c:pt>
                <c:pt idx="12">
                  <c:v>1089822</c:v>
                </c:pt>
                <c:pt idx="13">
                  <c:v>2082392</c:v>
                </c:pt>
                <c:pt idx="14">
                  <c:v>2082393</c:v>
                </c:pt>
                <c:pt idx="15">
                  <c:v>1092127</c:v>
                </c:pt>
                <c:pt idx="16">
                  <c:v>1098370</c:v>
                </c:pt>
                <c:pt idx="17">
                  <c:v>2082394</c:v>
                </c:pt>
                <c:pt idx="18">
                  <c:v>2083212</c:v>
                </c:pt>
                <c:pt idx="19">
                  <c:v>2084887</c:v>
                </c:pt>
                <c:pt idx="20">
                  <c:v>2084888</c:v>
                </c:pt>
                <c:pt idx="21">
                  <c:v>1104336</c:v>
                </c:pt>
                <c:pt idx="22">
                  <c:v>1104808</c:v>
                </c:pt>
                <c:pt idx="23">
                  <c:v>2084889</c:v>
                </c:pt>
                <c:pt idx="24">
                  <c:v>2085665</c:v>
                </c:pt>
                <c:pt idx="25">
                  <c:v>2085275</c:v>
                </c:pt>
                <c:pt idx="26">
                  <c:v>1112478</c:v>
                </c:pt>
                <c:pt idx="27">
                  <c:v>2087805</c:v>
                </c:pt>
                <c:pt idx="28">
                  <c:v>2087217</c:v>
                </c:pt>
                <c:pt idx="29">
                  <c:v>2087218</c:v>
                </c:pt>
                <c:pt idx="30">
                  <c:v>1120284</c:v>
                </c:pt>
                <c:pt idx="31">
                  <c:v>2088051</c:v>
                </c:pt>
                <c:pt idx="32">
                  <c:v>2088308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5394</c:v>
                </c:pt>
                <c:pt idx="2">
                  <c:v>5394</c:v>
                </c:pt>
                <c:pt idx="3">
                  <c:v>5394</c:v>
                </c:pt>
                <c:pt idx="4">
                  <c:v>5307</c:v>
                </c:pt>
                <c:pt idx="5">
                  <c:v>5394</c:v>
                </c:pt>
                <c:pt idx="6">
                  <c:v>5278</c:v>
                </c:pt>
                <c:pt idx="7">
                  <c:v>5539</c:v>
                </c:pt>
                <c:pt idx="8">
                  <c:v>5626</c:v>
                </c:pt>
                <c:pt idx="9">
                  <c:v>5684</c:v>
                </c:pt>
                <c:pt idx="10">
                  <c:v>5800</c:v>
                </c:pt>
                <c:pt idx="11">
                  <c:v>5713</c:v>
                </c:pt>
                <c:pt idx="12">
                  <c:v>5626</c:v>
                </c:pt>
                <c:pt idx="13">
                  <c:v>5858</c:v>
                </c:pt>
                <c:pt idx="14">
                  <c:v>5858</c:v>
                </c:pt>
                <c:pt idx="15" formatCode="&quot;$&quot;#,##0.00">
                  <c:v>5916</c:v>
                </c:pt>
                <c:pt idx="16" formatCode="&quot;$&quot;#,##0.00">
                  <c:v>5771</c:v>
                </c:pt>
                <c:pt idx="17" formatCode="&quot;$&quot;#,##0.00">
                  <c:v>5800</c:v>
                </c:pt>
                <c:pt idx="18" formatCode="&quot;$&quot;#,##0.00">
                  <c:v>6090</c:v>
                </c:pt>
                <c:pt idx="19" formatCode="&quot;$&quot;#,##0.00">
                  <c:v>6380</c:v>
                </c:pt>
                <c:pt idx="20" formatCode="&quot;$&quot;#,##0.00">
                  <c:v>6380</c:v>
                </c:pt>
                <c:pt idx="21" formatCode="&quot;$&quot;#,##0.00">
                  <c:v>6380</c:v>
                </c:pt>
                <c:pt idx="22" formatCode="&quot;$&quot;#,##0.00">
                  <c:v>6206</c:v>
                </c:pt>
                <c:pt idx="23" formatCode="&quot;$&quot;#,##0.00">
                  <c:v>6206</c:v>
                </c:pt>
                <c:pt idx="24" formatCode="&quot;$&quot;#,##0.00">
                  <c:v>6090</c:v>
                </c:pt>
                <c:pt idx="25" formatCode="&quot;$&quot;#,##0.00">
                  <c:v>6206</c:v>
                </c:pt>
                <c:pt idx="26" formatCode="&quot;$&quot;#,##0.00">
                  <c:v>6380</c:v>
                </c:pt>
                <c:pt idx="27" formatCode="&quot;$&quot;#,##0.00">
                  <c:v>6148</c:v>
                </c:pt>
                <c:pt idx="28" formatCode="&quot;$&quot;#,##0.00">
                  <c:v>6148</c:v>
                </c:pt>
                <c:pt idx="29" formatCode="&quot;$&quot;#,##0.00">
                  <c:v>6148</c:v>
                </c:pt>
                <c:pt idx="30" formatCode="&quot;$&quot;#,##0.00">
                  <c:v>6177</c:v>
                </c:pt>
                <c:pt idx="31" formatCode="&quot;$&quot;#,##0.00">
                  <c:v>6177</c:v>
                </c:pt>
                <c:pt idx="32" formatCode="&quot;$&quot;#,##0.00">
                  <c:v>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879372.31652999995</c:v>
                </c:pt>
                <c:pt idx="2">
                  <c:v>875946.70395</c:v>
                </c:pt>
                <c:pt idx="3">
                  <c:v>858923.0172</c:v>
                </c:pt>
                <c:pt idx="4">
                  <c:v>840851.41139999998</c:v>
                </c:pt>
                <c:pt idx="5">
                  <c:v>873323.55039999995</c:v>
                </c:pt>
                <c:pt idx="6">
                  <c:v>855587.76399999997</c:v>
                </c:pt>
                <c:pt idx="7">
                  <c:v>901411.28639999998</c:v>
                </c:pt>
                <c:pt idx="8">
                  <c:v>915277.0022000001</c:v>
                </c:pt>
                <c:pt idx="9">
                  <c:v>923052.13</c:v>
                </c:pt>
                <c:pt idx="10">
                  <c:v>944392.04295000015</c:v>
                </c:pt>
                <c:pt idx="11">
                  <c:v>928184.0567999999</c:v>
                </c:pt>
                <c:pt idx="12">
                  <c:v>894436.54399999988</c:v>
                </c:pt>
                <c:pt idx="13">
                  <c:v>948876.09136000008</c:v>
                </c:pt>
                <c:pt idx="14">
                  <c:v>948717.81808000011</c:v>
                </c:pt>
                <c:pt idx="15">
                  <c:v>947858.01599999995</c:v>
                </c:pt>
                <c:pt idx="16">
                  <c:v>924471.74820000003</c:v>
                </c:pt>
                <c:pt idx="17">
                  <c:v>947337.97100000002</c:v>
                </c:pt>
                <c:pt idx="18">
                  <c:v>990621.77300000016</c:v>
                </c:pt>
                <c:pt idx="19">
                  <c:v>1028109.9476999999</c:v>
                </c:pt>
                <c:pt idx="20">
                  <c:v>1006483.5740400001</c:v>
                </c:pt>
                <c:pt idx="21">
                  <c:v>971145.15300000005</c:v>
                </c:pt>
                <c:pt idx="22">
                  <c:v>972030.41319999995</c:v>
                </c:pt>
                <c:pt idx="23">
                  <c:v>1010761.1253000001</c:v>
                </c:pt>
                <c:pt idx="24">
                  <c:v>991738.02120000008</c:v>
                </c:pt>
                <c:pt idx="25">
                  <c:v>1006365.2231999999</c:v>
                </c:pt>
                <c:pt idx="26">
                  <c:v>1022662.3837700001</c:v>
                </c:pt>
                <c:pt idx="27">
                  <c:v>1002506.3963200002</c:v>
                </c:pt>
                <c:pt idx="28">
                  <c:v>999885.90064000012</c:v>
                </c:pt>
                <c:pt idx="29">
                  <c:v>990019.02999999991</c:v>
                </c:pt>
                <c:pt idx="30">
                  <c:v>990490.2084</c:v>
                </c:pt>
                <c:pt idx="31">
                  <c:v>1003770.7239</c:v>
                </c:pt>
                <c:pt idx="32">
                  <c:v>1008347.9722000002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929557.31652999995</c:v>
                </c:pt>
                <c:pt idx="2">
                  <c:v>927131.70395</c:v>
                </c:pt>
                <c:pt idx="3">
                  <c:v>899108.0172</c:v>
                </c:pt>
                <c:pt idx="4">
                  <c:v>891799.41139999998</c:v>
                </c:pt>
                <c:pt idx="5">
                  <c:v>916814.55039999995</c:v>
                </c:pt>
                <c:pt idx="6">
                  <c:v>899078.76399999997</c:v>
                </c:pt>
                <c:pt idx="7">
                  <c:v>951741.28639999998</c:v>
                </c:pt>
                <c:pt idx="8">
                  <c:v>961068.0022000001</c:v>
                </c:pt>
                <c:pt idx="9">
                  <c:v>973527.13</c:v>
                </c:pt>
                <c:pt idx="10">
                  <c:v>987883.04295000015</c:v>
                </c:pt>
                <c:pt idx="11">
                  <c:v>928184.0567999999</c:v>
                </c:pt>
                <c:pt idx="12">
                  <c:v>945863.54399999988</c:v>
                </c:pt>
                <c:pt idx="13">
                  <c:v>994517.09136000008</c:v>
                </c:pt>
                <c:pt idx="14">
                  <c:v>994508.81808000011</c:v>
                </c:pt>
                <c:pt idx="15">
                  <c:v>991349.01599999995</c:v>
                </c:pt>
                <c:pt idx="16">
                  <c:v>976033.74820000003</c:v>
                </c:pt>
                <c:pt idx="17">
                  <c:v>996628.97100000002</c:v>
                </c:pt>
                <c:pt idx="18">
                  <c:v>1035412.7730000002</c:v>
                </c:pt>
                <c:pt idx="19">
                  <c:v>1073910.9476999999</c:v>
                </c:pt>
                <c:pt idx="20">
                  <c:v>1057654.5740400001</c:v>
                </c:pt>
                <c:pt idx="21">
                  <c:v>1023166.153</c:v>
                </c:pt>
                <c:pt idx="22">
                  <c:v>1021727.4132</c:v>
                </c:pt>
                <c:pt idx="23">
                  <c:v>1060458.1253</c:v>
                </c:pt>
                <c:pt idx="24">
                  <c:v>1043469.0212000001</c:v>
                </c:pt>
                <c:pt idx="25">
                  <c:v>1057362.2231999999</c:v>
                </c:pt>
                <c:pt idx="26">
                  <c:v>1068303.3837700002</c:v>
                </c:pt>
                <c:pt idx="27">
                  <c:v>1053445.3963200003</c:v>
                </c:pt>
                <c:pt idx="28">
                  <c:v>1051824.9006400001</c:v>
                </c:pt>
                <c:pt idx="29">
                  <c:v>1039658.0299999999</c:v>
                </c:pt>
                <c:pt idx="30">
                  <c:v>1040158.2084</c:v>
                </c:pt>
                <c:pt idx="31">
                  <c:v>1048561.7239</c:v>
                </c:pt>
                <c:pt idx="32">
                  <c:v>1054138.9722000002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49.097307371544836</c:v>
                </c:pt>
                <c:pt idx="2">
                  <c:v>48.316287402619018</c:v>
                </c:pt>
                <c:pt idx="3">
                  <c:v>48.09999237644557</c:v>
                </c:pt>
                <c:pt idx="4">
                  <c:v>47.669383784579573</c:v>
                </c:pt>
                <c:pt idx="5">
                  <c:v>48.270493434982946</c:v>
                </c:pt>
                <c:pt idx="6">
                  <c:v>47.036537545940526</c:v>
                </c:pt>
                <c:pt idx="7">
                  <c:v>50.263988404330462</c:v>
                </c:pt>
                <c:pt idx="8">
                  <c:v>50.387418685084903</c:v>
                </c:pt>
                <c:pt idx="9">
                  <c:v>51.396856409688965</c:v>
                </c:pt>
                <c:pt idx="10">
                  <c:v>51.316432827502545</c:v>
                </c:pt>
                <c:pt idx="11">
                  <c:v>49.122597513441569</c:v>
                </c:pt>
                <c:pt idx="12">
                  <c:v>51.746654468435018</c:v>
                </c:pt>
                <c:pt idx="13">
                  <c:v>52.339625339328499</c:v>
                </c:pt>
                <c:pt idx="14">
                  <c:v>52.347698551577409</c:v>
                </c:pt>
                <c:pt idx="15">
                  <c:v>52.646328431972755</c:v>
                </c:pt>
                <c:pt idx="16">
                  <c:v>52.933404508005935</c:v>
                </c:pt>
                <c:pt idx="17">
                  <c:v>52.792938579563177</c:v>
                </c:pt>
                <c:pt idx="18">
                  <c:v>54.284560835208552</c:v>
                </c:pt>
                <c:pt idx="19">
                  <c:v>56.414450925280143</c:v>
                </c:pt>
                <c:pt idx="20">
                  <c:v>56.633371143597834</c:v>
                </c:pt>
                <c:pt idx="21">
                  <c:v>56.296028744846105</c:v>
                </c:pt>
                <c:pt idx="22">
                  <c:v>55.843488258282328</c:v>
                </c:pt>
                <c:pt idx="23">
                  <c:v>55.62601921103338</c:v>
                </c:pt>
                <c:pt idx="24">
                  <c:v>55.818245861722815</c:v>
                </c:pt>
                <c:pt idx="25">
                  <c:v>55.733953140373671</c:v>
                </c:pt>
                <c:pt idx="26">
                  <c:v>56.598997468315609</c:v>
                </c:pt>
                <c:pt idx="27">
                  <c:v>55.29061770172995</c:v>
                </c:pt>
                <c:pt idx="28">
                  <c:v>55.348707881079953</c:v>
                </c:pt>
                <c:pt idx="29">
                  <c:v>55.124082542101981</c:v>
                </c:pt>
                <c:pt idx="30">
                  <c:v>55.564248245810028</c:v>
                </c:pt>
                <c:pt idx="31">
                  <c:v>55.430444670173969</c:v>
                </c:pt>
                <c:pt idx="32">
                  <c:v>55.992247812854593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9"/>
  <sheetViews>
    <sheetView tabSelected="1" zoomScaleNormal="100" workbookViewId="0">
      <pane xSplit="1" ySplit="2" topLeftCell="I31" activePane="bottomRight" state="frozen"/>
      <selection pane="topRight" activeCell="B1" sqref="B1"/>
      <selection pane="bottomLeft" activeCell="A3" sqref="A3"/>
      <selection pane="bottomRight" activeCell="Q39" sqref="Q39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731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18.28515625" style="405" bestFit="1" customWidth="1"/>
    <col min="18" max="18" width="15.42578125" style="494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4" t="s">
        <v>295</v>
      </c>
      <c r="C1" s="525"/>
      <c r="D1" s="526"/>
      <c r="E1" s="527"/>
      <c r="F1" s="528"/>
      <c r="G1" s="529"/>
      <c r="H1" s="528"/>
      <c r="I1" s="530"/>
      <c r="J1" s="531"/>
      <c r="K1" s="986" t="s">
        <v>26</v>
      </c>
      <c r="L1" s="722"/>
      <c r="M1" s="988" t="s">
        <v>27</v>
      </c>
      <c r="N1" s="345"/>
      <c r="P1" s="97" t="s">
        <v>38</v>
      </c>
      <c r="Q1" s="984" t="s">
        <v>28</v>
      </c>
      <c r="R1" s="736"/>
    </row>
    <row r="2" spans="1:29" ht="24.75" customHeight="1" thickTop="1" thickBot="1" x14ac:dyDescent="0.3">
      <c r="A2" s="34"/>
      <c r="B2" s="384" t="s">
        <v>0</v>
      </c>
      <c r="C2" s="273" t="s">
        <v>10</v>
      </c>
      <c r="D2" s="25"/>
      <c r="E2" s="465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987"/>
      <c r="L2" s="723" t="s">
        <v>29</v>
      </c>
      <c r="M2" s="989"/>
      <c r="N2" s="346" t="s">
        <v>29</v>
      </c>
      <c r="O2" s="397" t="s">
        <v>30</v>
      </c>
      <c r="P2" s="98" t="s">
        <v>39</v>
      </c>
      <c r="Q2" s="985"/>
      <c r="R2" s="751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6">
        <f>PIERNA!E3</f>
        <v>0</v>
      </c>
      <c r="F3" s="460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724"/>
      <c r="M3" s="361"/>
      <c r="N3" s="345"/>
      <c r="O3" s="127"/>
      <c r="P3" s="116"/>
      <c r="Q3" s="245"/>
      <c r="R3" s="737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25">
      <c r="A4" s="100">
        <v>1</v>
      </c>
      <c r="B4" s="652" t="str">
        <f>PIERNA!B4</f>
        <v>SEABOARD FOODS</v>
      </c>
      <c r="C4" s="691" t="str">
        <f>PIERNA!C4</f>
        <v>Seaboard</v>
      </c>
      <c r="D4" s="692" t="str">
        <f>PIERNA!D4</f>
        <v>PED. 86440438</v>
      </c>
      <c r="E4" s="693">
        <f>PIERNA!E4</f>
        <v>44799</v>
      </c>
      <c r="F4" s="655">
        <f>PIERNA!F4</f>
        <v>18986.52</v>
      </c>
      <c r="G4" s="385">
        <f>PIERNA!G4</f>
        <v>21</v>
      </c>
      <c r="H4" s="421">
        <f>PIERNA!H4</f>
        <v>18968.2</v>
      </c>
      <c r="I4" s="870">
        <f>PIERNA!I4</f>
        <v>18.319999999999709</v>
      </c>
      <c r="J4" s="873"/>
      <c r="K4" s="809"/>
      <c r="L4" s="647"/>
      <c r="M4" s="390"/>
      <c r="N4" s="396"/>
      <c r="O4" s="400"/>
      <c r="P4" s="614"/>
      <c r="Q4" s="572"/>
      <c r="R4" s="738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656" t="str">
        <f>PIERNA!B5</f>
        <v>SEABOARD FOODS</v>
      </c>
      <c r="C5" s="272" t="str">
        <f>PIERNA!C5</f>
        <v>Seaboard</v>
      </c>
      <c r="D5" s="653" t="str">
        <f>PIERNA!D5</f>
        <v>PED. 8601429</v>
      </c>
      <c r="E5" s="654">
        <f>PIERNA!E5</f>
        <v>44803</v>
      </c>
      <c r="F5" s="655">
        <f>PIERNA!F5</f>
        <v>19029.82</v>
      </c>
      <c r="G5" s="385">
        <f>PIERNA!G5</f>
        <v>21</v>
      </c>
      <c r="H5" s="421">
        <f>PIERNA!H5</f>
        <v>18971.599999999999</v>
      </c>
      <c r="I5" s="870">
        <f>PIERNA!I5</f>
        <v>58.220000000001164</v>
      </c>
      <c r="J5" s="874" t="s">
        <v>312</v>
      </c>
      <c r="K5" s="872">
        <v>11151</v>
      </c>
      <c r="L5" s="647" t="s">
        <v>779</v>
      </c>
      <c r="M5" s="390">
        <v>33640</v>
      </c>
      <c r="N5" s="647" t="s">
        <v>779</v>
      </c>
      <c r="O5" s="400">
        <v>2077681</v>
      </c>
      <c r="P5" s="889">
        <v>5394</v>
      </c>
      <c r="Q5" s="572">
        <f>43918.11*20.023</f>
        <v>879372.31652999995</v>
      </c>
      <c r="R5" s="738" t="s">
        <v>772</v>
      </c>
      <c r="S5" s="65">
        <f>Q5+M5+K5+P5</f>
        <v>929557.31652999995</v>
      </c>
      <c r="T5" s="65">
        <f>S5/H5+0.1</f>
        <v>49.097307371544836</v>
      </c>
      <c r="U5" s="188"/>
    </row>
    <row r="6" spans="1:29" s="152" customFormat="1" ht="30" customHeight="1" x14ac:dyDescent="0.25">
      <c r="A6" s="100">
        <v>3</v>
      </c>
      <c r="B6" s="657" t="str">
        <f>PIERNA!B6</f>
        <v>SEABOARD FOODS</v>
      </c>
      <c r="C6" s="272" t="str">
        <f>PIERNA!C6</f>
        <v>Seaboard</v>
      </c>
      <c r="D6" s="653" t="str">
        <f>PIERNA!D6</f>
        <v>PED. 86601371</v>
      </c>
      <c r="E6" s="654">
        <f>PIERNA!E6</f>
        <v>44803</v>
      </c>
      <c r="F6" s="655">
        <f>PIERNA!F6</f>
        <v>19151.18</v>
      </c>
      <c r="G6" s="385">
        <f>PIERNA!G6</f>
        <v>21</v>
      </c>
      <c r="H6" s="421">
        <f>PIERNA!H6</f>
        <v>19228.599999999999</v>
      </c>
      <c r="I6" s="870">
        <f>PIERNA!I6</f>
        <v>-77.419999999998254</v>
      </c>
      <c r="J6" s="874" t="s">
        <v>313</v>
      </c>
      <c r="K6" s="809">
        <v>12151</v>
      </c>
      <c r="L6" s="647" t="s">
        <v>779</v>
      </c>
      <c r="M6" s="390">
        <v>33640</v>
      </c>
      <c r="N6" s="647" t="s">
        <v>779</v>
      </c>
      <c r="O6" s="578">
        <v>2076810</v>
      </c>
      <c r="P6" s="889">
        <v>5394</v>
      </c>
      <c r="Q6" s="968">
        <f>43918.11*19.945</f>
        <v>875946.70395</v>
      </c>
      <c r="R6" s="969" t="s">
        <v>773</v>
      </c>
      <c r="S6" s="65">
        <f t="shared" si="0"/>
        <v>927131.70395</v>
      </c>
      <c r="T6" s="65">
        <f t="shared" ref="T6:T31" si="1">S6/H6+0.1</f>
        <v>48.316287402619018</v>
      </c>
      <c r="U6" s="212"/>
    </row>
    <row r="7" spans="1:29" s="152" customFormat="1" ht="30" customHeight="1" x14ac:dyDescent="0.25">
      <c r="A7" s="100">
        <v>4</v>
      </c>
      <c r="B7" s="658" t="str">
        <f>PIERNA!B7</f>
        <v>SAM  FARMS</v>
      </c>
      <c r="C7" s="272" t="str">
        <f>PIERNA!C7</f>
        <v xml:space="preserve">I B P </v>
      </c>
      <c r="D7" s="653" t="str">
        <f>PIERNA!D7</f>
        <v>PED. 86601425</v>
      </c>
      <c r="E7" s="654">
        <f>PIERNA!E7</f>
        <v>44803</v>
      </c>
      <c r="F7" s="655">
        <f>PIERNA!F7</f>
        <v>18675.16</v>
      </c>
      <c r="G7" s="385">
        <f>PIERNA!G7</f>
        <v>20</v>
      </c>
      <c r="H7" s="421">
        <f>PIERNA!H7</f>
        <v>18731.419999999998</v>
      </c>
      <c r="I7" s="870">
        <f>PIERNA!I7</f>
        <v>-56.259999999998399</v>
      </c>
      <c r="J7" s="874" t="s">
        <v>314</v>
      </c>
      <c r="K7" s="809">
        <v>1151</v>
      </c>
      <c r="L7" s="647" t="s">
        <v>779</v>
      </c>
      <c r="M7" s="390">
        <v>33640</v>
      </c>
      <c r="N7" s="647" t="s">
        <v>779</v>
      </c>
      <c r="O7" s="578" t="s">
        <v>315</v>
      </c>
      <c r="P7" s="889">
        <v>5394</v>
      </c>
      <c r="Q7" s="395">
        <f>42989.14*19.98</f>
        <v>858923.0172</v>
      </c>
      <c r="R7" s="977" t="s">
        <v>776</v>
      </c>
      <c r="S7" s="65">
        <f t="shared" si="0"/>
        <v>899108.0172</v>
      </c>
      <c r="T7" s="65">
        <f t="shared" si="1"/>
        <v>48.09999237644557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61" t="str">
        <f>PIERNA!B8</f>
        <v>TYSON FRESH MEAT</v>
      </c>
      <c r="C8" s="461" t="str">
        <f>PIERNA!C8</f>
        <v>I B P</v>
      </c>
      <c r="D8" s="653" t="str">
        <f>PIERNA!D8</f>
        <v>PED. 86601363</v>
      </c>
      <c r="E8" s="654">
        <f>PIERNA!E8</f>
        <v>44803</v>
      </c>
      <c r="F8" s="655">
        <f>PIERNA!F8</f>
        <v>18558.53</v>
      </c>
      <c r="G8" s="385">
        <f>PIERNA!G8</f>
        <v>20</v>
      </c>
      <c r="H8" s="421">
        <f>PIERNA!H8</f>
        <v>18747.34</v>
      </c>
      <c r="I8" s="870">
        <f>PIERNA!I8</f>
        <v>-188.81000000000131</v>
      </c>
      <c r="J8" s="874" t="s">
        <v>316</v>
      </c>
      <c r="K8" s="809">
        <v>12001</v>
      </c>
      <c r="L8" s="647" t="s">
        <v>779</v>
      </c>
      <c r="M8" s="390">
        <v>33640</v>
      </c>
      <c r="N8" s="647" t="s">
        <v>779</v>
      </c>
      <c r="O8" s="578">
        <v>1071385</v>
      </c>
      <c r="P8" s="889">
        <v>5307</v>
      </c>
      <c r="Q8" s="395">
        <f>42000.57*20.02</f>
        <v>840851.41139999998</v>
      </c>
      <c r="R8" s="645" t="s">
        <v>339</v>
      </c>
      <c r="S8" s="65">
        <f t="shared" si="0"/>
        <v>891799.41139999998</v>
      </c>
      <c r="T8" s="65">
        <f t="shared" si="1"/>
        <v>47.669383784579573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56" t="str">
        <f>PIERNA!B9</f>
        <v>SEABOARD FOODS</v>
      </c>
      <c r="C9" s="272" t="str">
        <f>PIERNA!C9</f>
        <v>Seaboard</v>
      </c>
      <c r="D9" s="653" t="str">
        <f>PIERNA!D9</f>
        <v>PED. 86601368</v>
      </c>
      <c r="E9" s="654">
        <f>PIERNA!E9</f>
        <v>44804</v>
      </c>
      <c r="F9" s="655">
        <f>PIERNA!F9</f>
        <v>19088.099999999999</v>
      </c>
      <c r="G9" s="385">
        <f>PIERNA!G9</f>
        <v>21</v>
      </c>
      <c r="H9" s="421">
        <f>PIERNA!H9</f>
        <v>19032.7</v>
      </c>
      <c r="I9" s="870">
        <f>PIERNA!I9</f>
        <v>55.399999999997817</v>
      </c>
      <c r="J9" s="874" t="s">
        <v>317</v>
      </c>
      <c r="K9" s="809">
        <v>9851</v>
      </c>
      <c r="L9" s="647" t="s">
        <v>779</v>
      </c>
      <c r="M9" s="390">
        <v>33640</v>
      </c>
      <c r="N9" s="647" t="s">
        <v>779</v>
      </c>
      <c r="O9" s="394">
        <v>2077680</v>
      </c>
      <c r="P9" s="889">
        <v>5394</v>
      </c>
      <c r="Q9" s="572">
        <f>43470.56*20.09</f>
        <v>873323.55039999995</v>
      </c>
      <c r="R9" s="971" t="s">
        <v>774</v>
      </c>
      <c r="S9" s="65">
        <f>Q9+M9+K9</f>
        <v>916814.55039999995</v>
      </c>
      <c r="T9" s="65">
        <f t="shared" si="1"/>
        <v>48.270493434982946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 t="str">
        <f>PIERNA!B10</f>
        <v>SEABOARD FOODS</v>
      </c>
      <c r="C10" s="272" t="str">
        <f>PIERNA!C10</f>
        <v>Seaboard</v>
      </c>
      <c r="D10" s="653" t="str">
        <f>PIERNA!D10</f>
        <v>PED. 86729669</v>
      </c>
      <c r="E10" s="654">
        <f>PIERNA!E10</f>
        <v>44806</v>
      </c>
      <c r="F10" s="655">
        <f>PIERNA!F10</f>
        <v>19139.939999999999</v>
      </c>
      <c r="G10" s="385">
        <f>PIERNA!G10</f>
        <v>21</v>
      </c>
      <c r="H10" s="421">
        <f>PIERNA!H10</f>
        <v>19155.2</v>
      </c>
      <c r="I10" s="870">
        <f>PIERNA!I10</f>
        <v>-15.260000000002037</v>
      </c>
      <c r="J10" s="875" t="s">
        <v>318</v>
      </c>
      <c r="K10" s="809">
        <v>9851</v>
      </c>
      <c r="L10" s="649" t="s">
        <v>342</v>
      </c>
      <c r="M10" s="390">
        <v>33640</v>
      </c>
      <c r="N10" s="650" t="s">
        <v>343</v>
      </c>
      <c r="O10" s="394">
        <v>2076810</v>
      </c>
      <c r="P10" s="965">
        <v>5278</v>
      </c>
      <c r="Q10" s="572">
        <f>42994.36*19.9</f>
        <v>855587.76399999997</v>
      </c>
      <c r="R10" s="971" t="s">
        <v>775</v>
      </c>
      <c r="S10" s="65">
        <f>Q10+M10+K10</f>
        <v>899078.76399999997</v>
      </c>
      <c r="T10" s="65">
        <f t="shared" si="1"/>
        <v>47.036537545940526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61" t="str">
        <f>PIERNA!B11</f>
        <v>SEABOARD FOODS</v>
      </c>
      <c r="C11" s="272" t="str">
        <f>PIERNA!C11</f>
        <v>Seaboard</v>
      </c>
      <c r="D11" s="653" t="str">
        <f>PIERNA!D11</f>
        <v>PED. 86904471</v>
      </c>
      <c r="E11" s="654">
        <f>PIERNA!E11</f>
        <v>44811</v>
      </c>
      <c r="F11" s="655">
        <f>PIERNA!F11</f>
        <v>18888.43</v>
      </c>
      <c r="G11" s="385">
        <f>PIERNA!G11</f>
        <v>21</v>
      </c>
      <c r="H11" s="421">
        <f>PIERNA!H11</f>
        <v>18972.599999999999</v>
      </c>
      <c r="I11" s="870">
        <f>PIERNA!I11</f>
        <v>-84.169999999998254</v>
      </c>
      <c r="J11" s="874" t="s">
        <v>365</v>
      </c>
      <c r="K11" s="809">
        <v>11151</v>
      </c>
      <c r="L11" s="649" t="s">
        <v>396</v>
      </c>
      <c r="M11" s="390">
        <v>33640</v>
      </c>
      <c r="N11" s="650" t="s">
        <v>397</v>
      </c>
      <c r="O11" s="399">
        <v>2080205</v>
      </c>
      <c r="P11" s="965">
        <v>5539</v>
      </c>
      <c r="Q11" s="572">
        <f>45115.68*19.98</f>
        <v>901411.28639999998</v>
      </c>
      <c r="R11" s="971" t="s">
        <v>776</v>
      </c>
      <c r="S11" s="65">
        <f t="shared" si="0"/>
        <v>951741.28639999998</v>
      </c>
      <c r="T11" s="65">
        <f t="shared" si="1"/>
        <v>50.263988404330462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 t="str">
        <f>PIERNA!B12</f>
        <v>SEABOARD FOODS</v>
      </c>
      <c r="C12" s="272" t="str">
        <f>PIERNA!C12</f>
        <v>Seaboard</v>
      </c>
      <c r="D12" s="653" t="str">
        <f>PIERNA!D12</f>
        <v>PED. 86904007</v>
      </c>
      <c r="E12" s="654">
        <f>PIERNA!E12</f>
        <v>44811</v>
      </c>
      <c r="F12" s="655">
        <f>PIERNA!F12</f>
        <v>19117.32</v>
      </c>
      <c r="G12" s="385">
        <f>PIERNA!G12</f>
        <v>21</v>
      </c>
      <c r="H12" s="421">
        <f>PIERNA!H12</f>
        <v>19111.5</v>
      </c>
      <c r="I12" s="870">
        <f>PIERNA!I12</f>
        <v>5.819999999999709</v>
      </c>
      <c r="J12" s="874" t="s">
        <v>366</v>
      </c>
      <c r="K12" s="809">
        <v>12151</v>
      </c>
      <c r="L12" s="649" t="s">
        <v>396</v>
      </c>
      <c r="M12" s="390">
        <v>33640</v>
      </c>
      <c r="N12" s="650" t="s">
        <v>397</v>
      </c>
      <c r="O12" s="399">
        <v>2080206</v>
      </c>
      <c r="P12" s="965">
        <v>5626</v>
      </c>
      <c r="Q12" s="572">
        <f>45445.73*20.14</f>
        <v>915277.0022000001</v>
      </c>
      <c r="R12" s="971" t="s">
        <v>777</v>
      </c>
      <c r="S12" s="65">
        <f>Q12+M12+K12</f>
        <v>961068.0022000001</v>
      </c>
      <c r="T12" s="65">
        <f t="shared" si="1"/>
        <v>50.387418685084903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658" t="str">
        <f>PIERNA!B13</f>
        <v>SEABOARD FOODS</v>
      </c>
      <c r="C13" s="272" t="str">
        <f>PIERNA!C13</f>
        <v>Seaboard</v>
      </c>
      <c r="D13" s="653" t="str">
        <f>PIERNA!D13</f>
        <v>PED. 86966018</v>
      </c>
      <c r="E13" s="654">
        <f>PIERNA!E13</f>
        <v>44812</v>
      </c>
      <c r="F13" s="655">
        <f>PIERNA!F13</f>
        <v>19027.88</v>
      </c>
      <c r="G13" s="385">
        <f>PIERNA!G13</f>
        <v>21</v>
      </c>
      <c r="H13" s="421">
        <f>PIERNA!H13</f>
        <v>18978.3</v>
      </c>
      <c r="I13" s="870">
        <f>PIERNA!I13</f>
        <v>49.580000000001746</v>
      </c>
      <c r="J13" s="876" t="s">
        <v>367</v>
      </c>
      <c r="K13" s="809">
        <v>11151</v>
      </c>
      <c r="L13" s="649" t="s">
        <v>441</v>
      </c>
      <c r="M13" s="390">
        <v>33640</v>
      </c>
      <c r="N13" s="650" t="s">
        <v>398</v>
      </c>
      <c r="O13" s="399">
        <v>2080207</v>
      </c>
      <c r="P13" s="965">
        <v>5684</v>
      </c>
      <c r="Q13" s="395">
        <f>45695.65*20.2</f>
        <v>923052.13</v>
      </c>
      <c r="R13" s="637" t="s">
        <v>394</v>
      </c>
      <c r="S13" s="65">
        <f t="shared" si="0"/>
        <v>973527.13</v>
      </c>
      <c r="T13" s="65">
        <f t="shared" si="1"/>
        <v>51.396856409688965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721" t="str">
        <f>PIERNA!B14</f>
        <v>SEABOARD FOODS</v>
      </c>
      <c r="C14" s="272" t="str">
        <f>PIERNA!C14</f>
        <v>Seaboard</v>
      </c>
      <c r="D14" s="653" t="str">
        <f>PIERNA!D14</f>
        <v>PED. 87074012</v>
      </c>
      <c r="E14" s="654">
        <f>PIERNA!E14</f>
        <v>44814</v>
      </c>
      <c r="F14" s="655">
        <f>PIERNA!F14</f>
        <v>19234.439999999999</v>
      </c>
      <c r="G14" s="385">
        <f>PIERNA!G14</f>
        <v>21</v>
      </c>
      <c r="H14" s="421">
        <f>PIERNA!H14</f>
        <v>19288.400000000001</v>
      </c>
      <c r="I14" s="870">
        <f>PIERNA!I14</f>
        <v>-53.960000000002765</v>
      </c>
      <c r="J14" s="875" t="s">
        <v>368</v>
      </c>
      <c r="K14" s="809">
        <v>9851</v>
      </c>
      <c r="L14" s="649" t="s">
        <v>399</v>
      </c>
      <c r="M14" s="390">
        <v>33640</v>
      </c>
      <c r="N14" s="650" t="s">
        <v>399</v>
      </c>
      <c r="O14" s="394">
        <v>2082097</v>
      </c>
      <c r="P14" s="965">
        <v>5800</v>
      </c>
      <c r="Q14" s="970">
        <f>47231.41*19.995</f>
        <v>944392.04295000015</v>
      </c>
      <c r="R14" s="972" t="s">
        <v>778</v>
      </c>
      <c r="S14" s="65">
        <f>Q14+M14+K14</f>
        <v>987883.04295000015</v>
      </c>
      <c r="T14" s="65">
        <f t="shared" si="1"/>
        <v>51.316432827502545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52" t="str">
        <f>PIERNA!B15</f>
        <v>SEABOARD FOODS</v>
      </c>
      <c r="C15" s="272" t="str">
        <f>PIERNA!C15</f>
        <v>Seaboard</v>
      </c>
      <c r="D15" s="653" t="str">
        <f>PIERNA!D15</f>
        <v>PED. 87073245</v>
      </c>
      <c r="E15" s="654">
        <f>PIERNA!E15</f>
        <v>44814</v>
      </c>
      <c r="F15" s="655">
        <f>PIERNA!F15</f>
        <v>18891.63</v>
      </c>
      <c r="G15" s="385">
        <f>PIERNA!G15</f>
        <v>21</v>
      </c>
      <c r="H15" s="421">
        <f>PIERNA!H15</f>
        <v>18933.8</v>
      </c>
      <c r="I15" s="870">
        <f>PIERNA!I15</f>
        <v>-42.169999999998254</v>
      </c>
      <c r="J15" s="876" t="s">
        <v>369</v>
      </c>
      <c r="K15" s="809">
        <v>12001</v>
      </c>
      <c r="L15" s="649" t="s">
        <v>399</v>
      </c>
      <c r="M15" s="390">
        <v>33640</v>
      </c>
      <c r="N15" s="732" t="s">
        <v>448</v>
      </c>
      <c r="O15" s="398">
        <v>2082098</v>
      </c>
      <c r="P15" s="965">
        <v>5713</v>
      </c>
      <c r="Q15" s="395">
        <f>46362.84*20.02</f>
        <v>928184.0567999999</v>
      </c>
      <c r="R15" s="636" t="s">
        <v>339</v>
      </c>
      <c r="S15" s="65">
        <f>Q15</f>
        <v>928184.0567999999</v>
      </c>
      <c r="T15" s="65">
        <f t="shared" si="1"/>
        <v>49.122597513441569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58" t="str">
        <f>PIERNA!B16</f>
        <v>TYSON FRESH MEATS</v>
      </c>
      <c r="C16" s="272" t="str">
        <f>PIERNA!C16</f>
        <v xml:space="preserve">I B P </v>
      </c>
      <c r="D16" s="653" t="str">
        <f>PIERNA!D16</f>
        <v>PED. 87074015</v>
      </c>
      <c r="E16" s="654">
        <f>PIERNA!E16</f>
        <v>44814</v>
      </c>
      <c r="F16" s="655">
        <f>PIERNA!F16</f>
        <v>18155.939999999999</v>
      </c>
      <c r="G16" s="385">
        <f>PIERNA!G16</f>
        <v>20</v>
      </c>
      <c r="H16" s="421">
        <f>PIERNA!H16</f>
        <v>18314.13</v>
      </c>
      <c r="I16" s="870">
        <f>PIERNA!I16</f>
        <v>-158.19000000000233</v>
      </c>
      <c r="J16" s="877">
        <v>18300</v>
      </c>
      <c r="K16" s="809">
        <v>12161</v>
      </c>
      <c r="L16" s="649" t="s">
        <v>399</v>
      </c>
      <c r="M16" s="390">
        <v>33640</v>
      </c>
      <c r="N16" s="732" t="s">
        <v>399</v>
      </c>
      <c r="O16" s="399">
        <v>1089822</v>
      </c>
      <c r="P16" s="965">
        <v>5626</v>
      </c>
      <c r="Q16" s="540">
        <f>44946.56*19.9</f>
        <v>894436.54399999988</v>
      </c>
      <c r="R16" s="637" t="s">
        <v>395</v>
      </c>
      <c r="S16" s="65">
        <f t="shared" si="0"/>
        <v>945863.54399999988</v>
      </c>
      <c r="T16" s="65">
        <f t="shared" si="1"/>
        <v>51.746654468435018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56" t="str">
        <f>PIERNA!B17</f>
        <v>SEABOARD FOODS</v>
      </c>
      <c r="C17" s="272" t="str">
        <f>PIERNA!C17</f>
        <v>Seaboard</v>
      </c>
      <c r="D17" s="653" t="str">
        <f>PIERNA!D17</f>
        <v>PED. 87152287</v>
      </c>
      <c r="E17" s="654">
        <f>PIERNA!E17</f>
        <v>44817</v>
      </c>
      <c r="F17" s="655">
        <f>PIERNA!F17</f>
        <v>19014.89</v>
      </c>
      <c r="G17" s="385">
        <f>PIERNA!G17</f>
        <v>21</v>
      </c>
      <c r="H17" s="421">
        <f>PIERNA!H17</f>
        <v>19037.599999999999</v>
      </c>
      <c r="I17" s="870">
        <f>PIERNA!I17</f>
        <v>-22.709999999999127</v>
      </c>
      <c r="J17" s="878" t="s">
        <v>370</v>
      </c>
      <c r="K17" s="809">
        <v>12001</v>
      </c>
      <c r="L17" s="649" t="s">
        <v>448</v>
      </c>
      <c r="M17" s="390">
        <v>33640</v>
      </c>
      <c r="N17" s="732" t="s">
        <v>393</v>
      </c>
      <c r="O17" s="399">
        <v>2082392</v>
      </c>
      <c r="P17" s="965">
        <v>5858</v>
      </c>
      <c r="Q17" s="540">
        <f>47481.79*19.984</f>
        <v>948876.09136000008</v>
      </c>
      <c r="R17" s="637" t="s">
        <v>380</v>
      </c>
      <c r="S17" s="65">
        <f>Q17+M17+K17</f>
        <v>994517.09136000008</v>
      </c>
      <c r="T17" s="65">
        <f t="shared" si="1"/>
        <v>52.339625339328499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656" t="str">
        <f>PIERNA!B18</f>
        <v>SEABOARD FOODS</v>
      </c>
      <c r="C18" s="272" t="str">
        <f>PIERNA!C18</f>
        <v>Seaboard</v>
      </c>
      <c r="D18" s="653" t="str">
        <f>PIERNA!D18</f>
        <v>PED. 87151175</v>
      </c>
      <c r="E18" s="654">
        <f>PIERNA!E18</f>
        <v>44817</v>
      </c>
      <c r="F18" s="655">
        <f>PIERNA!F18</f>
        <v>19040.71</v>
      </c>
      <c r="G18" s="385">
        <f>PIERNA!G18</f>
        <v>21</v>
      </c>
      <c r="H18" s="421">
        <f>PIERNA!H18</f>
        <v>19034.5</v>
      </c>
      <c r="I18" s="870">
        <f>PIERNA!I18</f>
        <v>6.2099999999991269</v>
      </c>
      <c r="J18" s="874" t="s">
        <v>371</v>
      </c>
      <c r="K18" s="809">
        <v>12151</v>
      </c>
      <c r="L18" s="649" t="s">
        <v>448</v>
      </c>
      <c r="M18" s="390">
        <v>33640</v>
      </c>
      <c r="N18" s="732" t="s">
        <v>393</v>
      </c>
      <c r="O18" s="400">
        <v>2082393</v>
      </c>
      <c r="P18" s="965">
        <v>5858</v>
      </c>
      <c r="Q18" s="540">
        <f>47473.87*19.984</f>
        <v>948717.81808000011</v>
      </c>
      <c r="R18" s="648" t="s">
        <v>380</v>
      </c>
      <c r="S18" s="65">
        <f>Q18+M18+K18</f>
        <v>994508.81808000011</v>
      </c>
      <c r="T18" s="65">
        <f t="shared" si="1"/>
        <v>52.347698551577409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56" t="str">
        <f>PIERNA!B19</f>
        <v>TYSON FRESH MEATS</v>
      </c>
      <c r="C19" s="272" t="str">
        <f>PIERNA!C19</f>
        <v xml:space="preserve"> I B P </v>
      </c>
      <c r="D19" s="653" t="str">
        <f>PIERNA!D19</f>
        <v>PED. 87152298</v>
      </c>
      <c r="E19" s="654">
        <f>PIERNA!E19</f>
        <v>44817</v>
      </c>
      <c r="F19" s="655">
        <f>PIERNA!F19</f>
        <v>18842.21</v>
      </c>
      <c r="G19" s="385">
        <f>PIERNA!G19</f>
        <v>20</v>
      </c>
      <c r="H19" s="421">
        <f>PIERNA!H19</f>
        <v>18866.189999999999</v>
      </c>
      <c r="I19" s="870">
        <f>PIERNA!I19</f>
        <v>-23.979999999999563</v>
      </c>
      <c r="J19" s="879" t="s">
        <v>372</v>
      </c>
      <c r="K19" s="809">
        <v>9851</v>
      </c>
      <c r="L19" s="649" t="s">
        <v>448</v>
      </c>
      <c r="M19" s="390">
        <v>33640</v>
      </c>
      <c r="N19" s="650" t="s">
        <v>393</v>
      </c>
      <c r="O19" s="394">
        <v>1092127</v>
      </c>
      <c r="P19" s="966">
        <v>5916</v>
      </c>
      <c r="Q19" s="540">
        <f>47511.68*19.95</f>
        <v>947858.01599999995</v>
      </c>
      <c r="R19" s="645" t="s">
        <v>771</v>
      </c>
      <c r="S19" s="65">
        <f>Q19+M19+K19</f>
        <v>991349.01599999995</v>
      </c>
      <c r="T19" s="65">
        <f t="shared" si="1"/>
        <v>52.646328431972755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58" t="str">
        <f>PIERNA!B20</f>
        <v>TYSON FRESH MEATS</v>
      </c>
      <c r="C20" s="272" t="str">
        <f>PIERNA!C20</f>
        <v xml:space="preserve"> I B P </v>
      </c>
      <c r="D20" s="653" t="str">
        <f>PIERNA!D20</f>
        <v>PED. 87283140</v>
      </c>
      <c r="E20" s="654">
        <f>PIERNA!E20</f>
        <v>44819</v>
      </c>
      <c r="F20" s="655">
        <f>PIERNA!F20</f>
        <v>18437</v>
      </c>
      <c r="G20" s="385">
        <f>PIERNA!G20</f>
        <v>20</v>
      </c>
      <c r="H20" s="421">
        <f>PIERNA!H20</f>
        <v>18473.8</v>
      </c>
      <c r="I20" s="870">
        <f>PIERNA!I20</f>
        <v>-36.799999999999272</v>
      </c>
      <c r="J20" s="874" t="s">
        <v>374</v>
      </c>
      <c r="K20" s="809">
        <v>12151</v>
      </c>
      <c r="L20" s="649" t="s">
        <v>449</v>
      </c>
      <c r="M20" s="390">
        <v>33640</v>
      </c>
      <c r="N20" s="650" t="s">
        <v>449</v>
      </c>
      <c r="O20" s="394">
        <v>1098370</v>
      </c>
      <c r="P20" s="967">
        <v>5771</v>
      </c>
      <c r="Q20" s="540">
        <f>46177.41*20.02</f>
        <v>924471.74820000003</v>
      </c>
      <c r="R20" s="645" t="s">
        <v>445</v>
      </c>
      <c r="S20" s="65">
        <f t="shared" si="0"/>
        <v>976033.74820000003</v>
      </c>
      <c r="T20" s="65">
        <f t="shared" si="1"/>
        <v>52.933404508005935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61" t="str">
        <f>PIERNA!B21</f>
        <v>SEABOARD  FOODS</v>
      </c>
      <c r="C21" s="386" t="str">
        <f>PIERNA!C21</f>
        <v>Seaboard</v>
      </c>
      <c r="D21" s="653" t="str">
        <f>PIERNA!D21</f>
        <v>PED. 87260526</v>
      </c>
      <c r="E21" s="654">
        <f>PIERNA!E21</f>
        <v>44819</v>
      </c>
      <c r="F21" s="655">
        <f>PIERNA!F21</f>
        <v>18904.29</v>
      </c>
      <c r="G21" s="385">
        <f>PIERNA!G21</f>
        <v>21</v>
      </c>
      <c r="H21" s="421">
        <f>PIERNA!H21</f>
        <v>18913.900000000001</v>
      </c>
      <c r="I21" s="870">
        <f>PIERNA!I21</f>
        <v>-9.6100000000005821</v>
      </c>
      <c r="J21" s="874" t="s">
        <v>375</v>
      </c>
      <c r="K21" s="809">
        <v>9851</v>
      </c>
      <c r="L21" s="649" t="s">
        <v>449</v>
      </c>
      <c r="M21" s="390">
        <v>33640</v>
      </c>
      <c r="N21" s="650" t="s">
        <v>449</v>
      </c>
      <c r="O21" s="399">
        <v>2082394</v>
      </c>
      <c r="P21" s="967">
        <v>5800</v>
      </c>
      <c r="Q21" s="540">
        <f>47331.4*20.015</f>
        <v>947337.97100000002</v>
      </c>
      <c r="R21" s="645" t="s">
        <v>442</v>
      </c>
      <c r="S21" s="65">
        <f t="shared" si="0"/>
        <v>996628.97100000002</v>
      </c>
      <c r="T21" s="65">
        <f t="shared" si="1"/>
        <v>52.792938579563177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 t="str">
        <f>PIERNA!B22</f>
        <v>SEABOARD FOODS</v>
      </c>
      <c r="C22" s="272" t="str">
        <f>PIERNA!C22</f>
        <v>Seaboard</v>
      </c>
      <c r="D22" s="653" t="str">
        <f>PIERNA!D22</f>
        <v>PED. 87336291</v>
      </c>
      <c r="E22" s="654">
        <f>PIERNA!E22</f>
        <v>44820</v>
      </c>
      <c r="F22" s="655">
        <f>PIERNA!F22</f>
        <v>19085.12</v>
      </c>
      <c r="G22" s="385">
        <f>PIERNA!G22</f>
        <v>21</v>
      </c>
      <c r="H22" s="421">
        <f>PIERNA!H22</f>
        <v>19109</v>
      </c>
      <c r="I22" s="870">
        <f>PIERNA!I22</f>
        <v>-23.880000000001019</v>
      </c>
      <c r="J22" s="875" t="s">
        <v>378</v>
      </c>
      <c r="K22" s="809">
        <v>11151</v>
      </c>
      <c r="L22" s="649" t="s">
        <v>444</v>
      </c>
      <c r="M22" s="390">
        <v>33640</v>
      </c>
      <c r="N22" s="650" t="s">
        <v>444</v>
      </c>
      <c r="O22" s="399">
        <v>2083212</v>
      </c>
      <c r="P22" s="966">
        <v>6090</v>
      </c>
      <c r="Q22" s="540">
        <f>49593.08*19.975</f>
        <v>990621.77300000016</v>
      </c>
      <c r="R22" s="645" t="s">
        <v>395</v>
      </c>
      <c r="S22" s="65">
        <f>Q22+M22+K22</f>
        <v>1035412.7730000002</v>
      </c>
      <c r="T22" s="65">
        <f t="shared" si="1"/>
        <v>54.284560835208552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 t="str">
        <f>PIERNA!B23</f>
        <v>SEABORAD FOODS</v>
      </c>
      <c r="C23" s="272" t="str">
        <f>PIERNA!C23</f>
        <v>Seabord</v>
      </c>
      <c r="D23" s="653" t="str">
        <f>PIERNA!D23</f>
        <v>PED. 87404024</v>
      </c>
      <c r="E23" s="654">
        <f>PIERNA!E23</f>
        <v>44824</v>
      </c>
      <c r="F23" s="655">
        <f>PIERNA!F23</f>
        <v>19029.2</v>
      </c>
      <c r="G23" s="385">
        <f>PIERNA!G23</f>
        <v>21</v>
      </c>
      <c r="H23" s="421">
        <f>PIERNA!H23</f>
        <v>19069.900000000001</v>
      </c>
      <c r="I23" s="870">
        <f>PIERNA!I23</f>
        <v>-40.700000000000728</v>
      </c>
      <c r="J23" s="874" t="s">
        <v>422</v>
      </c>
      <c r="K23" s="809">
        <v>12161</v>
      </c>
      <c r="L23" s="649" t="s">
        <v>450</v>
      </c>
      <c r="M23" s="390">
        <v>33640</v>
      </c>
      <c r="N23" s="650" t="s">
        <v>451</v>
      </c>
      <c r="O23" s="400">
        <v>2084887</v>
      </c>
      <c r="P23" s="1132">
        <v>6380</v>
      </c>
      <c r="Q23" s="540">
        <f>51846.19*19.83</f>
        <v>1028109.9476999999</v>
      </c>
      <c r="R23" s="645" t="s">
        <v>333</v>
      </c>
      <c r="S23" s="65">
        <f>Q23+M23+K23</f>
        <v>1073910.9476999999</v>
      </c>
      <c r="T23" s="65">
        <f t="shared" si="1"/>
        <v>56.414450925280143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56" t="str">
        <f>PIERNA!B24</f>
        <v>SEABOARD FOODS</v>
      </c>
      <c r="C24" s="272" t="str">
        <f>PIERNA!C24</f>
        <v>Seaboard</v>
      </c>
      <c r="D24" s="659" t="str">
        <f>PIERNA!D24</f>
        <v>PED. 87403746</v>
      </c>
      <c r="E24" s="654">
        <f>PIERNA!E24</f>
        <v>44824</v>
      </c>
      <c r="F24" s="655">
        <f>PIERNA!F24</f>
        <v>18670.46</v>
      </c>
      <c r="G24" s="385">
        <f>PIERNA!G24</f>
        <v>21</v>
      </c>
      <c r="H24" s="421">
        <f>PIERNA!H24</f>
        <v>18708.5</v>
      </c>
      <c r="I24" s="870">
        <f>PIERNA!I24</f>
        <v>-38.040000000000873</v>
      </c>
      <c r="J24" s="874" t="s">
        <v>416</v>
      </c>
      <c r="K24" s="809">
        <v>11151</v>
      </c>
      <c r="L24" s="649" t="s">
        <v>450</v>
      </c>
      <c r="M24" s="390">
        <v>33640</v>
      </c>
      <c r="N24" s="650" t="s">
        <v>451</v>
      </c>
      <c r="O24" s="394">
        <v>2084888</v>
      </c>
      <c r="P24" s="1132">
        <v>6380</v>
      </c>
      <c r="Q24" s="540">
        <f>50863.33*19.788</f>
        <v>1006483.5740400001</v>
      </c>
      <c r="R24" s="645" t="s">
        <v>333</v>
      </c>
      <c r="S24" s="65">
        <f t="shared" si="0"/>
        <v>1057654.5740400001</v>
      </c>
      <c r="T24" s="65">
        <f t="shared" si="1"/>
        <v>56.633371143597834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6" t="str">
        <f>PIERNA!HM5</f>
        <v>TYSON FRESH MEATS</v>
      </c>
      <c r="C25" s="390" t="str">
        <f>PIERNA!HN5</f>
        <v xml:space="preserve">I B P </v>
      </c>
      <c r="D25" s="659" t="str">
        <f>PIERNA!HO5</f>
        <v>PED. 87404465</v>
      </c>
      <c r="E25" s="654">
        <f>PIERNA!E25</f>
        <v>44824</v>
      </c>
      <c r="F25" s="655">
        <f>PIERNA!HQ5</f>
        <v>18163.849999999999</v>
      </c>
      <c r="G25" s="385">
        <f>PIERNA!HR5</f>
        <v>20</v>
      </c>
      <c r="H25" s="421">
        <f>PIERNA!HS5</f>
        <v>18207.09</v>
      </c>
      <c r="I25" s="870">
        <f>PIERNA!I25</f>
        <v>-43.240000000001601</v>
      </c>
      <c r="J25" s="874" t="s">
        <v>417</v>
      </c>
      <c r="K25" s="809">
        <v>12001</v>
      </c>
      <c r="L25" s="649" t="s">
        <v>450</v>
      </c>
      <c r="M25" s="390">
        <v>33640</v>
      </c>
      <c r="N25" s="650" t="s">
        <v>451</v>
      </c>
      <c r="O25" s="394">
        <v>1104336</v>
      </c>
      <c r="P25" s="1133">
        <v>6380</v>
      </c>
      <c r="Q25" s="540">
        <f>48569.4*19.995</f>
        <v>971145.15300000005</v>
      </c>
      <c r="R25" s="646" t="s">
        <v>446</v>
      </c>
      <c r="S25" s="65">
        <f t="shared" si="0"/>
        <v>1023166.153</v>
      </c>
      <c r="T25" s="65">
        <f t="shared" si="1"/>
        <v>56.296028744846105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80" t="str">
        <f>PIERNA!HW5</f>
        <v>TYSON FRESH MEATS</v>
      </c>
      <c r="C26" s="272" t="str">
        <f>PIERNA!HX5</f>
        <v xml:space="preserve">I BP </v>
      </c>
      <c r="D26" s="659" t="str">
        <f>PIERNA!HY5</f>
        <v>PED. 87465798</v>
      </c>
      <c r="E26" s="654">
        <f>PIERNA!HZ5</f>
        <v>44825</v>
      </c>
      <c r="F26" s="655">
        <f>PIERNA!IA5</f>
        <v>18296.439999999999</v>
      </c>
      <c r="G26" s="660">
        <f>PIERNA!IB5</f>
        <v>20</v>
      </c>
      <c r="H26" s="421">
        <f>PIERNA!IC5</f>
        <v>18329.09</v>
      </c>
      <c r="I26" s="870">
        <f>PIERNA!I26</f>
        <v>-32.650000000001455</v>
      </c>
      <c r="J26" s="874" t="s">
        <v>418</v>
      </c>
      <c r="K26" s="809">
        <v>9851</v>
      </c>
      <c r="L26" s="647" t="s">
        <v>450</v>
      </c>
      <c r="M26" s="390">
        <v>33640</v>
      </c>
      <c r="N26" s="645" t="s">
        <v>452</v>
      </c>
      <c r="O26" s="394">
        <v>1104808</v>
      </c>
      <c r="P26" s="1132">
        <v>6206</v>
      </c>
      <c r="Q26" s="540">
        <f>48894.89*19.88</f>
        <v>972030.41319999995</v>
      </c>
      <c r="R26" s="645" t="s">
        <v>447</v>
      </c>
      <c r="S26" s="65">
        <f t="shared" si="0"/>
        <v>1021727.4132</v>
      </c>
      <c r="T26" s="65">
        <f t="shared" si="1"/>
        <v>55.843488258282328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 t="str">
        <f>PIERNA!IG5</f>
        <v>SEABOARD FOODS</v>
      </c>
      <c r="C27" s="272" t="str">
        <f>PIERNA!IH5</f>
        <v>Seaboard</v>
      </c>
      <c r="D27" s="659" t="str">
        <f>PIERNA!II5</f>
        <v>PED. 87518661</v>
      </c>
      <c r="E27" s="654">
        <f>PIERNA!IJ5</f>
        <v>44826</v>
      </c>
      <c r="F27" s="655">
        <f>PIERNA!IK5</f>
        <v>19078.37</v>
      </c>
      <c r="G27" s="660">
        <f>PIERNA!IL5</f>
        <v>21</v>
      </c>
      <c r="H27" s="421">
        <f>PIERNA!IM5</f>
        <v>19098.400000000001</v>
      </c>
      <c r="I27" s="870">
        <f>PIERNA!I27</f>
        <v>-20.030000000002474</v>
      </c>
      <c r="J27" s="874" t="s">
        <v>420</v>
      </c>
      <c r="K27" s="809">
        <v>9851</v>
      </c>
      <c r="L27" s="647" t="s">
        <v>452</v>
      </c>
      <c r="M27" s="390">
        <v>33640</v>
      </c>
      <c r="N27" s="645" t="s">
        <v>453</v>
      </c>
      <c r="O27" s="394">
        <v>2084889</v>
      </c>
      <c r="P27" s="1133">
        <v>6206</v>
      </c>
      <c r="Q27" s="540">
        <f>50361.79*20.07</f>
        <v>1010761.1253000001</v>
      </c>
      <c r="R27" s="645" t="s">
        <v>443</v>
      </c>
      <c r="S27" s="65">
        <f>Q27+M27+K27+P27</f>
        <v>1060458.1253</v>
      </c>
      <c r="T27" s="65">
        <f t="shared" si="1"/>
        <v>55.62601921103338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 t="str">
        <f>PIERNA!IQ5</f>
        <v>SEABOARD FOODS</v>
      </c>
      <c r="C28" s="272" t="str">
        <f>PIERNA!IR5</f>
        <v>Seaboard</v>
      </c>
      <c r="D28" s="659" t="str">
        <f>PIERNA!IS5</f>
        <v>PED. 87516897</v>
      </c>
      <c r="E28" s="654">
        <f>PIERNA!IT5</f>
        <v>44826</v>
      </c>
      <c r="F28" s="655">
        <f>PIERNA!IU5</f>
        <v>18709.22</v>
      </c>
      <c r="G28" s="660">
        <f>PIERNA!IV5</f>
        <v>21</v>
      </c>
      <c r="H28" s="421">
        <f>PIERNA!IW5</f>
        <v>18727.599999999999</v>
      </c>
      <c r="I28" s="870">
        <f>PIERNA!I28</f>
        <v>-18.379999999997381</v>
      </c>
      <c r="J28" s="875" t="s">
        <v>421</v>
      </c>
      <c r="K28" s="809">
        <v>12001</v>
      </c>
      <c r="L28" s="647" t="s">
        <v>452</v>
      </c>
      <c r="M28" s="390">
        <v>33640</v>
      </c>
      <c r="N28" s="645" t="s">
        <v>453</v>
      </c>
      <c r="O28" s="394">
        <v>2085665</v>
      </c>
      <c r="P28" s="1132">
        <v>6090</v>
      </c>
      <c r="Q28" s="540">
        <f xml:space="preserve"> 49562.12*20.01</f>
        <v>991738.02120000008</v>
      </c>
      <c r="R28" s="646" t="s">
        <v>444</v>
      </c>
      <c r="S28" s="65">
        <f t="shared" si="0"/>
        <v>1043469.0212000001</v>
      </c>
      <c r="T28" s="65">
        <f t="shared" si="1"/>
        <v>55.818245861722815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849" t="str">
        <f>PIERNA!JA5</f>
        <v>SEABOARD FOODS</v>
      </c>
      <c r="C29" s="272" t="str">
        <f>PIERNA!JB5</f>
        <v>Seaboard</v>
      </c>
      <c r="D29" s="659" t="str">
        <f>PIERNA!JC5</f>
        <v>PED. 87573555</v>
      </c>
      <c r="E29" s="654">
        <f>PIERNA!JD5</f>
        <v>44827</v>
      </c>
      <c r="F29" s="655">
        <f>PIERNA!JE5</f>
        <v>18948.98</v>
      </c>
      <c r="G29" s="660">
        <f>PIERNA!JF5</f>
        <v>21</v>
      </c>
      <c r="H29" s="421">
        <f>PIERNA!JG5</f>
        <v>19005.7</v>
      </c>
      <c r="I29" s="870">
        <f>PIERNA!I29</f>
        <v>-56.720000000001164</v>
      </c>
      <c r="J29" s="879" t="s">
        <v>423</v>
      </c>
      <c r="K29" s="872">
        <v>11151</v>
      </c>
      <c r="L29" s="647" t="s">
        <v>453</v>
      </c>
      <c r="M29" s="390">
        <v>33640</v>
      </c>
      <c r="N29" s="645" t="s">
        <v>454</v>
      </c>
      <c r="O29" s="400">
        <v>2085275</v>
      </c>
      <c r="P29" s="1132">
        <v>6206</v>
      </c>
      <c r="Q29" s="540">
        <f>50117.79*20.08</f>
        <v>1006365.2231999999</v>
      </c>
      <c r="R29" s="646" t="s">
        <v>392</v>
      </c>
      <c r="S29" s="65">
        <f t="shared" si="0"/>
        <v>1057362.2231999999</v>
      </c>
      <c r="T29" s="65">
        <f t="shared" si="1"/>
        <v>55.733953140373671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 t="str">
        <f>PIERNA!JK5</f>
        <v>TYSON FRESH MEAT</v>
      </c>
      <c r="C30" s="272" t="str">
        <f>PIERNA!JL5</f>
        <v>I B P</v>
      </c>
      <c r="D30" s="659" t="str">
        <f>PIERNA!JM5</f>
        <v>PED. 87717007</v>
      </c>
      <c r="E30" s="661">
        <f>PIERNA!JN5</f>
        <v>44831</v>
      </c>
      <c r="F30" s="662">
        <f>PIERNA!JO5</f>
        <v>18852.580000000002</v>
      </c>
      <c r="G30" s="400">
        <f>PIERNA!JP5</f>
        <v>20</v>
      </c>
      <c r="H30" s="663">
        <f>PIERNA!JQ5</f>
        <v>18908.36</v>
      </c>
      <c r="I30" s="870">
        <f>PIERNA!I30</f>
        <v>-55.779999999998836</v>
      </c>
      <c r="J30" s="874" t="s">
        <v>477</v>
      </c>
      <c r="K30" s="809">
        <v>12001</v>
      </c>
      <c r="L30" s="647" t="s">
        <v>496</v>
      </c>
      <c r="M30" s="390">
        <v>33640</v>
      </c>
      <c r="N30" s="645" t="s">
        <v>497</v>
      </c>
      <c r="O30" s="400">
        <v>1112478</v>
      </c>
      <c r="P30" s="1132">
        <v>6380</v>
      </c>
      <c r="Q30" s="540">
        <f>50594.29*20.213</f>
        <v>1022662.3837700001</v>
      </c>
      <c r="R30" s="646" t="s">
        <v>492</v>
      </c>
      <c r="S30" s="65">
        <f>Q30+M30+K30</f>
        <v>1068303.3837700002</v>
      </c>
      <c r="T30" s="65">
        <f t="shared" si="1"/>
        <v>56.598997468315609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 t="str">
        <f>PIERNA!JU5</f>
        <v>SEABOARD FOODS</v>
      </c>
      <c r="C31" s="664" t="str">
        <f>PIERNA!JV5</f>
        <v>Seaboard</v>
      </c>
      <c r="D31" s="659" t="str">
        <f>PIERNA!JW5</f>
        <v>PED. 87746868</v>
      </c>
      <c r="E31" s="661">
        <f>PIERNA!JX5</f>
        <v>44832</v>
      </c>
      <c r="F31" s="662">
        <f>PIERNA!JY5</f>
        <v>19023.8</v>
      </c>
      <c r="G31" s="400">
        <f>PIERNA!JZ5</f>
        <v>21</v>
      </c>
      <c r="H31" s="663">
        <f>PIERNA!KA5</f>
        <v>19087.400000000001</v>
      </c>
      <c r="I31" s="870">
        <f>PIERNA!I31</f>
        <v>-63.600000000002183</v>
      </c>
      <c r="J31" s="874" t="s">
        <v>478</v>
      </c>
      <c r="K31" s="809">
        <v>11151</v>
      </c>
      <c r="L31" s="647" t="s">
        <v>497</v>
      </c>
      <c r="M31" s="390">
        <v>33640</v>
      </c>
      <c r="N31" s="645" t="s">
        <v>497</v>
      </c>
      <c r="O31" s="400">
        <v>2087805</v>
      </c>
      <c r="P31" s="1132">
        <v>6148</v>
      </c>
      <c r="Q31" s="540">
        <f>50245.91*19.952</f>
        <v>1002506.3963200002</v>
      </c>
      <c r="R31" s="646" t="s">
        <v>494</v>
      </c>
      <c r="S31" s="65">
        <f t="shared" si="0"/>
        <v>1053445.3963200003</v>
      </c>
      <c r="T31" s="65">
        <f t="shared" si="1"/>
        <v>55.29061770172995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 t="str">
        <f>PIERNA!KE5</f>
        <v>SEABOARD FOODS</v>
      </c>
      <c r="C32" s="272" t="str">
        <f>PIERNA!KF5</f>
        <v>Seaboard</v>
      </c>
      <c r="D32" s="659" t="str">
        <f>PIERNA!KG5</f>
        <v>PED. 87811472</v>
      </c>
      <c r="E32" s="661">
        <f>PIERNA!KH5</f>
        <v>44833</v>
      </c>
      <c r="F32" s="662">
        <f>PIERNA!KI5</f>
        <v>18953.61</v>
      </c>
      <c r="G32" s="400">
        <f>PIERNA!KJ5</f>
        <v>21</v>
      </c>
      <c r="H32" s="663">
        <f>PIERNA!H32</f>
        <v>19038</v>
      </c>
      <c r="I32" s="870">
        <f>PIERNA!I32</f>
        <v>-84.389999999999418</v>
      </c>
      <c r="J32" s="874" t="s">
        <v>479</v>
      </c>
      <c r="K32" s="809">
        <v>12151</v>
      </c>
      <c r="L32" s="647" t="s">
        <v>498</v>
      </c>
      <c r="M32" s="390">
        <v>33640</v>
      </c>
      <c r="N32" s="645" t="s">
        <v>499</v>
      </c>
      <c r="O32" s="400">
        <v>2087217</v>
      </c>
      <c r="P32" s="1132">
        <v>6148</v>
      </c>
      <c r="Q32" s="540">
        <f>50114.57*19.952</f>
        <v>999885.90064000012</v>
      </c>
      <c r="R32" s="646" t="s">
        <v>494</v>
      </c>
      <c r="S32" s="65">
        <f>Q32+M32+K32+P32</f>
        <v>1051824.9006400001</v>
      </c>
      <c r="T32" s="65">
        <f t="shared" ref="T32:T41" si="8">S32/H32+0.1</f>
        <v>55.348707881079953</v>
      </c>
      <c r="W32" s="73"/>
      <c r="X32" s="73"/>
      <c r="Y32" s="170"/>
      <c r="Z32" s="171"/>
      <c r="AA32" s="170"/>
      <c r="AB32" s="170"/>
      <c r="AC32" s="170"/>
    </row>
    <row r="33" spans="1:29" s="152" customFormat="1" ht="26.25" x14ac:dyDescent="0.25">
      <c r="A33" s="100">
        <v>30</v>
      </c>
      <c r="B33" s="461" t="str">
        <f>PIERNA!KO5</f>
        <v>SEABOARD FOODS</v>
      </c>
      <c r="C33" s="272" t="str">
        <f>PIERNA!KP5</f>
        <v>Seaboard</v>
      </c>
      <c r="D33" s="659" t="str">
        <f>PIERNA!KQ5</f>
        <v>PED. 87810987</v>
      </c>
      <c r="E33" s="661">
        <f>PIERNA!KR5</f>
        <v>44833</v>
      </c>
      <c r="F33" s="665">
        <f>PIERNA!KS5</f>
        <v>18809.29</v>
      </c>
      <c r="G33" s="666">
        <f>PIERNA!KT5</f>
        <v>21</v>
      </c>
      <c r="H33" s="663">
        <f>PIERNA!KU5</f>
        <v>18894.599999999999</v>
      </c>
      <c r="I33" s="871">
        <f>PIERNA!I33</f>
        <v>-85.309999999997672</v>
      </c>
      <c r="J33" s="874" t="s">
        <v>480</v>
      </c>
      <c r="K33" s="872">
        <v>9851</v>
      </c>
      <c r="L33" s="647" t="s">
        <v>498</v>
      </c>
      <c r="M33" s="390">
        <v>33640</v>
      </c>
      <c r="N33" s="645" t="s">
        <v>499</v>
      </c>
      <c r="O33" s="400">
        <v>2087218</v>
      </c>
      <c r="P33" s="1132">
        <v>6148</v>
      </c>
      <c r="Q33" s="540">
        <f>49799.75*19.88</f>
        <v>990019.02999999991</v>
      </c>
      <c r="R33" s="646" t="s">
        <v>495</v>
      </c>
      <c r="S33" s="65">
        <f>Q33+M33+K33+P33</f>
        <v>1039658.0299999999</v>
      </c>
      <c r="T33" s="65">
        <f t="shared" si="8"/>
        <v>55.124082542101981</v>
      </c>
      <c r="W33" s="73"/>
      <c r="X33" s="73"/>
      <c r="Y33" s="170"/>
      <c r="Z33" s="171"/>
      <c r="AA33" s="170"/>
      <c r="AB33" s="170"/>
      <c r="AC33" s="170"/>
    </row>
    <row r="34" spans="1:29" s="152" customFormat="1" ht="26.25" x14ac:dyDescent="0.25">
      <c r="A34" s="100">
        <v>31</v>
      </c>
      <c r="B34" s="272" t="str">
        <f>PIERNA!B34</f>
        <v>TYSON FRESH MEATS</v>
      </c>
      <c r="C34" s="386" t="str">
        <f>PIERNA!C34</f>
        <v xml:space="preserve">I B P </v>
      </c>
      <c r="D34" s="659" t="str">
        <f>PIERNA!D34</f>
        <v>PED.87859590</v>
      </c>
      <c r="E34" s="661">
        <f>PIERNA!E34</f>
        <v>44834</v>
      </c>
      <c r="F34" s="665">
        <f>PIERNA!F34</f>
        <v>18717.740000000002</v>
      </c>
      <c r="G34" s="666">
        <f>PIERNA!G34</f>
        <v>20</v>
      </c>
      <c r="H34" s="663">
        <f>PIERNA!H34</f>
        <v>18753.669999999998</v>
      </c>
      <c r="I34" s="870">
        <f>PIERNA!I34</f>
        <v>-35.929999999996653</v>
      </c>
      <c r="J34" s="874">
        <v>99810</v>
      </c>
      <c r="K34" s="809">
        <v>9851</v>
      </c>
      <c r="L34" s="647" t="s">
        <v>499</v>
      </c>
      <c r="M34" s="390">
        <v>33640</v>
      </c>
      <c r="N34" s="645" t="s">
        <v>500</v>
      </c>
      <c r="O34" s="578">
        <v>1120284</v>
      </c>
      <c r="P34" s="1132">
        <v>6177</v>
      </c>
      <c r="Q34" s="541">
        <f>49204.68*20.13</f>
        <v>990490.2084</v>
      </c>
      <c r="R34" s="739" t="s">
        <v>493</v>
      </c>
      <c r="S34" s="65">
        <f>Q34+M34+K34+P34</f>
        <v>1040158.2084</v>
      </c>
      <c r="T34" s="65">
        <f t="shared" si="8"/>
        <v>55.564248245810028</v>
      </c>
      <c r="W34" s="73"/>
      <c r="X34" s="73"/>
      <c r="Y34" s="170"/>
      <c r="Z34" s="171"/>
      <c r="AA34" s="170"/>
      <c r="AB34" s="170"/>
      <c r="AC34" s="170"/>
    </row>
    <row r="35" spans="1:29" s="152" customFormat="1" ht="26.25" x14ac:dyDescent="0.25">
      <c r="A35" s="100">
        <v>32</v>
      </c>
      <c r="B35" s="272" t="str">
        <f>PIERNA!B35</f>
        <v>SEABOARD FOODS</v>
      </c>
      <c r="C35" s="386" t="str">
        <f>PIERNA!C35</f>
        <v>Seaboard</v>
      </c>
      <c r="D35" s="659" t="str">
        <f>PIERNA!D35</f>
        <v>PED. 87859194</v>
      </c>
      <c r="E35" s="661">
        <f>PIERNA!E35</f>
        <v>44834</v>
      </c>
      <c r="F35" s="665">
        <f>PIERNA!F35</f>
        <v>18895.86</v>
      </c>
      <c r="G35" s="667">
        <f>PIERNA!G35</f>
        <v>21</v>
      </c>
      <c r="H35" s="663">
        <f>PIERNA!H35</f>
        <v>18950.900000000001</v>
      </c>
      <c r="I35" s="870">
        <f>PIERNA!I35</f>
        <v>-55.040000000000873</v>
      </c>
      <c r="J35" s="874" t="s">
        <v>482</v>
      </c>
      <c r="K35" s="809">
        <v>11151</v>
      </c>
      <c r="L35" s="647" t="s">
        <v>499</v>
      </c>
      <c r="M35" s="390">
        <v>33640</v>
      </c>
      <c r="N35" s="645" t="s">
        <v>501</v>
      </c>
      <c r="O35" s="578">
        <v>2088051</v>
      </c>
      <c r="P35" s="1132">
        <v>6177</v>
      </c>
      <c r="Q35" s="395">
        <f>49617.93*20.23</f>
        <v>1003770.7239</v>
      </c>
      <c r="R35" s="646" t="s">
        <v>490</v>
      </c>
      <c r="S35" s="65">
        <f>Q35+M35+K35</f>
        <v>1048561.7239</v>
      </c>
      <c r="T35" s="65">
        <f t="shared" si="8"/>
        <v>55.430444670173969</v>
      </c>
      <c r="W35" s="73"/>
      <c r="X35" s="73"/>
      <c r="Y35" s="170"/>
      <c r="Z35" s="171"/>
      <c r="AA35" s="170"/>
      <c r="AB35" s="170"/>
      <c r="AC35" s="170"/>
    </row>
    <row r="36" spans="1:29" s="152" customFormat="1" ht="24.75" x14ac:dyDescent="0.25">
      <c r="A36" s="100">
        <v>33</v>
      </c>
      <c r="B36" s="272" t="str">
        <f>PIERNA!B36</f>
        <v>SEABOARD FOODS</v>
      </c>
      <c r="C36" s="386" t="str">
        <f>PIERNA!C36</f>
        <v>Seaboard</v>
      </c>
      <c r="D36" s="659" t="str">
        <f>PIERNA!D36</f>
        <v>PED. 87859192</v>
      </c>
      <c r="E36" s="661">
        <f>PIERNA!E36</f>
        <v>44834</v>
      </c>
      <c r="F36" s="665">
        <f>PIERNA!F36</f>
        <v>18787.43</v>
      </c>
      <c r="G36" s="667">
        <f>PIERNA!G36</f>
        <v>21</v>
      </c>
      <c r="H36" s="663">
        <f>PIERNA!H36</f>
        <v>18860.2</v>
      </c>
      <c r="I36" s="870">
        <f>PIERNA!I36</f>
        <v>-72.770000000000437</v>
      </c>
      <c r="J36" s="874" t="s">
        <v>483</v>
      </c>
      <c r="K36" s="809">
        <v>12151</v>
      </c>
      <c r="L36" s="647" t="s">
        <v>499</v>
      </c>
      <c r="M36" s="390">
        <v>33640</v>
      </c>
      <c r="N36" s="650" t="s">
        <v>501</v>
      </c>
      <c r="O36" s="578">
        <v>2088308</v>
      </c>
      <c r="P36" s="1132">
        <v>6177</v>
      </c>
      <c r="Q36" s="395">
        <f>49380.41*20.42</f>
        <v>1008347.9722000002</v>
      </c>
      <c r="R36" s="645" t="s">
        <v>491</v>
      </c>
      <c r="S36" s="65">
        <f t="shared" ref="S36:S39" si="9">Q36+M36+K36</f>
        <v>1054138.9722000002</v>
      </c>
      <c r="T36" s="65">
        <f t="shared" si="8"/>
        <v>55.992247812854593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6">
        <f>PIERNA!C37</f>
        <v>0</v>
      </c>
      <c r="D37" s="653">
        <f>PIERNA!D37</f>
        <v>0</v>
      </c>
      <c r="E37" s="654">
        <f>PIERNA!E37</f>
        <v>0</v>
      </c>
      <c r="F37" s="655">
        <f>PIERNA!F37</f>
        <v>0</v>
      </c>
      <c r="G37" s="385">
        <f>PIERNA!G37</f>
        <v>0</v>
      </c>
      <c r="H37" s="421">
        <f>PIERNA!H37</f>
        <v>0</v>
      </c>
      <c r="I37" s="870">
        <f>PIERNA!I37</f>
        <v>0</v>
      </c>
      <c r="J37" s="874"/>
      <c r="K37" s="809"/>
      <c r="L37" s="647"/>
      <c r="M37" s="390"/>
      <c r="N37" s="645"/>
      <c r="O37" s="394"/>
      <c r="P37" s="1132"/>
      <c r="Q37" s="540"/>
      <c r="R37" s="645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6">
        <f>PIERNA!C38</f>
        <v>0</v>
      </c>
      <c r="D38" s="455">
        <f>PIERNA!D38</f>
        <v>0</v>
      </c>
      <c r="E38" s="654">
        <f>PIERNA!E38</f>
        <v>0</v>
      </c>
      <c r="F38" s="668">
        <f>PIERNA!F38</f>
        <v>0</v>
      </c>
      <c r="G38" s="385">
        <f>PIERNA!G38</f>
        <v>0</v>
      </c>
      <c r="H38" s="420">
        <f>PIERNA!H38</f>
        <v>0</v>
      </c>
      <c r="I38" s="870">
        <f>PIERNA!I38</f>
        <v>0</v>
      </c>
      <c r="J38" s="880"/>
      <c r="K38" s="809"/>
      <c r="L38" s="725"/>
      <c r="M38" s="390"/>
      <c r="N38" s="645"/>
      <c r="O38" s="394"/>
      <c r="P38" s="393"/>
      <c r="Q38" s="540"/>
      <c r="R38" s="646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651"/>
      <c r="K39" s="395"/>
      <c r="L39" s="725"/>
      <c r="M39" s="390"/>
      <c r="N39" s="645"/>
      <c r="O39" s="400"/>
      <c r="P39" s="393"/>
      <c r="Q39" s="540"/>
      <c r="R39" s="646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276"/>
      <c r="K40" s="390"/>
      <c r="L40" s="647"/>
      <c r="M40" s="390"/>
      <c r="N40" s="645"/>
      <c r="O40" s="400"/>
      <c r="P40" s="393"/>
      <c r="Q40" s="540"/>
      <c r="R40" s="646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276"/>
      <c r="K41" s="395"/>
      <c r="L41" s="647"/>
      <c r="M41" s="390"/>
      <c r="N41" s="645"/>
      <c r="O41" s="400"/>
      <c r="P41" s="393"/>
      <c r="Q41" s="540"/>
      <c r="R41" s="646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4">
        <f>PIERNA!C42</f>
        <v>0</v>
      </c>
      <c r="D42" s="166">
        <f>PIERNA!D42</f>
        <v>0</v>
      </c>
      <c r="E42" s="134">
        <f>PIERNA!E42</f>
        <v>0</v>
      </c>
      <c r="F42" s="460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276"/>
      <c r="K42" s="390"/>
      <c r="L42" s="647"/>
      <c r="M42" s="390"/>
      <c r="N42" s="645"/>
      <c r="O42" s="400"/>
      <c r="P42" s="393"/>
      <c r="Q42" s="540"/>
      <c r="R42" s="646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60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276"/>
      <c r="K43" s="390"/>
      <c r="L43" s="647"/>
      <c r="M43" s="390"/>
      <c r="N43" s="645"/>
      <c r="O43" s="400"/>
      <c r="P43" s="393"/>
      <c r="Q43" s="540"/>
      <c r="R43" s="646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60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90"/>
      <c r="L44" s="647"/>
      <c r="M44" s="390"/>
      <c r="N44" s="650"/>
      <c r="O44" s="394"/>
      <c r="P44" s="393"/>
      <c r="Q44" s="395"/>
      <c r="R44" s="740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60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90"/>
      <c r="L45" s="647"/>
      <c r="M45" s="390"/>
      <c r="N45" s="650"/>
      <c r="O45" s="394"/>
      <c r="P45" s="393"/>
      <c r="Q45" s="395"/>
      <c r="R45" s="740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60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90"/>
      <c r="L46" s="647"/>
      <c r="M46" s="390"/>
      <c r="N46" s="650"/>
      <c r="O46" s="394"/>
      <c r="P46" s="393"/>
      <c r="Q46" s="395"/>
      <c r="R46" s="740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60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90"/>
      <c r="L47" s="647"/>
      <c r="M47" s="622"/>
      <c r="N47" s="650"/>
      <c r="O47" s="399"/>
      <c r="P47" s="393"/>
      <c r="Q47" s="395"/>
      <c r="R47" s="740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60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90"/>
      <c r="L48" s="647"/>
      <c r="M48" s="623"/>
      <c r="N48" s="650"/>
      <c r="O48" s="394"/>
      <c r="P48" s="393"/>
      <c r="Q48" s="395"/>
      <c r="R48" s="740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60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90"/>
      <c r="L49" s="647"/>
      <c r="M49" s="623"/>
      <c r="N49" s="650"/>
      <c r="O49" s="394"/>
      <c r="P49" s="393"/>
      <c r="Q49" s="395"/>
      <c r="R49" s="740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60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90"/>
      <c r="L50" s="647"/>
      <c r="M50" s="623"/>
      <c r="N50" s="650"/>
      <c r="O50" s="394"/>
      <c r="P50" s="393"/>
      <c r="Q50" s="395"/>
      <c r="R50" s="740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60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90"/>
      <c r="L51" s="647"/>
      <c r="M51" s="623"/>
      <c r="N51" s="650"/>
      <c r="O51" s="394"/>
      <c r="P51" s="624"/>
      <c r="Q51" s="395"/>
      <c r="R51" s="740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60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90"/>
      <c r="L52" s="647"/>
      <c r="M52" s="623"/>
      <c r="N52" s="650"/>
      <c r="O52" s="394"/>
      <c r="P52" s="393"/>
      <c r="Q52" s="395"/>
      <c r="R52" s="740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60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90"/>
      <c r="L53" s="647"/>
      <c r="M53" s="623"/>
      <c r="N53" s="650"/>
      <c r="O53" s="394"/>
      <c r="P53" s="393"/>
      <c r="Q53" s="395"/>
      <c r="R53" s="740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60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90"/>
      <c r="L54" s="647"/>
      <c r="M54" s="623"/>
      <c r="N54" s="650"/>
      <c r="O54" s="394"/>
      <c r="P54" s="393"/>
      <c r="Q54" s="395"/>
      <c r="R54" s="740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63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90"/>
      <c r="L55" s="647"/>
      <c r="M55" s="623"/>
      <c r="N55" s="650"/>
      <c r="O55" s="394"/>
      <c r="P55" s="393"/>
      <c r="Q55" s="395"/>
      <c r="R55" s="740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60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90"/>
      <c r="L56" s="647"/>
      <c r="M56" s="623"/>
      <c r="N56" s="650"/>
      <c r="O56" s="394"/>
      <c r="P56" s="393"/>
      <c r="Q56" s="395"/>
      <c r="R56" s="740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60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90"/>
      <c r="L57" s="647"/>
      <c r="M57" s="623"/>
      <c r="N57" s="650"/>
      <c r="O57" s="394"/>
      <c r="P57" s="393"/>
      <c r="Q57" s="395"/>
      <c r="R57" s="740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60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90"/>
      <c r="L58" s="647"/>
      <c r="M58" s="623"/>
      <c r="N58" s="650"/>
      <c r="O58" s="394"/>
      <c r="P58" s="393"/>
      <c r="Q58" s="395"/>
      <c r="R58" s="740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60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90"/>
      <c r="L59" s="647"/>
      <c r="M59" s="623"/>
      <c r="N59" s="650"/>
      <c r="O59" s="394"/>
      <c r="P59" s="393"/>
      <c r="Q59" s="395"/>
      <c r="R59" s="740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60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25"/>
      <c r="L60" s="726"/>
      <c r="M60" s="623"/>
      <c r="N60" s="650"/>
      <c r="O60" s="394"/>
      <c r="P60" s="393"/>
      <c r="Q60" s="395"/>
      <c r="R60" s="740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60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90"/>
      <c r="L61" s="647"/>
      <c r="M61" s="623"/>
      <c r="N61" s="650"/>
      <c r="O61" s="394"/>
      <c r="P61" s="393"/>
      <c r="Q61" s="395"/>
      <c r="R61" s="740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60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90"/>
      <c r="L62" s="647"/>
      <c r="M62" s="623"/>
      <c r="N62" s="650"/>
      <c r="O62" s="394"/>
      <c r="P62" s="393"/>
      <c r="Q62" s="395"/>
      <c r="R62" s="740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60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90"/>
      <c r="L63" s="647"/>
      <c r="M63" s="623"/>
      <c r="N63" s="650"/>
      <c r="O63" s="394"/>
      <c r="P63" s="393"/>
      <c r="Q63" s="395"/>
      <c r="R63" s="740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60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90"/>
      <c r="L64" s="647"/>
      <c r="M64" s="623"/>
      <c r="N64" s="650"/>
      <c r="O64" s="394"/>
      <c r="P64" s="393"/>
      <c r="Q64" s="395"/>
      <c r="R64" s="740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60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90"/>
      <c r="L65" s="647"/>
      <c r="M65" s="623"/>
      <c r="N65" s="650"/>
      <c r="O65" s="394"/>
      <c r="P65" s="393"/>
      <c r="Q65" s="395"/>
      <c r="R65" s="740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60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90"/>
      <c r="L66" s="647"/>
      <c r="M66" s="623"/>
      <c r="N66" s="650"/>
      <c r="O66" s="394"/>
      <c r="P66" s="393"/>
      <c r="Q66" s="395"/>
      <c r="R66" s="740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60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90"/>
      <c r="L67" s="647"/>
      <c r="M67" s="623"/>
      <c r="N67" s="650"/>
      <c r="O67" s="394"/>
      <c r="P67" s="393"/>
      <c r="Q67" s="395"/>
      <c r="R67" s="740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60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90"/>
      <c r="L68" s="647"/>
      <c r="M68" s="623"/>
      <c r="N68" s="650"/>
      <c r="O68" s="394"/>
      <c r="P68" s="393"/>
      <c r="Q68" s="395"/>
      <c r="R68" s="740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60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90"/>
      <c r="L69" s="647"/>
      <c r="M69" s="623"/>
      <c r="N69" s="650"/>
      <c r="O69" s="394"/>
      <c r="P69" s="393"/>
      <c r="Q69" s="395"/>
      <c r="R69" s="740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60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5"/>
      <c r="K70" s="390"/>
      <c r="L70" s="647"/>
      <c r="M70" s="623"/>
      <c r="N70" s="650"/>
      <c r="O70" s="394"/>
      <c r="P70" s="393"/>
      <c r="Q70" s="395"/>
      <c r="R70" s="740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60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5"/>
      <c r="K71" s="390"/>
      <c r="L71" s="647"/>
      <c r="M71" s="623"/>
      <c r="N71" s="650"/>
      <c r="O71" s="394"/>
      <c r="P71" s="393"/>
      <c r="Q71" s="395"/>
      <c r="R71" s="740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60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5"/>
      <c r="K72" s="390"/>
      <c r="L72" s="647"/>
      <c r="M72" s="623"/>
      <c r="N72" s="650"/>
      <c r="O72" s="394"/>
      <c r="P72" s="393"/>
      <c r="Q72" s="395"/>
      <c r="R72" s="740"/>
      <c r="S72" s="65">
        <f t="shared" ref="S72:S109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60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5"/>
      <c r="K73" s="390"/>
      <c r="L73" s="647"/>
      <c r="M73" s="623"/>
      <c r="N73" s="650"/>
      <c r="O73" s="394"/>
      <c r="P73" s="393"/>
      <c r="Q73" s="395"/>
      <c r="R73" s="740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60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5"/>
      <c r="K74" s="390"/>
      <c r="L74" s="647"/>
      <c r="M74" s="623"/>
      <c r="N74" s="650"/>
      <c r="O74" s="394"/>
      <c r="P74" s="393"/>
      <c r="Q74" s="395"/>
      <c r="R74" s="740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60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5"/>
      <c r="K75" s="390"/>
      <c r="L75" s="647"/>
      <c r="M75" s="623"/>
      <c r="N75" s="650"/>
      <c r="O75" s="394"/>
      <c r="P75" s="393"/>
      <c r="Q75" s="395"/>
      <c r="R75" s="740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60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5"/>
      <c r="K76" s="390"/>
      <c r="L76" s="647"/>
      <c r="M76" s="623"/>
      <c r="N76" s="650"/>
      <c r="O76" s="394"/>
      <c r="P76" s="393"/>
      <c r="Q76" s="395"/>
      <c r="R76" s="740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60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5"/>
      <c r="K77" s="390"/>
      <c r="L77" s="647"/>
      <c r="M77" s="623"/>
      <c r="N77" s="650"/>
      <c r="O77" s="394"/>
      <c r="P77" s="393"/>
      <c r="Q77" s="395"/>
      <c r="R77" s="740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60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5"/>
      <c r="K78" s="390"/>
      <c r="L78" s="647"/>
      <c r="M78" s="623"/>
      <c r="N78" s="650"/>
      <c r="O78" s="394"/>
      <c r="P78" s="393"/>
      <c r="Q78" s="395"/>
      <c r="R78" s="740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60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5"/>
      <c r="K79" s="390"/>
      <c r="L79" s="647"/>
      <c r="M79" s="623"/>
      <c r="N79" s="650"/>
      <c r="O79" s="394"/>
      <c r="P79" s="393"/>
      <c r="Q79" s="395"/>
      <c r="R79" s="740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60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5"/>
      <c r="K80" s="390"/>
      <c r="L80" s="647"/>
      <c r="M80" s="623"/>
      <c r="N80" s="650"/>
      <c r="O80" s="394"/>
      <c r="P80" s="393"/>
      <c r="Q80" s="395"/>
      <c r="R80" s="740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60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5"/>
      <c r="K81" s="390"/>
      <c r="L81" s="647"/>
      <c r="M81" s="623"/>
      <c r="N81" s="650"/>
      <c r="O81" s="394"/>
      <c r="P81" s="393"/>
      <c r="Q81" s="395"/>
      <c r="R81" s="740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60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5"/>
      <c r="K82" s="390"/>
      <c r="L82" s="647"/>
      <c r="M82" s="623"/>
      <c r="N82" s="650"/>
      <c r="O82" s="394"/>
      <c r="P82" s="393"/>
      <c r="Q82" s="395"/>
      <c r="R82" s="740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60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5"/>
      <c r="K83" s="390"/>
      <c r="L83" s="647"/>
      <c r="M83" s="623"/>
      <c r="N83" s="650"/>
      <c r="O83" s="394"/>
      <c r="P83" s="393"/>
      <c r="Q83" s="395"/>
      <c r="R83" s="740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60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5"/>
      <c r="K84" s="390"/>
      <c r="L84" s="647"/>
      <c r="M84" s="623"/>
      <c r="N84" s="650"/>
      <c r="O84" s="394"/>
      <c r="P84" s="393"/>
      <c r="Q84" s="395"/>
      <c r="R84" s="740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60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5"/>
      <c r="K85" s="390"/>
      <c r="L85" s="647"/>
      <c r="M85" s="623"/>
      <c r="N85" s="650"/>
      <c r="O85" s="394"/>
      <c r="P85" s="393"/>
      <c r="Q85" s="395"/>
      <c r="R85" s="740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60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5"/>
      <c r="K86" s="390"/>
      <c r="L86" s="647"/>
      <c r="M86" s="623"/>
      <c r="N86" s="650"/>
      <c r="O86" s="394"/>
      <c r="P86" s="393"/>
      <c r="Q86" s="395"/>
      <c r="R86" s="740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60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5"/>
      <c r="K87" s="390"/>
      <c r="L87" s="647"/>
      <c r="M87" s="623"/>
      <c r="N87" s="650"/>
      <c r="O87" s="394"/>
      <c r="P87" s="393"/>
      <c r="Q87" s="395"/>
      <c r="R87" s="740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60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5"/>
      <c r="K88" s="390"/>
      <c r="L88" s="647"/>
      <c r="M88" s="623"/>
      <c r="N88" s="650"/>
      <c r="O88" s="394"/>
      <c r="P88" s="393"/>
      <c r="Q88" s="395"/>
      <c r="R88" s="740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60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5"/>
      <c r="K89" s="390"/>
      <c r="L89" s="647"/>
      <c r="M89" s="623"/>
      <c r="N89" s="650"/>
      <c r="O89" s="394"/>
      <c r="P89" s="393"/>
      <c r="Q89" s="395"/>
      <c r="R89" s="740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60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5"/>
      <c r="K90" s="390"/>
      <c r="L90" s="647"/>
      <c r="M90" s="623"/>
      <c r="N90" s="650"/>
      <c r="O90" s="394"/>
      <c r="P90" s="393"/>
      <c r="Q90" s="395"/>
      <c r="R90" s="740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60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5"/>
      <c r="K91" s="390"/>
      <c r="L91" s="647"/>
      <c r="M91" s="623"/>
      <c r="N91" s="650"/>
      <c r="O91" s="394"/>
      <c r="P91" s="393"/>
      <c r="Q91" s="395"/>
      <c r="R91" s="740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60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5"/>
      <c r="K92" s="390"/>
      <c r="L92" s="647"/>
      <c r="M92" s="623"/>
      <c r="N92" s="650"/>
      <c r="O92" s="394"/>
      <c r="P92" s="393"/>
      <c r="Q92" s="395"/>
      <c r="R92" s="740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60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5"/>
      <c r="K93" s="390"/>
      <c r="L93" s="647"/>
      <c r="M93" s="623"/>
      <c r="N93" s="650"/>
      <c r="O93" s="394"/>
      <c r="P93" s="393"/>
      <c r="Q93" s="395"/>
      <c r="R93" s="740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60"/>
      <c r="G94" s="161"/>
      <c r="H94" s="375"/>
      <c r="I94" s="105">
        <f>PIERNA!I94</f>
        <v>0</v>
      </c>
      <c r="J94" s="276"/>
      <c r="K94" s="626"/>
      <c r="L94" s="647"/>
      <c r="M94" s="623"/>
      <c r="N94" s="392"/>
      <c r="O94" s="394"/>
      <c r="P94" s="393"/>
      <c r="Q94" s="395"/>
      <c r="R94" s="740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60"/>
      <c r="G95" s="161"/>
      <c r="H95" s="375"/>
      <c r="I95" s="105">
        <f>PIERNA!I95</f>
        <v>0</v>
      </c>
      <c r="J95" s="455"/>
      <c r="K95" s="390"/>
      <c r="L95" s="647"/>
      <c r="M95" s="390"/>
      <c r="N95" s="392"/>
      <c r="O95" s="394"/>
      <c r="P95" s="393"/>
      <c r="Q95" s="395"/>
      <c r="R95" s="740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60"/>
      <c r="G96" s="161"/>
      <c r="H96" s="375"/>
      <c r="I96" s="105"/>
      <c r="J96" s="455"/>
      <c r="K96" s="390"/>
      <c r="L96" s="647"/>
      <c r="M96" s="390"/>
      <c r="N96" s="392"/>
      <c r="O96" s="394"/>
      <c r="P96" s="393"/>
      <c r="Q96" s="395"/>
      <c r="R96" s="740"/>
      <c r="S96" s="65">
        <f t="shared" si="15"/>
        <v>0</v>
      </c>
      <c r="T96" s="170" t="e">
        <f t="shared" ref="T96:T105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60"/>
      <c r="G97" s="161"/>
      <c r="H97" s="375"/>
      <c r="I97" s="105"/>
      <c r="J97" s="455"/>
      <c r="K97" s="390"/>
      <c r="L97" s="647"/>
      <c r="M97" s="390"/>
      <c r="N97" s="392"/>
      <c r="O97" s="477"/>
      <c r="P97" s="477"/>
      <c r="Q97" s="539"/>
      <c r="R97" s="741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60"/>
      <c r="G98" s="161"/>
      <c r="H98" s="375"/>
      <c r="I98" s="105"/>
      <c r="J98" s="455"/>
      <c r="K98" s="390"/>
      <c r="L98" s="647"/>
      <c r="M98" s="390"/>
      <c r="N98" s="392"/>
      <c r="O98" s="477"/>
      <c r="P98" s="477"/>
      <c r="Q98" s="539"/>
      <c r="R98" s="741"/>
      <c r="S98" s="65"/>
      <c r="T98" s="170"/>
    </row>
    <row r="99" spans="1:20" s="152" customFormat="1" ht="38.25" thickBot="1" x14ac:dyDescent="0.35">
      <c r="A99" s="100">
        <v>61</v>
      </c>
      <c r="B99" s="817" t="s">
        <v>310</v>
      </c>
      <c r="C99" s="684" t="s">
        <v>311</v>
      </c>
      <c r="D99" s="765"/>
      <c r="E99" s="766">
        <v>44802</v>
      </c>
      <c r="F99" s="767">
        <v>18506.88</v>
      </c>
      <c r="G99" s="768">
        <v>680</v>
      </c>
      <c r="H99" s="769">
        <v>18506.88</v>
      </c>
      <c r="I99" s="481">
        <f t="shared" ref="I99:I120" si="18">H99-F99</f>
        <v>0</v>
      </c>
      <c r="J99" s="455"/>
      <c r="K99" s="390"/>
      <c r="L99" s="726"/>
      <c r="M99" s="390"/>
      <c r="N99" s="634"/>
      <c r="O99" s="810" t="s">
        <v>332</v>
      </c>
      <c r="P99" s="820" t="s">
        <v>334</v>
      </c>
      <c r="Q99" s="542">
        <v>1286228.1599999999</v>
      </c>
      <c r="R99" s="735" t="s">
        <v>333</v>
      </c>
      <c r="S99" s="65">
        <f t="shared" si="15"/>
        <v>1286228.1599999999</v>
      </c>
      <c r="T99" s="170">
        <f t="shared" si="17"/>
        <v>69.499999999999986</v>
      </c>
    </row>
    <row r="100" spans="1:20" s="152" customFormat="1" ht="18.75" customHeight="1" x14ac:dyDescent="0.25">
      <c r="A100" s="100">
        <v>62</v>
      </c>
      <c r="B100" s="990" t="s">
        <v>319</v>
      </c>
      <c r="C100" s="815" t="s">
        <v>320</v>
      </c>
      <c r="D100" s="765"/>
      <c r="E100" s="993">
        <v>44806</v>
      </c>
      <c r="F100" s="767">
        <v>121.18</v>
      </c>
      <c r="G100" s="768">
        <v>11</v>
      </c>
      <c r="H100" s="769">
        <v>121.18</v>
      </c>
      <c r="I100" s="481">
        <f t="shared" si="18"/>
        <v>0</v>
      </c>
      <c r="J100" s="455"/>
      <c r="K100" s="390"/>
      <c r="L100" s="726"/>
      <c r="M100" s="390"/>
      <c r="N100" s="634"/>
      <c r="O100" s="996" t="s">
        <v>321</v>
      </c>
      <c r="P100" s="808"/>
      <c r="Q100" s="542">
        <v>10300.299999999999</v>
      </c>
      <c r="R100" s="999" t="s">
        <v>338</v>
      </c>
      <c r="S100" s="65">
        <f t="shared" ref="S100" si="19">Q100+M100+K100</f>
        <v>10300.299999999999</v>
      </c>
      <c r="T100" s="170">
        <f t="shared" ref="T100" si="20">S100/H100</f>
        <v>84.999999999999986</v>
      </c>
    </row>
    <row r="101" spans="1:20" s="152" customFormat="1" ht="18.75" x14ac:dyDescent="0.3">
      <c r="A101" s="100">
        <v>63</v>
      </c>
      <c r="B101" s="991"/>
      <c r="C101" s="815" t="s">
        <v>64</v>
      </c>
      <c r="D101" s="765"/>
      <c r="E101" s="994"/>
      <c r="F101" s="767">
        <v>500.75</v>
      </c>
      <c r="G101" s="768">
        <v>43</v>
      </c>
      <c r="H101" s="769">
        <v>500.75</v>
      </c>
      <c r="I101" s="481">
        <f t="shared" si="18"/>
        <v>0</v>
      </c>
      <c r="J101" s="519"/>
      <c r="K101" s="390"/>
      <c r="L101" s="726"/>
      <c r="M101" s="390"/>
      <c r="N101" s="635"/>
      <c r="O101" s="997"/>
      <c r="P101" s="808"/>
      <c r="Q101" s="542">
        <v>47571.25</v>
      </c>
      <c r="R101" s="1000"/>
      <c r="S101" s="65">
        <f t="shared" si="15"/>
        <v>47571.25</v>
      </c>
      <c r="T101" s="170">
        <f>S101/H101</f>
        <v>95</v>
      </c>
    </row>
    <row r="102" spans="1:20" s="152" customFormat="1" ht="22.5" customHeight="1" thickBot="1" x14ac:dyDescent="0.3">
      <c r="A102" s="100">
        <v>64</v>
      </c>
      <c r="B102" s="992"/>
      <c r="C102" s="816" t="s">
        <v>83</v>
      </c>
      <c r="D102" s="770"/>
      <c r="E102" s="995"/>
      <c r="F102" s="772">
        <v>510.59</v>
      </c>
      <c r="G102" s="768">
        <v>27</v>
      </c>
      <c r="H102" s="769">
        <v>510.59</v>
      </c>
      <c r="I102" s="481">
        <f t="shared" si="18"/>
        <v>0</v>
      </c>
      <c r="J102" s="455"/>
      <c r="K102" s="390"/>
      <c r="L102" s="726"/>
      <c r="M102" s="390"/>
      <c r="N102" s="634"/>
      <c r="O102" s="998"/>
      <c r="P102" s="809"/>
      <c r="Q102" s="542">
        <v>21955.37</v>
      </c>
      <c r="R102" s="1001"/>
      <c r="S102" s="65">
        <f t="shared" si="15"/>
        <v>21955.37</v>
      </c>
      <c r="T102" s="170">
        <f t="shared" si="17"/>
        <v>43</v>
      </c>
    </row>
    <row r="103" spans="1:20" s="152" customFormat="1" ht="43.5" x14ac:dyDescent="0.25">
      <c r="A103" s="100">
        <v>65</v>
      </c>
      <c r="B103" s="844" t="s">
        <v>382</v>
      </c>
      <c r="C103" s="816" t="s">
        <v>389</v>
      </c>
      <c r="D103" s="845" t="s">
        <v>390</v>
      </c>
      <c r="E103" s="841">
        <v>44806</v>
      </c>
      <c r="F103" s="772">
        <v>610.77499999999998</v>
      </c>
      <c r="G103" s="768"/>
      <c r="H103" s="769">
        <v>610.77499999999998</v>
      </c>
      <c r="I103" s="481">
        <f t="shared" si="18"/>
        <v>0</v>
      </c>
      <c r="J103" s="455"/>
      <c r="K103" s="390"/>
      <c r="L103" s="726"/>
      <c r="M103" s="390"/>
      <c r="N103" s="634"/>
      <c r="O103" s="843" t="s">
        <v>391</v>
      </c>
      <c r="P103" s="809"/>
      <c r="Q103" s="542">
        <v>48862</v>
      </c>
      <c r="R103" s="840" t="s">
        <v>381</v>
      </c>
      <c r="S103" s="65">
        <f t="shared" si="15"/>
        <v>48862</v>
      </c>
      <c r="T103" s="170">
        <f t="shared" si="17"/>
        <v>80</v>
      </c>
    </row>
    <row r="104" spans="1:20" s="152" customFormat="1" ht="31.5" customHeight="1" x14ac:dyDescent="0.25">
      <c r="A104" s="100">
        <v>66</v>
      </c>
      <c r="B104" s="814" t="s">
        <v>319</v>
      </c>
      <c r="C104" s="774" t="s">
        <v>322</v>
      </c>
      <c r="D104" s="773"/>
      <c r="E104" s="771">
        <v>44807</v>
      </c>
      <c r="F104" s="769">
        <v>910.21</v>
      </c>
      <c r="G104" s="775">
        <v>79</v>
      </c>
      <c r="H104" s="769">
        <v>910.21</v>
      </c>
      <c r="I104" s="481">
        <f>H104-F104</f>
        <v>0</v>
      </c>
      <c r="J104" s="521"/>
      <c r="K104" s="390"/>
      <c r="L104" s="726"/>
      <c r="M104" s="390"/>
      <c r="N104" s="634"/>
      <c r="O104" s="811" t="s">
        <v>323</v>
      </c>
      <c r="P104" s="390"/>
      <c r="Q104" s="542">
        <v>90110.79</v>
      </c>
      <c r="R104" s="389" t="s">
        <v>338</v>
      </c>
      <c r="S104" s="65">
        <f t="shared" si="15"/>
        <v>90110.79</v>
      </c>
      <c r="T104" s="170">
        <f t="shared" si="17"/>
        <v>98.999999999999986</v>
      </c>
    </row>
    <row r="105" spans="1:20" s="152" customFormat="1" ht="38.25" customHeight="1" thickBot="1" x14ac:dyDescent="0.3">
      <c r="A105" s="100">
        <v>67</v>
      </c>
      <c r="B105" s="813" t="s">
        <v>324</v>
      </c>
      <c r="C105" s="776" t="s">
        <v>72</v>
      </c>
      <c r="D105" s="773"/>
      <c r="E105" s="771">
        <v>44807</v>
      </c>
      <c r="F105" s="769">
        <v>992.72</v>
      </c>
      <c r="G105" s="775">
        <v>33</v>
      </c>
      <c r="H105" s="769">
        <v>992.72</v>
      </c>
      <c r="I105" s="481">
        <f t="shared" si="18"/>
        <v>0</v>
      </c>
      <c r="J105" s="455"/>
      <c r="K105" s="390"/>
      <c r="L105" s="726"/>
      <c r="M105" s="390"/>
      <c r="N105" s="634"/>
      <c r="O105" s="842">
        <v>18654</v>
      </c>
      <c r="P105" s="390"/>
      <c r="Q105" s="542">
        <v>40701.519999999997</v>
      </c>
      <c r="R105" s="389" t="s">
        <v>381</v>
      </c>
      <c r="S105" s="65">
        <f t="shared" si="15"/>
        <v>40701.519999999997</v>
      </c>
      <c r="T105" s="170">
        <f t="shared" si="17"/>
        <v>40.999999999999993</v>
      </c>
    </row>
    <row r="106" spans="1:20" s="152" customFormat="1" ht="31.5" customHeight="1" x14ac:dyDescent="0.25">
      <c r="A106" s="100">
        <v>68</v>
      </c>
      <c r="B106" s="1004" t="s">
        <v>325</v>
      </c>
      <c r="C106" s="812" t="s">
        <v>326</v>
      </c>
      <c r="D106" s="773"/>
      <c r="E106" s="993">
        <v>44809</v>
      </c>
      <c r="F106" s="769">
        <v>150</v>
      </c>
      <c r="G106" s="775">
        <v>15</v>
      </c>
      <c r="H106" s="769">
        <v>150</v>
      </c>
      <c r="I106" s="481">
        <f t="shared" si="18"/>
        <v>0</v>
      </c>
      <c r="J106" s="455"/>
      <c r="K106" s="390"/>
      <c r="L106" s="727"/>
      <c r="M106" s="390"/>
      <c r="N106" s="635"/>
      <c r="O106" s="1006" t="s">
        <v>328</v>
      </c>
      <c r="P106" s="818"/>
      <c r="Q106" s="822">
        <v>15000</v>
      </c>
      <c r="R106" s="1002" t="s">
        <v>340</v>
      </c>
      <c r="S106" s="65">
        <f t="shared" si="15"/>
        <v>15000</v>
      </c>
      <c r="T106" s="170">
        <f t="shared" ref="T106:T109" si="21">S106/H106</f>
        <v>100</v>
      </c>
    </row>
    <row r="107" spans="1:20" s="152" customFormat="1" ht="34.5" customHeight="1" thickBot="1" x14ac:dyDescent="0.3">
      <c r="A107" s="100">
        <v>69</v>
      </c>
      <c r="B107" s="1005"/>
      <c r="C107" s="812" t="s">
        <v>327</v>
      </c>
      <c r="D107" s="773"/>
      <c r="E107" s="995"/>
      <c r="F107" s="769">
        <v>150</v>
      </c>
      <c r="G107" s="775">
        <v>15</v>
      </c>
      <c r="H107" s="769">
        <v>150</v>
      </c>
      <c r="I107" s="481">
        <f t="shared" si="18"/>
        <v>0</v>
      </c>
      <c r="J107" s="455"/>
      <c r="K107" s="390"/>
      <c r="L107" s="727"/>
      <c r="M107" s="390"/>
      <c r="N107" s="635"/>
      <c r="O107" s="1007"/>
      <c r="P107" s="818"/>
      <c r="Q107" s="822">
        <v>12750</v>
      </c>
      <c r="R107" s="1003"/>
      <c r="S107" s="65">
        <f t="shared" si="15"/>
        <v>12750</v>
      </c>
      <c r="T107" s="170">
        <f t="shared" si="21"/>
        <v>85</v>
      </c>
    </row>
    <row r="108" spans="1:20" s="152" customFormat="1" ht="34.5" customHeight="1" x14ac:dyDescent="0.25">
      <c r="A108" s="100">
        <v>70</v>
      </c>
      <c r="B108" s="824" t="s">
        <v>329</v>
      </c>
      <c r="C108" s="773" t="s">
        <v>330</v>
      </c>
      <c r="D108" s="773"/>
      <c r="E108" s="771">
        <v>44809</v>
      </c>
      <c r="F108" s="769">
        <v>2687.68</v>
      </c>
      <c r="G108" s="775">
        <v>592</v>
      </c>
      <c r="H108" s="769">
        <v>2687.68</v>
      </c>
      <c r="I108" s="481">
        <f t="shared" si="18"/>
        <v>0</v>
      </c>
      <c r="J108" s="455"/>
      <c r="K108" s="390"/>
      <c r="L108" s="726"/>
      <c r="M108" s="390"/>
      <c r="N108" s="634"/>
      <c r="O108" s="819" t="s">
        <v>331</v>
      </c>
      <c r="P108" s="779"/>
      <c r="Q108" s="542">
        <v>131696.32000000001</v>
      </c>
      <c r="R108" s="823" t="s">
        <v>340</v>
      </c>
      <c r="S108" s="65">
        <f t="shared" si="15"/>
        <v>131696.32000000001</v>
      </c>
      <c r="T108" s="170">
        <f t="shared" si="21"/>
        <v>49.000000000000007</v>
      </c>
    </row>
    <row r="109" spans="1:20" s="152" customFormat="1" ht="28.5" customHeight="1" x14ac:dyDescent="0.25">
      <c r="A109" s="100">
        <v>71</v>
      </c>
      <c r="B109" s="773" t="s">
        <v>361</v>
      </c>
      <c r="C109" s="773" t="s">
        <v>362</v>
      </c>
      <c r="D109" s="773"/>
      <c r="E109" s="771">
        <v>44810</v>
      </c>
      <c r="F109" s="769">
        <v>2003.28</v>
      </c>
      <c r="G109" s="775">
        <v>68</v>
      </c>
      <c r="H109" s="769">
        <v>2003.28</v>
      </c>
      <c r="I109" s="105">
        <f t="shared" si="18"/>
        <v>0</v>
      </c>
      <c r="J109" s="455"/>
      <c r="K109" s="390"/>
      <c r="L109" s="726"/>
      <c r="M109" s="390"/>
      <c r="N109" s="634"/>
      <c r="O109" s="685">
        <v>1374</v>
      </c>
      <c r="P109" s="839" t="s">
        <v>334</v>
      </c>
      <c r="Q109" s="539">
        <v>252413.28</v>
      </c>
      <c r="R109" s="389" t="s">
        <v>379</v>
      </c>
      <c r="S109" s="65">
        <f t="shared" si="15"/>
        <v>252413.28</v>
      </c>
      <c r="T109" s="170">
        <f t="shared" si="21"/>
        <v>126</v>
      </c>
    </row>
    <row r="110" spans="1:20" s="152" customFormat="1" ht="38.25" customHeight="1" x14ac:dyDescent="0.25">
      <c r="A110" s="100">
        <v>72</v>
      </c>
      <c r="B110" s="825" t="s">
        <v>335</v>
      </c>
      <c r="C110" s="776" t="s">
        <v>336</v>
      </c>
      <c r="D110" s="773"/>
      <c r="E110" s="771">
        <v>44811</v>
      </c>
      <c r="F110" s="769">
        <v>4019.6</v>
      </c>
      <c r="G110" s="775">
        <v>10</v>
      </c>
      <c r="H110" s="777">
        <v>4029.9</v>
      </c>
      <c r="I110" s="105">
        <f t="shared" si="18"/>
        <v>10.300000000000182</v>
      </c>
      <c r="J110" s="455"/>
      <c r="K110" s="390"/>
      <c r="L110" s="726"/>
      <c r="M110" s="390"/>
      <c r="N110" s="634"/>
      <c r="O110" s="827" t="s">
        <v>337</v>
      </c>
      <c r="P110" s="477"/>
      <c r="Q110" s="539">
        <f>200000+186870.4</f>
        <v>386870.4</v>
      </c>
      <c r="R110" s="826" t="s">
        <v>341</v>
      </c>
      <c r="S110" s="65">
        <f t="shared" ref="S110:S123" si="22">Q110+M110+K110</f>
        <v>386870.4</v>
      </c>
      <c r="T110" s="170">
        <f t="shared" ref="T110:T123" si="23">S110/H110</f>
        <v>96</v>
      </c>
    </row>
    <row r="111" spans="1:20" s="152" customFormat="1" ht="38.25" customHeight="1" thickBot="1" x14ac:dyDescent="0.3">
      <c r="A111" s="100">
        <v>73</v>
      </c>
      <c r="B111" s="813" t="s">
        <v>133</v>
      </c>
      <c r="C111" s="773" t="s">
        <v>363</v>
      </c>
      <c r="D111" s="851"/>
      <c r="E111" s="856">
        <v>44811</v>
      </c>
      <c r="F111" s="769">
        <v>2818.62</v>
      </c>
      <c r="G111" s="775">
        <v>3</v>
      </c>
      <c r="H111" s="777">
        <v>2818.62</v>
      </c>
      <c r="I111" s="105">
        <f t="shared" si="18"/>
        <v>0</v>
      </c>
      <c r="J111" s="455"/>
      <c r="K111" s="390"/>
      <c r="L111" s="726"/>
      <c r="M111" s="390"/>
      <c r="N111" s="634"/>
      <c r="O111" s="860" t="s">
        <v>364</v>
      </c>
      <c r="P111" s="477"/>
      <c r="Q111" s="539">
        <v>67646.880000000005</v>
      </c>
      <c r="R111" s="862" t="s">
        <v>424</v>
      </c>
      <c r="S111" s="65">
        <f t="shared" si="22"/>
        <v>67646.880000000005</v>
      </c>
      <c r="T111" s="170">
        <f t="shared" si="23"/>
        <v>24.000000000000004</v>
      </c>
    </row>
    <row r="112" spans="1:20" s="152" customFormat="1" ht="21" customHeight="1" x14ac:dyDescent="0.25">
      <c r="A112" s="100">
        <v>74</v>
      </c>
      <c r="B112" s="1004" t="s">
        <v>382</v>
      </c>
      <c r="C112" s="859" t="s">
        <v>432</v>
      </c>
      <c r="D112" s="1037" t="s">
        <v>431</v>
      </c>
      <c r="E112" s="1040">
        <v>44812</v>
      </c>
      <c r="F112" s="855">
        <v>162.28</v>
      </c>
      <c r="G112" s="775"/>
      <c r="H112" s="777">
        <v>162.28</v>
      </c>
      <c r="I112" s="105">
        <f t="shared" si="18"/>
        <v>0</v>
      </c>
      <c r="J112" s="455"/>
      <c r="K112" s="390"/>
      <c r="L112" s="726"/>
      <c r="M112" s="390"/>
      <c r="N112" s="634"/>
      <c r="O112" s="996" t="s">
        <v>435</v>
      </c>
      <c r="P112" s="837"/>
      <c r="Q112" s="861">
        <v>6166.64</v>
      </c>
      <c r="R112" s="1002" t="s">
        <v>424</v>
      </c>
      <c r="S112" s="65">
        <f t="shared" si="22"/>
        <v>6166.64</v>
      </c>
      <c r="T112" s="170">
        <f t="shared" si="23"/>
        <v>38</v>
      </c>
    </row>
    <row r="113" spans="1:20" s="152" customFormat="1" ht="18.75" customHeight="1" x14ac:dyDescent="0.25">
      <c r="A113" s="100">
        <v>75</v>
      </c>
      <c r="B113" s="1036"/>
      <c r="C113" s="859" t="s">
        <v>433</v>
      </c>
      <c r="D113" s="1038"/>
      <c r="E113" s="1041"/>
      <c r="F113" s="855">
        <v>40</v>
      </c>
      <c r="G113" s="775"/>
      <c r="H113" s="777">
        <v>40</v>
      </c>
      <c r="I113" s="105">
        <f t="shared" si="18"/>
        <v>0</v>
      </c>
      <c r="J113" s="455"/>
      <c r="K113" s="390"/>
      <c r="L113" s="726"/>
      <c r="M113" s="390"/>
      <c r="N113" s="634"/>
      <c r="O113" s="997"/>
      <c r="P113" s="837"/>
      <c r="Q113" s="861">
        <v>5600</v>
      </c>
      <c r="R113" s="1017"/>
      <c r="S113" s="65">
        <f t="shared" si="22"/>
        <v>5600</v>
      </c>
      <c r="T113" s="170">
        <f t="shared" si="23"/>
        <v>140</v>
      </c>
    </row>
    <row r="114" spans="1:20" s="152" customFormat="1" ht="19.5" customHeight="1" thickBot="1" x14ac:dyDescent="0.3">
      <c r="A114" s="100">
        <v>76</v>
      </c>
      <c r="B114" s="1005"/>
      <c r="C114" s="859" t="s">
        <v>434</v>
      </c>
      <c r="D114" s="1039"/>
      <c r="E114" s="1042"/>
      <c r="F114" s="855">
        <v>98.383300000000006</v>
      </c>
      <c r="G114" s="775"/>
      <c r="H114" s="777">
        <v>98.383300000000006</v>
      </c>
      <c r="I114" s="105">
        <f t="shared" si="18"/>
        <v>0</v>
      </c>
      <c r="J114" s="455"/>
      <c r="K114" s="390"/>
      <c r="L114" s="726"/>
      <c r="M114" s="390"/>
      <c r="N114" s="634"/>
      <c r="O114" s="998"/>
      <c r="P114" s="837"/>
      <c r="Q114" s="861">
        <v>7280.36</v>
      </c>
      <c r="R114" s="1003"/>
      <c r="S114" s="65">
        <f t="shared" si="22"/>
        <v>7280.36</v>
      </c>
      <c r="T114" s="170">
        <f t="shared" si="23"/>
        <v>73.999957309827977</v>
      </c>
    </row>
    <row r="115" spans="1:20" s="152" customFormat="1" ht="28.5" customHeight="1" x14ac:dyDescent="0.25">
      <c r="A115" s="100">
        <v>77</v>
      </c>
      <c r="B115" s="858" t="s">
        <v>382</v>
      </c>
      <c r="C115" s="773" t="s">
        <v>384</v>
      </c>
      <c r="D115" s="1034" t="s">
        <v>383</v>
      </c>
      <c r="E115" s="857">
        <v>44814</v>
      </c>
      <c r="F115" s="769">
        <v>7804</v>
      </c>
      <c r="G115" s="775"/>
      <c r="H115" s="777">
        <v>7804</v>
      </c>
      <c r="I115" s="105">
        <f t="shared" si="18"/>
        <v>0</v>
      </c>
      <c r="J115" s="455" t="s">
        <v>386</v>
      </c>
      <c r="K115" s="390"/>
      <c r="L115" s="726"/>
      <c r="M115" s="390"/>
      <c r="N115" s="634"/>
      <c r="O115" s="819" t="s">
        <v>387</v>
      </c>
      <c r="P115" s="477"/>
      <c r="Q115" s="539">
        <v>7804</v>
      </c>
      <c r="R115" s="863" t="s">
        <v>381</v>
      </c>
      <c r="S115" s="65">
        <f t="shared" si="22"/>
        <v>7804</v>
      </c>
      <c r="T115" s="170">
        <f t="shared" si="23"/>
        <v>1</v>
      </c>
    </row>
    <row r="116" spans="1:20" s="152" customFormat="1" ht="18.75" x14ac:dyDescent="0.25">
      <c r="A116" s="100">
        <v>78</v>
      </c>
      <c r="B116" s="778" t="s">
        <v>382</v>
      </c>
      <c r="C116" s="773" t="s">
        <v>385</v>
      </c>
      <c r="D116" s="1035"/>
      <c r="E116" s="771">
        <v>44814</v>
      </c>
      <c r="F116" s="769">
        <v>31698</v>
      </c>
      <c r="G116" s="775"/>
      <c r="H116" s="777">
        <v>31698</v>
      </c>
      <c r="I116" s="105">
        <f t="shared" si="18"/>
        <v>0</v>
      </c>
      <c r="J116" s="455" t="s">
        <v>386</v>
      </c>
      <c r="K116" s="390"/>
      <c r="L116" s="726"/>
      <c r="M116" s="390"/>
      <c r="N116" s="634"/>
      <c r="O116" s="588" t="s">
        <v>388</v>
      </c>
      <c r="P116" s="477"/>
      <c r="Q116" s="539">
        <v>31698</v>
      </c>
      <c r="R116" s="689" t="s">
        <v>455</v>
      </c>
      <c r="S116" s="65">
        <f t="shared" si="22"/>
        <v>31698</v>
      </c>
      <c r="T116" s="170">
        <f t="shared" si="23"/>
        <v>1</v>
      </c>
    </row>
    <row r="117" spans="1:20" s="152" customFormat="1" ht="27" customHeight="1" x14ac:dyDescent="0.25">
      <c r="A117" s="100">
        <v>79</v>
      </c>
      <c r="B117" s="773" t="s">
        <v>361</v>
      </c>
      <c r="C117" s="773" t="s">
        <v>362</v>
      </c>
      <c r="D117" s="773"/>
      <c r="E117" s="771">
        <v>44816</v>
      </c>
      <c r="F117" s="769">
        <v>1972.5</v>
      </c>
      <c r="G117" s="775">
        <v>63</v>
      </c>
      <c r="H117" s="769">
        <v>1972.5</v>
      </c>
      <c r="I117" s="105">
        <f t="shared" si="18"/>
        <v>0</v>
      </c>
      <c r="J117" s="455"/>
      <c r="K117" s="390"/>
      <c r="L117" s="726"/>
      <c r="M117" s="390"/>
      <c r="N117" s="634"/>
      <c r="O117" s="850">
        <v>1388</v>
      </c>
      <c r="P117" s="477"/>
      <c r="Q117" s="539">
        <v>248535</v>
      </c>
      <c r="R117" s="389" t="s">
        <v>425</v>
      </c>
      <c r="S117" s="65">
        <f t="shared" si="22"/>
        <v>248535</v>
      </c>
      <c r="T117" s="170">
        <f t="shared" si="23"/>
        <v>126</v>
      </c>
    </row>
    <row r="118" spans="1:20" s="152" customFormat="1" ht="42.75" x14ac:dyDescent="0.25">
      <c r="A118" s="100">
        <v>80</v>
      </c>
      <c r="B118" s="851" t="s">
        <v>382</v>
      </c>
      <c r="C118" s="778" t="s">
        <v>426</v>
      </c>
      <c r="D118" s="853" t="s">
        <v>427</v>
      </c>
      <c r="E118" s="771">
        <v>44817</v>
      </c>
      <c r="F118" s="769">
        <v>617.9375</v>
      </c>
      <c r="G118" s="775"/>
      <c r="H118" s="769">
        <v>617.9375</v>
      </c>
      <c r="I118" s="105">
        <f t="shared" si="18"/>
        <v>0</v>
      </c>
      <c r="J118" s="455"/>
      <c r="K118" s="390"/>
      <c r="L118" s="726"/>
      <c r="M118" s="390"/>
      <c r="N118" s="634"/>
      <c r="O118" s="852" t="s">
        <v>428</v>
      </c>
      <c r="P118" s="477"/>
      <c r="Q118" s="539">
        <v>49435</v>
      </c>
      <c r="R118" s="389" t="s">
        <v>424</v>
      </c>
      <c r="S118" s="65">
        <f t="shared" si="22"/>
        <v>49435</v>
      </c>
      <c r="T118" s="170">
        <f t="shared" si="23"/>
        <v>80</v>
      </c>
    </row>
    <row r="119" spans="1:20" s="152" customFormat="1" ht="33" customHeight="1" thickBot="1" x14ac:dyDescent="0.3">
      <c r="A119" s="100">
        <v>81</v>
      </c>
      <c r="B119" s="835" t="s">
        <v>373</v>
      </c>
      <c r="C119" s="773" t="s">
        <v>362</v>
      </c>
      <c r="D119" s="773"/>
      <c r="E119" s="771">
        <v>44818</v>
      </c>
      <c r="F119" s="769">
        <v>2004.04</v>
      </c>
      <c r="G119" s="775">
        <v>60</v>
      </c>
      <c r="H119" s="769">
        <v>2004.04</v>
      </c>
      <c r="I119" s="105">
        <f t="shared" si="18"/>
        <v>0</v>
      </c>
      <c r="J119" s="455"/>
      <c r="K119" s="390"/>
      <c r="L119" s="726"/>
      <c r="M119" s="390"/>
      <c r="N119" s="634"/>
      <c r="O119" s="838">
        <v>1409</v>
      </c>
      <c r="P119" s="839" t="s">
        <v>334</v>
      </c>
      <c r="Q119" s="539">
        <v>252509.04</v>
      </c>
      <c r="R119" s="389" t="s">
        <v>424</v>
      </c>
      <c r="S119" s="65">
        <f t="shared" si="22"/>
        <v>252509.04</v>
      </c>
      <c r="T119" s="170">
        <f t="shared" si="23"/>
        <v>126</v>
      </c>
    </row>
    <row r="120" spans="1:20" s="152" customFormat="1" ht="43.5" thickBot="1" x14ac:dyDescent="0.3">
      <c r="A120" s="100">
        <v>82</v>
      </c>
      <c r="B120" s="864" t="s">
        <v>382</v>
      </c>
      <c r="C120" s="812" t="s">
        <v>434</v>
      </c>
      <c r="D120" s="853" t="s">
        <v>436</v>
      </c>
      <c r="E120" s="856">
        <v>44818</v>
      </c>
      <c r="F120" s="769">
        <v>199.51349999999999</v>
      </c>
      <c r="G120" s="775"/>
      <c r="H120" s="769">
        <v>199.51349999999999</v>
      </c>
      <c r="I120" s="105">
        <f t="shared" si="18"/>
        <v>0</v>
      </c>
      <c r="J120" s="455"/>
      <c r="K120" s="390"/>
      <c r="L120" s="726"/>
      <c r="M120" s="390"/>
      <c r="N120" s="634"/>
      <c r="O120" s="865" t="s">
        <v>437</v>
      </c>
      <c r="P120" s="836"/>
      <c r="Q120" s="539">
        <v>14764</v>
      </c>
      <c r="R120" s="389" t="s">
        <v>424</v>
      </c>
      <c r="S120" s="65">
        <f t="shared" si="22"/>
        <v>14764</v>
      </c>
      <c r="T120" s="170">
        <f t="shared" si="23"/>
        <v>74.000005012192162</v>
      </c>
    </row>
    <row r="121" spans="1:20" s="152" customFormat="1" ht="35.25" customHeight="1" x14ac:dyDescent="0.25">
      <c r="A121" s="100">
        <v>83</v>
      </c>
      <c r="B121" s="990" t="s">
        <v>324</v>
      </c>
      <c r="C121" s="812" t="s">
        <v>90</v>
      </c>
      <c r="D121" s="960"/>
      <c r="E121" s="1028">
        <v>44819</v>
      </c>
      <c r="F121" s="855">
        <v>1299.74</v>
      </c>
      <c r="G121" s="775">
        <v>48</v>
      </c>
      <c r="H121" s="769">
        <v>1299.74</v>
      </c>
      <c r="I121" s="105">
        <f t="shared" ref="I121:I124" si="24">H121-F121</f>
        <v>0</v>
      </c>
      <c r="J121" s="455"/>
      <c r="K121" s="390"/>
      <c r="L121" s="726"/>
      <c r="M121" s="390"/>
      <c r="N121" s="634"/>
      <c r="O121" s="1031">
        <v>18845</v>
      </c>
      <c r="P121" s="836"/>
      <c r="Q121" s="953">
        <v>103979.2</v>
      </c>
      <c r="R121" s="981" t="s">
        <v>767</v>
      </c>
      <c r="S121" s="65">
        <f t="shared" si="22"/>
        <v>103979.2</v>
      </c>
      <c r="T121" s="170">
        <f t="shared" si="23"/>
        <v>80</v>
      </c>
    </row>
    <row r="122" spans="1:20" s="152" customFormat="1" ht="30" customHeight="1" x14ac:dyDescent="0.3">
      <c r="A122" s="100">
        <v>84</v>
      </c>
      <c r="B122" s="991"/>
      <c r="C122" s="832" t="s">
        <v>72</v>
      </c>
      <c r="D122" s="822"/>
      <c r="E122" s="1029"/>
      <c r="F122" s="962">
        <v>1008.28</v>
      </c>
      <c r="G122" s="629">
        <v>35</v>
      </c>
      <c r="H122" s="583">
        <v>1008.28</v>
      </c>
      <c r="I122" s="481">
        <f t="shared" si="24"/>
        <v>0</v>
      </c>
      <c r="J122" s="519"/>
      <c r="K122" s="390"/>
      <c r="L122" s="726"/>
      <c r="M122" s="390"/>
      <c r="N122" s="635"/>
      <c r="O122" s="1032"/>
      <c r="P122" s="809"/>
      <c r="Q122" s="959">
        <v>32264.959999999999</v>
      </c>
      <c r="R122" s="982"/>
      <c r="S122" s="65">
        <f t="shared" si="22"/>
        <v>32264.959999999999</v>
      </c>
      <c r="T122" s="170">
        <f t="shared" si="23"/>
        <v>32</v>
      </c>
    </row>
    <row r="123" spans="1:20" s="152" customFormat="1" ht="33" customHeight="1" x14ac:dyDescent="0.3">
      <c r="A123" s="100">
        <v>85</v>
      </c>
      <c r="B123" s="991"/>
      <c r="C123" s="833" t="s">
        <v>376</v>
      </c>
      <c r="D123" s="882"/>
      <c r="E123" s="1029"/>
      <c r="F123" s="867">
        <v>1309.6500000000001</v>
      </c>
      <c r="G123" s="609">
        <v>51</v>
      </c>
      <c r="H123" s="583">
        <v>1309.6500000000001</v>
      </c>
      <c r="I123" s="341">
        <f t="shared" si="24"/>
        <v>0</v>
      </c>
      <c r="J123" s="456"/>
      <c r="K123" s="390"/>
      <c r="L123" s="726"/>
      <c r="M123" s="390"/>
      <c r="N123" s="634"/>
      <c r="O123" s="1032"/>
      <c r="P123" s="837"/>
      <c r="Q123" s="953">
        <v>91675.5</v>
      </c>
      <c r="R123" s="982"/>
      <c r="S123" s="65">
        <f t="shared" si="22"/>
        <v>91675.5</v>
      </c>
      <c r="T123" s="170">
        <f t="shared" si="23"/>
        <v>70</v>
      </c>
    </row>
    <row r="124" spans="1:20" s="152" customFormat="1" ht="33" customHeight="1" thickBot="1" x14ac:dyDescent="0.35">
      <c r="A124" s="100">
        <v>86</v>
      </c>
      <c r="B124" s="992"/>
      <c r="C124" s="834" t="s">
        <v>377</v>
      </c>
      <c r="D124" s="961"/>
      <c r="E124" s="1030"/>
      <c r="F124" s="867">
        <v>1999.52</v>
      </c>
      <c r="G124" s="609">
        <v>70</v>
      </c>
      <c r="H124" s="583">
        <v>1999.52</v>
      </c>
      <c r="I124" s="341">
        <f t="shared" si="24"/>
        <v>0</v>
      </c>
      <c r="J124" s="456"/>
      <c r="K124" s="390"/>
      <c r="L124" s="726"/>
      <c r="M124" s="390"/>
      <c r="N124" s="634"/>
      <c r="O124" s="1033"/>
      <c r="P124" s="837"/>
      <c r="Q124" s="953">
        <v>179956.8</v>
      </c>
      <c r="R124" s="983"/>
      <c r="S124" s="65">
        <f t="shared" ref="S124:S162" si="25">Q124+M124+K124</f>
        <v>179956.8</v>
      </c>
      <c r="T124" s="170">
        <f t="shared" ref="T124:T162" si="26">S124/H124</f>
        <v>90</v>
      </c>
    </row>
    <row r="125" spans="1:20" s="152" customFormat="1" ht="28.5" customHeight="1" x14ac:dyDescent="0.25">
      <c r="A125" s="100">
        <v>87</v>
      </c>
      <c r="B125" s="380" t="s">
        <v>411</v>
      </c>
      <c r="C125" s="888" t="s">
        <v>412</v>
      </c>
      <c r="D125" s="380"/>
      <c r="E125" s="963">
        <v>44819</v>
      </c>
      <c r="F125" s="583">
        <v>18400.650000000001</v>
      </c>
      <c r="G125" s="609">
        <v>652</v>
      </c>
      <c r="H125" s="583">
        <v>18400.650000000001</v>
      </c>
      <c r="I125" s="105">
        <f t="shared" ref="I125:I177" si="27">H125-F125</f>
        <v>0</v>
      </c>
      <c r="J125" s="455"/>
      <c r="K125" s="390"/>
      <c r="L125" s="726"/>
      <c r="M125" s="390"/>
      <c r="N125" s="634"/>
      <c r="O125" s="628" t="s">
        <v>486</v>
      </c>
      <c r="P125" s="839" t="s">
        <v>334</v>
      </c>
      <c r="Q125" s="539">
        <v>864830.55</v>
      </c>
      <c r="R125" s="741" t="s">
        <v>487</v>
      </c>
      <c r="S125" s="65">
        <f t="shared" si="25"/>
        <v>864830.55</v>
      </c>
      <c r="T125" s="170">
        <f t="shared" si="26"/>
        <v>47</v>
      </c>
    </row>
    <row r="126" spans="1:20" s="152" customFormat="1" ht="29.25" customHeight="1" x14ac:dyDescent="0.25">
      <c r="A126" s="100">
        <v>88</v>
      </c>
      <c r="B126" s="952" t="s">
        <v>310</v>
      </c>
      <c r="C126" s="380" t="s">
        <v>311</v>
      </c>
      <c r="D126" s="854"/>
      <c r="E126" s="587">
        <v>44824</v>
      </c>
      <c r="F126" s="583">
        <v>18509.599999999999</v>
      </c>
      <c r="G126" s="609">
        <v>680</v>
      </c>
      <c r="H126" s="583">
        <v>18509.599999999999</v>
      </c>
      <c r="I126" s="105">
        <f t="shared" si="27"/>
        <v>0</v>
      </c>
      <c r="J126" s="455"/>
      <c r="K126" s="390"/>
      <c r="L126" s="726"/>
      <c r="M126" s="390"/>
      <c r="N126" s="634"/>
      <c r="O126" s="628" t="s">
        <v>756</v>
      </c>
      <c r="P126" s="839" t="s">
        <v>334</v>
      </c>
      <c r="Q126" s="953">
        <v>1434494</v>
      </c>
      <c r="R126" s="954" t="s">
        <v>757</v>
      </c>
      <c r="S126" s="65">
        <f t="shared" si="25"/>
        <v>1434494</v>
      </c>
      <c r="T126" s="170">
        <f t="shared" si="26"/>
        <v>77.5</v>
      </c>
    </row>
    <row r="127" spans="1:20" s="152" customFormat="1" ht="29.25" customHeight="1" x14ac:dyDescent="0.25">
      <c r="A127" s="100">
        <v>89</v>
      </c>
      <c r="B127" s="885" t="s">
        <v>310</v>
      </c>
      <c r="C127" s="380" t="s">
        <v>474</v>
      </c>
      <c r="D127" s="854"/>
      <c r="E127" s="868">
        <v>44824</v>
      </c>
      <c r="F127" s="583">
        <v>2000.67</v>
      </c>
      <c r="G127" s="609">
        <v>147</v>
      </c>
      <c r="H127" s="583">
        <v>2000.67</v>
      </c>
      <c r="I127" s="105">
        <f t="shared" si="27"/>
        <v>0</v>
      </c>
      <c r="J127" s="455"/>
      <c r="K127" s="390"/>
      <c r="L127" s="726"/>
      <c r="M127" s="390"/>
      <c r="N127" s="634"/>
      <c r="O127" s="886" t="s">
        <v>488</v>
      </c>
      <c r="P127" s="839" t="s">
        <v>334</v>
      </c>
      <c r="Q127" s="539">
        <v>110036.85</v>
      </c>
      <c r="R127" s="869" t="s">
        <v>489</v>
      </c>
      <c r="S127" s="65">
        <f t="shared" si="25"/>
        <v>110036.85</v>
      </c>
      <c r="T127" s="170">
        <f t="shared" si="26"/>
        <v>55</v>
      </c>
    </row>
    <row r="128" spans="1:20" s="152" customFormat="1" ht="43.5" thickBot="1" x14ac:dyDescent="0.3">
      <c r="A128" s="100">
        <v>90</v>
      </c>
      <c r="B128" s="885" t="s">
        <v>485</v>
      </c>
      <c r="C128" s="380" t="s">
        <v>83</v>
      </c>
      <c r="D128" s="854"/>
      <c r="E128" s="868">
        <v>44824</v>
      </c>
      <c r="F128" s="583">
        <v>400</v>
      </c>
      <c r="G128" s="609">
        <v>40</v>
      </c>
      <c r="H128" s="583">
        <v>400</v>
      </c>
      <c r="I128" s="105">
        <f t="shared" si="27"/>
        <v>0</v>
      </c>
      <c r="J128" s="455"/>
      <c r="K128" s="390"/>
      <c r="L128" s="726"/>
      <c r="M128" s="390"/>
      <c r="N128" s="634"/>
      <c r="O128" s="886">
        <v>1407</v>
      </c>
      <c r="P128" s="839" t="s">
        <v>334</v>
      </c>
      <c r="Q128" s="539">
        <v>18000</v>
      </c>
      <c r="R128" s="869" t="s">
        <v>484</v>
      </c>
      <c r="S128" s="65">
        <f t="shared" si="25"/>
        <v>18000</v>
      </c>
      <c r="T128" s="170">
        <f t="shared" si="26"/>
        <v>45</v>
      </c>
    </row>
    <row r="129" spans="1:20" s="152" customFormat="1" ht="29.25" thickBot="1" x14ac:dyDescent="0.3">
      <c r="A129" s="100">
        <v>91</v>
      </c>
      <c r="B129" s="957" t="s">
        <v>758</v>
      </c>
      <c r="C129" s="833" t="s">
        <v>460</v>
      </c>
      <c r="D129" s="854"/>
      <c r="E129" s="868">
        <v>44824</v>
      </c>
      <c r="F129" s="583">
        <v>1005</v>
      </c>
      <c r="G129" s="609">
        <v>67</v>
      </c>
      <c r="H129" s="583">
        <v>1005</v>
      </c>
      <c r="I129" s="105">
        <f t="shared" si="27"/>
        <v>0</v>
      </c>
      <c r="J129" s="455"/>
      <c r="K129" s="390"/>
      <c r="L129" s="726"/>
      <c r="M129" s="390"/>
      <c r="N129" s="634"/>
      <c r="O129" s="628">
        <v>1404</v>
      </c>
      <c r="P129" s="887" t="s">
        <v>334</v>
      </c>
      <c r="Q129" s="539">
        <v>91455</v>
      </c>
      <c r="R129" s="869" t="s">
        <v>484</v>
      </c>
      <c r="S129" s="65">
        <f t="shared" si="25"/>
        <v>91455</v>
      </c>
      <c r="T129" s="170">
        <f t="shared" si="26"/>
        <v>91</v>
      </c>
    </row>
    <row r="130" spans="1:20" s="152" customFormat="1" ht="28.5" customHeight="1" x14ac:dyDescent="0.25">
      <c r="A130" s="100">
        <v>92</v>
      </c>
      <c r="B130" s="957" t="s">
        <v>759</v>
      </c>
      <c r="C130" s="833" t="s">
        <v>475</v>
      </c>
      <c r="D130" s="854"/>
      <c r="E130" s="868">
        <v>44824</v>
      </c>
      <c r="F130" s="583">
        <v>943.62</v>
      </c>
      <c r="G130" s="609">
        <v>46</v>
      </c>
      <c r="H130" s="583">
        <v>943.62</v>
      </c>
      <c r="I130" s="105">
        <f t="shared" si="27"/>
        <v>0</v>
      </c>
      <c r="J130" s="455"/>
      <c r="K130" s="390"/>
      <c r="L130" s="726"/>
      <c r="M130" s="390"/>
      <c r="N130" s="634"/>
      <c r="O130" s="628">
        <v>3103237</v>
      </c>
      <c r="P130" s="887" t="s">
        <v>334</v>
      </c>
      <c r="Q130" s="953">
        <v>134937.66</v>
      </c>
      <c r="R130" s="958" t="s">
        <v>760</v>
      </c>
      <c r="S130" s="65">
        <f t="shared" si="25"/>
        <v>134937.66</v>
      </c>
      <c r="T130" s="170">
        <f t="shared" si="26"/>
        <v>143</v>
      </c>
    </row>
    <row r="131" spans="1:20" s="152" customFormat="1" ht="34.5" customHeight="1" thickBot="1" x14ac:dyDescent="0.3">
      <c r="A131" s="100">
        <v>93</v>
      </c>
      <c r="B131" s="866" t="s">
        <v>335</v>
      </c>
      <c r="C131" s="380" t="s">
        <v>336</v>
      </c>
      <c r="D131" s="380"/>
      <c r="E131" s="868">
        <v>44825</v>
      </c>
      <c r="F131" s="583">
        <v>3832.9</v>
      </c>
      <c r="G131" s="609">
        <v>10</v>
      </c>
      <c r="H131" s="583">
        <f>2083.334+1749.567</f>
        <v>3832.9009999999998</v>
      </c>
      <c r="I131" s="105">
        <f t="shared" si="27"/>
        <v>9.9999999974897946E-4</v>
      </c>
      <c r="J131" s="455"/>
      <c r="K131" s="390"/>
      <c r="L131" s="726"/>
      <c r="M131" s="390"/>
      <c r="N131" s="634"/>
      <c r="O131" s="884" t="s">
        <v>419</v>
      </c>
      <c r="P131" s="477"/>
      <c r="Q131" s="539">
        <f>200000+167958.4</f>
        <v>367958.4</v>
      </c>
      <c r="R131" s="869" t="s">
        <v>392</v>
      </c>
      <c r="S131" s="65">
        <f t="shared" si="25"/>
        <v>367958.4</v>
      </c>
      <c r="T131" s="170">
        <f t="shared" si="26"/>
        <v>95.999974953696963</v>
      </c>
    </row>
    <row r="132" spans="1:20" s="152" customFormat="1" ht="21.75" customHeight="1" x14ac:dyDescent="0.25">
      <c r="A132" s="100">
        <v>94</v>
      </c>
      <c r="B132" s="1018" t="s">
        <v>382</v>
      </c>
      <c r="C132" s="833" t="s">
        <v>438</v>
      </c>
      <c r="D132" s="1020" t="s">
        <v>439</v>
      </c>
      <c r="E132" s="1022">
        <v>44825</v>
      </c>
      <c r="F132" s="867">
        <v>71.599999999999994</v>
      </c>
      <c r="G132" s="609"/>
      <c r="H132" s="583">
        <v>71.599999999999994</v>
      </c>
      <c r="I132" s="105">
        <f t="shared" si="27"/>
        <v>0</v>
      </c>
      <c r="J132" s="455"/>
      <c r="K132" s="390"/>
      <c r="L132" s="726"/>
      <c r="M132" s="390"/>
      <c r="N132" s="634"/>
      <c r="O132" s="1024" t="s">
        <v>440</v>
      </c>
      <c r="P132" s="836"/>
      <c r="Q132" s="861">
        <v>7876</v>
      </c>
      <c r="R132" s="1026" t="s">
        <v>424</v>
      </c>
      <c r="S132" s="65">
        <f t="shared" si="25"/>
        <v>7876</v>
      </c>
      <c r="T132" s="170">
        <f t="shared" si="26"/>
        <v>110.00000000000001</v>
      </c>
    </row>
    <row r="133" spans="1:20" s="152" customFormat="1" ht="24" customHeight="1" thickBot="1" x14ac:dyDescent="0.3">
      <c r="A133" s="100">
        <v>95</v>
      </c>
      <c r="B133" s="1019"/>
      <c r="C133" s="833" t="s">
        <v>433</v>
      </c>
      <c r="D133" s="1021"/>
      <c r="E133" s="1023"/>
      <c r="F133" s="867">
        <v>55.076900000000002</v>
      </c>
      <c r="G133" s="609"/>
      <c r="H133" s="583">
        <v>55.076900000000002</v>
      </c>
      <c r="I133" s="105">
        <f t="shared" si="27"/>
        <v>0</v>
      </c>
      <c r="J133" s="457"/>
      <c r="K133" s="390"/>
      <c r="L133" s="726"/>
      <c r="M133" s="390"/>
      <c r="N133" s="640"/>
      <c r="O133" s="1025"/>
      <c r="P133" s="837"/>
      <c r="Q133" s="861">
        <v>7160</v>
      </c>
      <c r="R133" s="1027"/>
      <c r="S133" s="65">
        <f t="shared" si="25"/>
        <v>7160</v>
      </c>
      <c r="T133" s="170">
        <f t="shared" si="26"/>
        <v>130.00005446929657</v>
      </c>
    </row>
    <row r="134" spans="1:20" s="152" customFormat="1" ht="22.5" x14ac:dyDescent="0.3">
      <c r="A134" s="100">
        <v>96</v>
      </c>
      <c r="B134" s="1008" t="s">
        <v>461</v>
      </c>
      <c r="C134" s="833" t="s">
        <v>362</v>
      </c>
      <c r="D134" s="882"/>
      <c r="E134" s="1011">
        <v>44826</v>
      </c>
      <c r="F134" s="867">
        <v>15231.71</v>
      </c>
      <c r="G134" s="609">
        <v>490</v>
      </c>
      <c r="H134" s="583">
        <v>15231.71</v>
      </c>
      <c r="I134" s="105">
        <f t="shared" si="27"/>
        <v>0</v>
      </c>
      <c r="J134" s="610"/>
      <c r="K134" s="390"/>
      <c r="L134" s="726"/>
      <c r="M134" s="390"/>
      <c r="N134" s="640"/>
      <c r="O134" s="1014" t="s">
        <v>780</v>
      </c>
      <c r="P134" s="973"/>
      <c r="Q134" s="974">
        <v>2002969.87</v>
      </c>
      <c r="R134" s="978" t="s">
        <v>781</v>
      </c>
      <c r="S134" s="65">
        <f t="shared" si="25"/>
        <v>2002969.87</v>
      </c>
      <c r="T134" s="170">
        <f t="shared" si="26"/>
        <v>131.50000032826256</v>
      </c>
    </row>
    <row r="135" spans="1:20" s="152" customFormat="1" ht="22.5" x14ac:dyDescent="0.3">
      <c r="A135" s="100">
        <v>97</v>
      </c>
      <c r="B135" s="1009"/>
      <c r="C135" s="833" t="s">
        <v>462</v>
      </c>
      <c r="D135" s="882"/>
      <c r="E135" s="1012"/>
      <c r="F135" s="867">
        <v>949.33199999999999</v>
      </c>
      <c r="G135" s="609">
        <v>27</v>
      </c>
      <c r="H135" s="583">
        <v>949.32</v>
      </c>
      <c r="I135" s="105">
        <f t="shared" si="27"/>
        <v>-1.1999999999943611E-2</v>
      </c>
      <c r="J135" s="610"/>
      <c r="K135" s="390"/>
      <c r="L135" s="726"/>
      <c r="M135" s="390"/>
      <c r="N135" s="640"/>
      <c r="O135" s="1015"/>
      <c r="P135" s="975"/>
      <c r="Q135" s="976">
        <v>162524.1</v>
      </c>
      <c r="R135" s="979"/>
      <c r="S135" s="65">
        <f t="shared" si="25"/>
        <v>162524.1</v>
      </c>
      <c r="T135" s="170">
        <f t="shared" si="26"/>
        <v>171.20054354695992</v>
      </c>
    </row>
    <row r="136" spans="1:20" s="152" customFormat="1" ht="22.5" x14ac:dyDescent="0.3">
      <c r="A136" s="100">
        <v>98</v>
      </c>
      <c r="B136" s="1009"/>
      <c r="C136" s="833" t="s">
        <v>93</v>
      </c>
      <c r="D136" s="882"/>
      <c r="E136" s="1012"/>
      <c r="F136" s="867">
        <v>916.07</v>
      </c>
      <c r="G136" s="609">
        <v>28</v>
      </c>
      <c r="H136" s="583">
        <v>916.07</v>
      </c>
      <c r="I136" s="105">
        <f t="shared" si="27"/>
        <v>0</v>
      </c>
      <c r="J136" s="610"/>
      <c r="K136" s="390"/>
      <c r="L136" s="726"/>
      <c r="M136" s="390"/>
      <c r="N136" s="640"/>
      <c r="O136" s="1015"/>
      <c r="P136" s="975"/>
      <c r="Q136" s="976">
        <v>124586.06</v>
      </c>
      <c r="R136" s="979"/>
      <c r="S136" s="65">
        <f t="shared" si="25"/>
        <v>124586.06</v>
      </c>
      <c r="T136" s="170">
        <f t="shared" si="26"/>
        <v>136.00058947460346</v>
      </c>
    </row>
    <row r="137" spans="1:20" s="152" customFormat="1" ht="23.25" thickBot="1" x14ac:dyDescent="0.35">
      <c r="A137" s="100">
        <v>99</v>
      </c>
      <c r="B137" s="1010"/>
      <c r="C137" s="833" t="s">
        <v>476</v>
      </c>
      <c r="D137" s="882"/>
      <c r="E137" s="1013"/>
      <c r="F137" s="867">
        <v>1029.05</v>
      </c>
      <c r="G137" s="609">
        <v>41</v>
      </c>
      <c r="H137" s="583">
        <v>1029.05</v>
      </c>
      <c r="I137" s="105">
        <f t="shared" si="27"/>
        <v>0</v>
      </c>
      <c r="J137" s="610"/>
      <c r="K137" s="390"/>
      <c r="L137" s="726"/>
      <c r="M137" s="390"/>
      <c r="N137" s="640"/>
      <c r="O137" s="1016"/>
      <c r="P137" s="975"/>
      <c r="Q137" s="976">
        <v>146127.09</v>
      </c>
      <c r="R137" s="980"/>
      <c r="S137" s="65">
        <f t="shared" si="25"/>
        <v>146127.09</v>
      </c>
      <c r="T137" s="170">
        <f t="shared" si="26"/>
        <v>142.0019338224576</v>
      </c>
    </row>
    <row r="138" spans="1:20" s="152" customFormat="1" ht="42.75" x14ac:dyDescent="0.25">
      <c r="A138" s="100">
        <v>100</v>
      </c>
      <c r="B138" s="380" t="s">
        <v>382</v>
      </c>
      <c r="C138" s="380" t="s">
        <v>389</v>
      </c>
      <c r="D138" s="854" t="s">
        <v>429</v>
      </c>
      <c r="E138" s="587">
        <v>44830</v>
      </c>
      <c r="F138" s="583">
        <v>354.27499999999998</v>
      </c>
      <c r="G138" s="609"/>
      <c r="H138" s="583">
        <v>354.27499999999998</v>
      </c>
      <c r="I138" s="105">
        <f t="shared" ref="I138" si="28">H138-F138</f>
        <v>0</v>
      </c>
      <c r="J138" s="455"/>
      <c r="K138" s="390"/>
      <c r="L138" s="726"/>
      <c r="M138" s="390"/>
      <c r="N138" s="634"/>
      <c r="O138" s="627" t="s">
        <v>430</v>
      </c>
      <c r="P138" s="553"/>
      <c r="Q138" s="539">
        <v>28342</v>
      </c>
      <c r="R138" s="741" t="s">
        <v>424</v>
      </c>
      <c r="S138" s="65">
        <f t="shared" si="25"/>
        <v>28342</v>
      </c>
      <c r="T138" s="170">
        <f t="shared" si="26"/>
        <v>80</v>
      </c>
    </row>
    <row r="139" spans="1:20" s="152" customFormat="1" ht="29.25" customHeight="1" x14ac:dyDescent="0.25">
      <c r="A139" s="100">
        <v>101</v>
      </c>
      <c r="B139" s="883" t="s">
        <v>319</v>
      </c>
      <c r="C139" s="380" t="s">
        <v>322</v>
      </c>
      <c r="D139" s="380"/>
      <c r="E139" s="587">
        <v>44833</v>
      </c>
      <c r="F139" s="583">
        <v>1008.02</v>
      </c>
      <c r="G139" s="609">
        <v>83</v>
      </c>
      <c r="H139" s="583">
        <v>1008.02</v>
      </c>
      <c r="I139" s="420">
        <f t="shared" si="27"/>
        <v>0</v>
      </c>
      <c r="J139" s="457"/>
      <c r="K139" s="390"/>
      <c r="L139" s="726"/>
      <c r="M139" s="390"/>
      <c r="N139" s="640"/>
      <c r="O139" s="628" t="s">
        <v>481</v>
      </c>
      <c r="P139" s="955"/>
      <c r="Q139" s="953">
        <v>94753.88</v>
      </c>
      <c r="R139" s="956" t="s">
        <v>766</v>
      </c>
      <c r="S139" s="65">
        <f t="shared" si="25"/>
        <v>94753.88</v>
      </c>
      <c r="T139" s="170">
        <f t="shared" si="26"/>
        <v>94</v>
      </c>
    </row>
    <row r="140" spans="1:20" s="152" customFormat="1" ht="42.75" x14ac:dyDescent="0.25">
      <c r="A140" s="100">
        <v>102</v>
      </c>
      <c r="B140" s="380" t="s">
        <v>382</v>
      </c>
      <c r="C140" s="380" t="s">
        <v>389</v>
      </c>
      <c r="D140" s="854" t="s">
        <v>761</v>
      </c>
      <c r="E140" s="587">
        <v>44830</v>
      </c>
      <c r="F140" s="583">
        <v>32245</v>
      </c>
      <c r="G140" s="609"/>
      <c r="H140" s="583">
        <v>32245</v>
      </c>
      <c r="I140" s="105">
        <f t="shared" si="27"/>
        <v>0</v>
      </c>
      <c r="J140" s="457"/>
      <c r="K140" s="390"/>
      <c r="L140" s="726"/>
      <c r="M140" s="390"/>
      <c r="N140" s="640"/>
      <c r="O140" s="627" t="s">
        <v>762</v>
      </c>
      <c r="P140" s="477"/>
      <c r="Q140" s="953">
        <v>32245</v>
      </c>
      <c r="R140" s="956" t="s">
        <v>763</v>
      </c>
      <c r="S140" s="65">
        <f t="shared" si="25"/>
        <v>32245</v>
      </c>
      <c r="T140" s="170">
        <f t="shared" si="26"/>
        <v>1</v>
      </c>
    </row>
    <row r="141" spans="1:20" s="152" customFormat="1" ht="42.75" x14ac:dyDescent="0.25">
      <c r="A141" s="100">
        <v>103</v>
      </c>
      <c r="B141" s="380" t="s">
        <v>382</v>
      </c>
      <c r="C141" s="380" t="s">
        <v>389</v>
      </c>
      <c r="D141" s="854" t="s">
        <v>764</v>
      </c>
      <c r="E141" s="587">
        <v>44832</v>
      </c>
      <c r="F141" s="583">
        <v>27779</v>
      </c>
      <c r="G141" s="609"/>
      <c r="H141" s="583">
        <v>27779</v>
      </c>
      <c r="I141" s="105">
        <f t="shared" si="27"/>
        <v>0</v>
      </c>
      <c r="J141" s="457"/>
      <c r="K141" s="390"/>
      <c r="L141" s="726"/>
      <c r="M141" s="390"/>
      <c r="N141" s="640"/>
      <c r="O141" s="627" t="s">
        <v>765</v>
      </c>
      <c r="P141" s="477"/>
      <c r="Q141" s="953">
        <v>27779</v>
      </c>
      <c r="R141" s="956" t="s">
        <v>763</v>
      </c>
      <c r="S141" s="65">
        <f t="shared" si="25"/>
        <v>27779</v>
      </c>
      <c r="T141" s="170">
        <f t="shared" si="26"/>
        <v>1</v>
      </c>
    </row>
    <row r="142" spans="1:20" s="152" customFormat="1" ht="42.75" x14ac:dyDescent="0.25">
      <c r="A142" s="100">
        <v>104</v>
      </c>
      <c r="B142" s="952" t="s">
        <v>768</v>
      </c>
      <c r="C142" s="611" t="s">
        <v>336</v>
      </c>
      <c r="D142" s="854" t="s">
        <v>769</v>
      </c>
      <c r="E142" s="587">
        <v>44832</v>
      </c>
      <c r="F142" s="583">
        <v>7260</v>
      </c>
      <c r="G142" s="609"/>
      <c r="H142" s="583">
        <v>7225.4</v>
      </c>
      <c r="I142" s="105">
        <f t="shared" si="27"/>
        <v>-34.600000000000364</v>
      </c>
      <c r="J142" s="457"/>
      <c r="K142" s="390"/>
      <c r="L142" s="726"/>
      <c r="M142" s="390"/>
      <c r="N142" s="640"/>
      <c r="O142" s="964">
        <v>24</v>
      </c>
      <c r="P142" s="391"/>
      <c r="Q142" s="959">
        <v>668349.5</v>
      </c>
      <c r="R142" s="956" t="s">
        <v>770</v>
      </c>
      <c r="S142" s="65">
        <f t="shared" si="25"/>
        <v>668349.5</v>
      </c>
      <c r="T142" s="170">
        <f t="shared" si="26"/>
        <v>92.5</v>
      </c>
    </row>
    <row r="143" spans="1:20" s="152" customFormat="1" ht="24.75" customHeight="1" x14ac:dyDescent="0.25">
      <c r="A143" s="100">
        <v>105</v>
      </c>
      <c r="B143" s="380"/>
      <c r="C143" s="380"/>
      <c r="D143" s="380"/>
      <c r="E143" s="587"/>
      <c r="F143" s="583"/>
      <c r="G143" s="609"/>
      <c r="H143" s="583"/>
      <c r="I143" s="105">
        <f t="shared" si="27"/>
        <v>0</v>
      </c>
      <c r="J143" s="457"/>
      <c r="K143" s="390"/>
      <c r="L143" s="726"/>
      <c r="M143" s="390"/>
      <c r="N143" s="640"/>
      <c r="O143" s="627"/>
      <c r="P143" s="391"/>
      <c r="Q143" s="542"/>
      <c r="R143" s="389"/>
      <c r="S143" s="65">
        <f t="shared" si="25"/>
        <v>0</v>
      </c>
      <c r="T143" s="170" t="e">
        <f t="shared" si="26"/>
        <v>#DIV/0!</v>
      </c>
    </row>
    <row r="144" spans="1:20" s="152" customFormat="1" ht="27" customHeight="1" x14ac:dyDescent="0.25">
      <c r="A144" s="100"/>
      <c r="B144" s="380"/>
      <c r="C144" s="380"/>
      <c r="D144" s="380"/>
      <c r="E144" s="587"/>
      <c r="F144" s="583"/>
      <c r="G144" s="609"/>
      <c r="H144" s="583"/>
      <c r="I144" s="105">
        <f t="shared" si="27"/>
        <v>0</v>
      </c>
      <c r="J144" s="457"/>
      <c r="K144" s="390"/>
      <c r="L144" s="726"/>
      <c r="M144" s="390"/>
      <c r="N144" s="640"/>
      <c r="O144" s="627"/>
      <c r="P144" s="589"/>
      <c r="Q144" s="542"/>
      <c r="R144" s="389"/>
      <c r="S144" s="65">
        <f t="shared" si="25"/>
        <v>0</v>
      </c>
      <c r="T144" s="170" t="e">
        <f t="shared" si="26"/>
        <v>#DIV/0!</v>
      </c>
    </row>
    <row r="145" spans="1:20" s="152" customFormat="1" ht="27" customHeight="1" x14ac:dyDescent="0.25">
      <c r="A145" s="100"/>
      <c r="B145" s="609"/>
      <c r="C145" s="380"/>
      <c r="D145" s="380"/>
      <c r="E145" s="587"/>
      <c r="F145" s="583"/>
      <c r="G145" s="609"/>
      <c r="H145" s="583"/>
      <c r="I145" s="105">
        <f t="shared" si="27"/>
        <v>0</v>
      </c>
      <c r="J145" s="457"/>
      <c r="K145" s="390"/>
      <c r="L145" s="726"/>
      <c r="M145" s="390"/>
      <c r="N145" s="640"/>
      <c r="O145" s="628"/>
      <c r="P145" s="589"/>
      <c r="Q145" s="542"/>
      <c r="R145" s="689"/>
      <c r="S145" s="65">
        <f t="shared" si="25"/>
        <v>0</v>
      </c>
      <c r="T145" s="170" t="e">
        <f t="shared" si="26"/>
        <v>#DIV/0!</v>
      </c>
    </row>
    <row r="146" spans="1:20" s="152" customFormat="1" ht="29.25" customHeight="1" x14ac:dyDescent="0.25">
      <c r="A146" s="100"/>
      <c r="B146" s="630"/>
      <c r="C146" s="611"/>
      <c r="D146" s="380"/>
      <c r="E146" s="585"/>
      <c r="F146" s="583"/>
      <c r="G146" s="609"/>
      <c r="H146" s="583"/>
      <c r="I146" s="105">
        <f t="shared" si="27"/>
        <v>0</v>
      </c>
      <c r="J146" s="457"/>
      <c r="K146" s="390"/>
      <c r="L146" s="726"/>
      <c r="M146" s="390"/>
      <c r="N146" s="640"/>
      <c r="O146" s="690"/>
      <c r="P146" s="589"/>
      <c r="Q146" s="542"/>
      <c r="R146" s="389"/>
      <c r="S146" s="65">
        <f t="shared" si="25"/>
        <v>0</v>
      </c>
      <c r="T146" s="170" t="e">
        <f t="shared" si="26"/>
        <v>#DIV/0!</v>
      </c>
    </row>
    <row r="147" spans="1:20" s="152" customFormat="1" ht="24.75" customHeight="1" x14ac:dyDescent="0.25">
      <c r="A147" s="100"/>
      <c r="B147" s="380"/>
      <c r="C147" s="380"/>
      <c r="D147" s="380"/>
      <c r="E147" s="585"/>
      <c r="F147" s="583"/>
      <c r="G147" s="609"/>
      <c r="H147" s="583"/>
      <c r="I147" s="105">
        <f t="shared" si="27"/>
        <v>0</v>
      </c>
      <c r="J147" s="457"/>
      <c r="K147" s="390"/>
      <c r="L147" s="726"/>
      <c r="M147" s="390"/>
      <c r="N147" s="640"/>
      <c r="O147" s="628"/>
      <c r="P147" s="391"/>
      <c r="Q147" s="542"/>
      <c r="R147" s="389"/>
      <c r="S147" s="65">
        <f t="shared" si="25"/>
        <v>0</v>
      </c>
      <c r="T147" s="170" t="e">
        <f t="shared" si="26"/>
        <v>#DIV/0!</v>
      </c>
    </row>
    <row r="148" spans="1:20" s="152" customFormat="1" ht="18.75" x14ac:dyDescent="0.25">
      <c r="A148" s="100"/>
      <c r="B148" s="380"/>
      <c r="C148" s="380"/>
      <c r="D148" s="380"/>
      <c r="E148" s="585"/>
      <c r="F148" s="583"/>
      <c r="G148" s="609"/>
      <c r="H148" s="583"/>
      <c r="I148" s="105">
        <f t="shared" si="27"/>
        <v>0</v>
      </c>
      <c r="J148" s="457"/>
      <c r="K148" s="390"/>
      <c r="L148" s="726"/>
      <c r="M148" s="390"/>
      <c r="N148" s="640"/>
      <c r="O148" s="588"/>
      <c r="P148" s="391"/>
      <c r="Q148" s="542"/>
      <c r="R148" s="389"/>
      <c r="S148" s="65">
        <f t="shared" si="25"/>
        <v>0</v>
      </c>
      <c r="T148" s="170" t="e">
        <f t="shared" si="26"/>
        <v>#DIV/0!</v>
      </c>
    </row>
    <row r="149" spans="1:20" s="152" customFormat="1" ht="30.75" customHeight="1" x14ac:dyDescent="0.25">
      <c r="A149" s="100"/>
      <c r="B149" s="669"/>
      <c r="C149" s="380"/>
      <c r="D149" s="380"/>
      <c r="E149" s="585"/>
      <c r="F149" s="583"/>
      <c r="G149" s="609"/>
      <c r="H149" s="583"/>
      <c r="I149" s="105">
        <f t="shared" si="27"/>
        <v>0</v>
      </c>
      <c r="J149" s="457"/>
      <c r="K149" s="390"/>
      <c r="L149" s="726"/>
      <c r="M149" s="390"/>
      <c r="N149" s="686"/>
      <c r="O149" s="588"/>
      <c r="P149" s="391"/>
      <c r="Q149" s="542"/>
      <c r="R149" s="389"/>
      <c r="S149" s="65">
        <f t="shared" si="25"/>
        <v>0</v>
      </c>
      <c r="T149" s="170" t="e">
        <f t="shared" si="26"/>
        <v>#DIV/0!</v>
      </c>
    </row>
    <row r="150" spans="1:20" s="152" customFormat="1" ht="18.75" x14ac:dyDescent="0.25">
      <c r="A150" s="100"/>
      <c r="B150" s="609"/>
      <c r="C150" s="380"/>
      <c r="D150" s="380"/>
      <c r="E150" s="585"/>
      <c r="F150" s="583"/>
      <c r="G150" s="609"/>
      <c r="H150" s="583"/>
      <c r="I150" s="105">
        <f t="shared" si="27"/>
        <v>0</v>
      </c>
      <c r="J150" s="461"/>
      <c r="K150" s="390"/>
      <c r="L150" s="726"/>
      <c r="M150" s="390"/>
      <c r="N150" s="687"/>
      <c r="O150" s="588"/>
      <c r="P150" s="391"/>
      <c r="Q150" s="542"/>
      <c r="R150" s="670"/>
      <c r="S150" s="65">
        <f t="shared" si="25"/>
        <v>0</v>
      </c>
      <c r="T150" s="170" t="e">
        <f t="shared" si="26"/>
        <v>#DIV/0!</v>
      </c>
    </row>
    <row r="151" spans="1:20" s="152" customFormat="1" ht="18.75" x14ac:dyDescent="0.25">
      <c r="A151" s="100"/>
      <c r="B151" s="380"/>
      <c r="C151" s="380"/>
      <c r="D151" s="380"/>
      <c r="E151" s="585"/>
      <c r="F151" s="583"/>
      <c r="G151" s="609"/>
      <c r="H151" s="583"/>
      <c r="I151" s="105">
        <f t="shared" si="27"/>
        <v>0</v>
      </c>
      <c r="J151" s="461"/>
      <c r="K151" s="390"/>
      <c r="L151" s="726"/>
      <c r="M151" s="390"/>
      <c r="N151" s="688"/>
      <c r="O151" s="588"/>
      <c r="P151" s="589"/>
      <c r="Q151" s="542"/>
      <c r="R151" s="670"/>
      <c r="S151" s="65">
        <f t="shared" si="25"/>
        <v>0</v>
      </c>
      <c r="T151" s="170" t="e">
        <f t="shared" si="26"/>
        <v>#DIV/0!</v>
      </c>
    </row>
    <row r="152" spans="1:20" s="152" customFormat="1" ht="27.75" customHeight="1" x14ac:dyDescent="0.25">
      <c r="A152" s="100"/>
      <c r="B152" s="380"/>
      <c r="C152" s="380"/>
      <c r="D152" s="380"/>
      <c r="E152" s="585"/>
      <c r="F152" s="583"/>
      <c r="G152" s="609"/>
      <c r="H152" s="583"/>
      <c r="I152" s="105">
        <f t="shared" si="27"/>
        <v>0</v>
      </c>
      <c r="J152" s="276"/>
      <c r="K152" s="390"/>
      <c r="L152" s="726"/>
      <c r="M152" s="390"/>
      <c r="N152" s="635"/>
      <c r="O152" s="588"/>
      <c r="P152" s="391"/>
      <c r="Q152" s="542"/>
      <c r="R152" s="670"/>
      <c r="S152" s="65">
        <f t="shared" si="25"/>
        <v>0</v>
      </c>
      <c r="T152" s="170" t="e">
        <f t="shared" si="26"/>
        <v>#DIV/0!</v>
      </c>
    </row>
    <row r="153" spans="1:20" s="152" customFormat="1" ht="32.25" customHeight="1" x14ac:dyDescent="0.25">
      <c r="A153" s="100"/>
      <c r="B153" s="380"/>
      <c r="C153" s="380"/>
      <c r="D153" s="380"/>
      <c r="E153" s="585"/>
      <c r="F153" s="583"/>
      <c r="G153" s="609"/>
      <c r="H153" s="583"/>
      <c r="I153" s="105">
        <f t="shared" si="27"/>
        <v>0</v>
      </c>
      <c r="J153" s="276"/>
      <c r="K153" s="390"/>
      <c r="L153" s="726"/>
      <c r="M153" s="390"/>
      <c r="N153" s="635"/>
      <c r="O153" s="588"/>
      <c r="P153" s="391"/>
      <c r="Q153" s="542"/>
      <c r="R153" s="670"/>
      <c r="S153" s="65">
        <f t="shared" si="25"/>
        <v>0</v>
      </c>
      <c r="T153" s="170" t="e">
        <f t="shared" si="26"/>
        <v>#DIV/0!</v>
      </c>
    </row>
    <row r="154" spans="1:20" s="152" customFormat="1" ht="19.5" customHeight="1" x14ac:dyDescent="0.25">
      <c r="A154" s="100"/>
      <c r="B154" s="380"/>
      <c r="C154" s="380"/>
      <c r="D154" s="380"/>
      <c r="E154" s="585"/>
      <c r="F154" s="583"/>
      <c r="G154" s="609"/>
      <c r="H154" s="583"/>
      <c r="I154" s="105">
        <f t="shared" si="27"/>
        <v>0</v>
      </c>
      <c r="J154" s="276"/>
      <c r="K154" s="390"/>
      <c r="L154" s="726"/>
      <c r="M154" s="390"/>
      <c r="N154" s="635"/>
      <c r="O154" s="588"/>
      <c r="P154" s="391"/>
      <c r="Q154" s="542"/>
      <c r="R154" s="670"/>
      <c r="S154" s="65">
        <f t="shared" si="25"/>
        <v>0</v>
      </c>
      <c r="T154" s="170" t="e">
        <f t="shared" si="26"/>
        <v>#DIV/0!</v>
      </c>
    </row>
    <row r="155" spans="1:20" s="152" customFormat="1" x14ac:dyDescent="0.25">
      <c r="A155" s="100"/>
      <c r="B155" s="419"/>
      <c r="C155" s="73"/>
      <c r="D155" s="156"/>
      <c r="E155" s="149"/>
      <c r="F155" s="105"/>
      <c r="G155" s="100"/>
      <c r="H155" s="375"/>
      <c r="I155" s="105">
        <f t="shared" si="27"/>
        <v>0</v>
      </c>
      <c r="J155" s="178"/>
      <c r="K155" s="225"/>
      <c r="L155" s="728"/>
      <c r="M155" s="224"/>
      <c r="N155" s="381"/>
      <c r="O155" s="401"/>
      <c r="P155" s="223"/>
      <c r="Q155" s="543"/>
      <c r="R155" s="742"/>
      <c r="S155" s="65">
        <f t="shared" si="25"/>
        <v>0</v>
      </c>
      <c r="T155" s="170" t="e">
        <f t="shared" si="26"/>
        <v>#DIV/0!</v>
      </c>
    </row>
    <row r="156" spans="1:20" s="152" customFormat="1" x14ac:dyDescent="0.25">
      <c r="A156" s="100"/>
      <c r="B156" s="75"/>
      <c r="C156" s="73"/>
      <c r="D156" s="156"/>
      <c r="E156" s="149"/>
      <c r="F156" s="105"/>
      <c r="G156" s="100"/>
      <c r="H156" s="375"/>
      <c r="I156" s="105">
        <f t="shared" si="27"/>
        <v>0</v>
      </c>
      <c r="J156" s="178"/>
      <c r="K156" s="225"/>
      <c r="L156" s="728"/>
      <c r="M156" s="224"/>
      <c r="N156" s="381"/>
      <c r="O156" s="401"/>
      <c r="P156" s="223"/>
      <c r="Q156" s="543"/>
      <c r="R156" s="742"/>
      <c r="S156" s="65">
        <f t="shared" si="25"/>
        <v>0</v>
      </c>
      <c r="T156" s="170" t="e">
        <f t="shared" si="26"/>
        <v>#DIV/0!</v>
      </c>
    </row>
    <row r="157" spans="1:20" s="152" customFormat="1" x14ac:dyDescent="0.25">
      <c r="A157" s="100"/>
      <c r="B157" s="75"/>
      <c r="C157" s="73"/>
      <c r="D157" s="156"/>
      <c r="E157" s="149"/>
      <c r="F157" s="105"/>
      <c r="G157" s="100"/>
      <c r="H157" s="375"/>
      <c r="I157" s="105">
        <f t="shared" si="27"/>
        <v>0</v>
      </c>
      <c r="J157" s="178"/>
      <c r="K157" s="225"/>
      <c r="L157" s="728"/>
      <c r="M157" s="224"/>
      <c r="N157" s="381"/>
      <c r="O157" s="401"/>
      <c r="P157" s="223"/>
      <c r="Q157" s="543"/>
      <c r="R157" s="742"/>
      <c r="S157" s="65">
        <f t="shared" si="25"/>
        <v>0</v>
      </c>
      <c r="T157" s="170" t="e">
        <f t="shared" si="26"/>
        <v>#DIV/0!</v>
      </c>
    </row>
    <row r="158" spans="1:20" s="152" customFormat="1" x14ac:dyDescent="0.25">
      <c r="A158" s="100"/>
      <c r="B158" s="75"/>
      <c r="C158" s="73"/>
      <c r="D158" s="156"/>
      <c r="E158" s="149"/>
      <c r="F158" s="105"/>
      <c r="G158" s="100"/>
      <c r="H158" s="375"/>
      <c r="I158" s="105">
        <f t="shared" si="27"/>
        <v>0</v>
      </c>
      <c r="J158" s="178"/>
      <c r="K158" s="225"/>
      <c r="L158" s="728"/>
      <c r="M158" s="224"/>
      <c r="N158" s="381"/>
      <c r="O158" s="401"/>
      <c r="P158" s="223"/>
      <c r="Q158" s="543"/>
      <c r="R158" s="742"/>
      <c r="S158" s="65">
        <f t="shared" si="25"/>
        <v>0</v>
      </c>
      <c r="T158" s="170" t="e">
        <f t="shared" si="26"/>
        <v>#DIV/0!</v>
      </c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375"/>
      <c r="I159" s="105">
        <f t="shared" si="27"/>
        <v>0</v>
      </c>
      <c r="J159" s="178"/>
      <c r="K159" s="225"/>
      <c r="L159" s="728"/>
      <c r="M159" s="224"/>
      <c r="N159" s="381"/>
      <c r="O159" s="401"/>
      <c r="P159" s="223"/>
      <c r="Q159" s="543"/>
      <c r="R159" s="742"/>
      <c r="S159" s="65">
        <f t="shared" si="25"/>
        <v>0</v>
      </c>
      <c r="T159" s="170" t="e">
        <f t="shared" si="26"/>
        <v>#DIV/0!</v>
      </c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375"/>
      <c r="I160" s="105">
        <f t="shared" si="27"/>
        <v>0</v>
      </c>
      <c r="J160" s="178"/>
      <c r="K160" s="225"/>
      <c r="L160" s="728"/>
      <c r="M160" s="224"/>
      <c r="N160" s="381"/>
      <c r="O160" s="401"/>
      <c r="P160" s="223"/>
      <c r="Q160" s="543"/>
      <c r="R160" s="742"/>
      <c r="S160" s="65">
        <f t="shared" si="25"/>
        <v>0</v>
      </c>
      <c r="T160" s="170" t="e">
        <f t="shared" si="26"/>
        <v>#DIV/0!</v>
      </c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375"/>
      <c r="I161" s="105">
        <f t="shared" si="27"/>
        <v>0</v>
      </c>
      <c r="J161" s="178"/>
      <c r="K161" s="225"/>
      <c r="L161" s="728"/>
      <c r="M161" s="224"/>
      <c r="N161" s="381"/>
      <c r="O161" s="401"/>
      <c r="P161" s="223"/>
      <c r="Q161" s="543"/>
      <c r="R161" s="742"/>
      <c r="S161" s="65">
        <f t="shared" si="25"/>
        <v>0</v>
      </c>
      <c r="T161" s="170" t="e">
        <f t="shared" si="26"/>
        <v>#DIV/0!</v>
      </c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375"/>
      <c r="I162" s="105">
        <f t="shared" si="27"/>
        <v>0</v>
      </c>
      <c r="J162" s="178"/>
      <c r="K162" s="225"/>
      <c r="L162" s="728"/>
      <c r="M162" s="224"/>
      <c r="N162" s="347"/>
      <c r="O162" s="401"/>
      <c r="P162" s="223"/>
      <c r="Q162" s="544"/>
      <c r="R162" s="743"/>
      <c r="S162" s="65">
        <f t="shared" si="25"/>
        <v>0</v>
      </c>
      <c r="T162" s="170" t="e">
        <f t="shared" si="26"/>
        <v>#DIV/0!</v>
      </c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375"/>
      <c r="I163" s="105">
        <f t="shared" si="27"/>
        <v>0</v>
      </c>
      <c r="J163" s="178"/>
      <c r="K163" s="225"/>
      <c r="L163" s="728"/>
      <c r="M163" s="224"/>
      <c r="N163" s="347"/>
      <c r="O163" s="401"/>
      <c r="P163" s="223"/>
      <c r="Q163" s="544"/>
      <c r="R163" s="743"/>
      <c r="S163" s="65"/>
      <c r="T163" s="65"/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375"/>
      <c r="I164" s="105">
        <f t="shared" si="27"/>
        <v>0</v>
      </c>
      <c r="J164" s="178"/>
      <c r="K164" s="225"/>
      <c r="L164" s="728"/>
      <c r="M164" s="224"/>
      <c r="N164" s="347"/>
      <c r="O164" s="401"/>
      <c r="P164" s="223"/>
      <c r="Q164" s="544"/>
      <c r="R164" s="743"/>
      <c r="S164" s="65"/>
      <c r="T164" s="65"/>
    </row>
    <row r="165" spans="1:20" s="152" customFormat="1" ht="15.75" thickBot="1" x14ac:dyDescent="0.3">
      <c r="A165" s="100"/>
      <c r="B165" s="75"/>
      <c r="C165" s="146"/>
      <c r="D165" s="146"/>
      <c r="E165" s="134"/>
      <c r="F165" s="460"/>
      <c r="G165" s="100"/>
      <c r="H165" s="375"/>
      <c r="I165" s="105">
        <f t="shared" si="27"/>
        <v>0</v>
      </c>
      <c r="J165" s="178"/>
      <c r="K165" s="108"/>
      <c r="L165" s="728"/>
      <c r="M165" s="71"/>
      <c r="N165" s="347"/>
      <c r="O165" s="127"/>
      <c r="P165" s="116"/>
      <c r="Q165" s="545"/>
      <c r="R165" s="744"/>
      <c r="S165" s="65">
        <f t="shared" ref="S165:S170" si="29">Q165+M165+K165</f>
        <v>0</v>
      </c>
      <c r="T165" s="65" t="e">
        <f t="shared" ref="T165:T173" si="30">S165/H165+0.1</f>
        <v>#DIV/0!</v>
      </c>
    </row>
    <row r="166" spans="1:20" s="152" customFormat="1" ht="15.75" hidden="1" thickBot="1" x14ac:dyDescent="0.3">
      <c r="A166" s="100"/>
      <c r="B166" s="75"/>
      <c r="C166" s="75"/>
      <c r="D166" s="146"/>
      <c r="E166" s="134"/>
      <c r="F166" s="460"/>
      <c r="G166" s="100"/>
      <c r="H166" s="375"/>
      <c r="I166" s="105">
        <f t="shared" si="27"/>
        <v>0</v>
      </c>
      <c r="J166" s="178"/>
      <c r="K166" s="108"/>
      <c r="L166" s="728"/>
      <c r="M166" s="71"/>
      <c r="N166" s="347"/>
      <c r="O166" s="127"/>
      <c r="P166" s="116"/>
      <c r="Q166" s="546"/>
      <c r="R166" s="745"/>
      <c r="S166" s="65">
        <f t="shared" si="29"/>
        <v>0</v>
      </c>
      <c r="T166" s="65" t="e">
        <f t="shared" si="30"/>
        <v>#DIV/0!</v>
      </c>
    </row>
    <row r="167" spans="1:20" s="152" customFormat="1" ht="15.75" hidden="1" thickBot="1" x14ac:dyDescent="0.3">
      <c r="A167" s="100"/>
      <c r="B167" s="75"/>
      <c r="C167" s="75"/>
      <c r="D167" s="146"/>
      <c r="E167" s="134"/>
      <c r="F167" s="460"/>
      <c r="G167" s="100"/>
      <c r="H167" s="375"/>
      <c r="I167" s="105">
        <f t="shared" si="27"/>
        <v>0</v>
      </c>
      <c r="J167" s="178"/>
      <c r="K167" s="108"/>
      <c r="L167" s="728"/>
      <c r="M167" s="71"/>
      <c r="N167" s="347"/>
      <c r="O167" s="127"/>
      <c r="P167" s="116"/>
      <c r="Q167" s="546"/>
      <c r="R167" s="745"/>
      <c r="S167" s="65">
        <f t="shared" si="29"/>
        <v>0</v>
      </c>
      <c r="T167" s="65" t="e">
        <f t="shared" si="30"/>
        <v>#DIV/0!</v>
      </c>
    </row>
    <row r="168" spans="1:20" s="152" customFormat="1" ht="15.75" hidden="1" thickBot="1" x14ac:dyDescent="0.3">
      <c r="A168" s="100"/>
      <c r="B168" s="75"/>
      <c r="C168" s="75"/>
      <c r="D168" s="146"/>
      <c r="E168" s="134"/>
      <c r="F168" s="460"/>
      <c r="G168" s="100"/>
      <c r="H168" s="375"/>
      <c r="I168" s="105">
        <f t="shared" si="27"/>
        <v>0</v>
      </c>
      <c r="J168" s="178"/>
      <c r="K168" s="108"/>
      <c r="L168" s="728"/>
      <c r="M168" s="71"/>
      <c r="N168" s="347"/>
      <c r="O168" s="127"/>
      <c r="P168" s="116"/>
      <c r="Q168" s="546"/>
      <c r="R168" s="746"/>
      <c r="S168" s="65">
        <f t="shared" si="29"/>
        <v>0</v>
      </c>
      <c r="T168" s="65" t="e">
        <f t="shared" si="30"/>
        <v>#DIV/0!</v>
      </c>
    </row>
    <row r="169" spans="1:20" s="152" customFormat="1" ht="15.75" hidden="1" thickBot="1" x14ac:dyDescent="0.3">
      <c r="A169" s="100"/>
      <c r="B169" s="75"/>
      <c r="C169" s="75"/>
      <c r="D169" s="146"/>
      <c r="E169" s="134"/>
      <c r="F169" s="460"/>
      <c r="G169" s="100"/>
      <c r="H169" s="375"/>
      <c r="I169" s="105">
        <f t="shared" si="27"/>
        <v>0</v>
      </c>
      <c r="J169" s="178"/>
      <c r="K169" s="108"/>
      <c r="L169" s="728"/>
      <c r="M169" s="71"/>
      <c r="N169" s="347"/>
      <c r="O169" s="127"/>
      <c r="P169" s="116"/>
      <c r="Q169" s="546"/>
      <c r="R169" s="746"/>
      <c r="S169" s="65">
        <f t="shared" si="29"/>
        <v>0</v>
      </c>
      <c r="T169" s="65" t="e">
        <f t="shared" si="30"/>
        <v>#DIV/0!</v>
      </c>
    </row>
    <row r="170" spans="1:20" s="152" customFormat="1" ht="15.75" hidden="1" thickBot="1" x14ac:dyDescent="0.3">
      <c r="A170" s="100"/>
      <c r="B170" s="75"/>
      <c r="C170" s="146"/>
      <c r="E170" s="134"/>
      <c r="F170" s="460"/>
      <c r="G170" s="100"/>
      <c r="H170" s="375"/>
      <c r="I170" s="105">
        <f t="shared" si="27"/>
        <v>0</v>
      </c>
      <c r="J170" s="178"/>
      <c r="K170" s="108"/>
      <c r="L170" s="728"/>
      <c r="M170" s="71"/>
      <c r="N170" s="347"/>
      <c r="O170" s="127"/>
      <c r="P170" s="116"/>
      <c r="Q170" s="405"/>
      <c r="R170" s="747"/>
      <c r="S170" s="65">
        <f t="shared" si="29"/>
        <v>0</v>
      </c>
      <c r="T170" s="65" t="e">
        <f t="shared" si="30"/>
        <v>#DIV/0!</v>
      </c>
    </row>
    <row r="171" spans="1:20" s="152" customFormat="1" ht="15.75" hidden="1" thickBot="1" x14ac:dyDescent="0.3">
      <c r="A171" s="100"/>
      <c r="B171" s="75"/>
      <c r="C171" s="146"/>
      <c r="D171" s="101"/>
      <c r="E171" s="134"/>
      <c r="F171" s="460"/>
      <c r="G171" s="100"/>
      <c r="H171" s="375"/>
      <c r="I171" s="105">
        <f t="shared" si="27"/>
        <v>0</v>
      </c>
      <c r="J171" s="178"/>
      <c r="K171" s="108"/>
      <c r="L171" s="728"/>
      <c r="M171" s="71"/>
      <c r="N171" s="347"/>
      <c r="O171" s="127"/>
      <c r="P171" s="116"/>
      <c r="Q171" s="405"/>
      <c r="R171" s="747"/>
      <c r="S171" s="65">
        <f t="shared" ref="S171:S176" si="31">Q171+M171+K171</f>
        <v>0</v>
      </c>
      <c r="T171" s="65" t="e">
        <f t="shared" si="30"/>
        <v>#DIV/0!</v>
      </c>
    </row>
    <row r="172" spans="1:20" s="152" customFormat="1" ht="15.75" hidden="1" thickBot="1" x14ac:dyDescent="0.3">
      <c r="A172" s="100"/>
      <c r="B172" s="75"/>
      <c r="C172" s="148"/>
      <c r="D172" s="101"/>
      <c r="E172" s="134"/>
      <c r="F172" s="460"/>
      <c r="G172" s="100"/>
      <c r="H172" s="375"/>
      <c r="I172" s="105">
        <f t="shared" si="27"/>
        <v>0</v>
      </c>
      <c r="J172" s="178"/>
      <c r="K172" s="108"/>
      <c r="L172" s="728"/>
      <c r="M172" s="71"/>
      <c r="N172" s="347"/>
      <c r="O172" s="127"/>
      <c r="P172" s="116"/>
      <c r="Q172" s="405"/>
      <c r="R172" s="747"/>
      <c r="S172" s="65">
        <f t="shared" si="31"/>
        <v>0</v>
      </c>
      <c r="T172" s="65" t="e">
        <f t="shared" si="30"/>
        <v>#DIV/0!</v>
      </c>
    </row>
    <row r="173" spans="1:20" s="152" customFormat="1" ht="15.75" hidden="1" thickBot="1" x14ac:dyDescent="0.3">
      <c r="A173" s="100"/>
      <c r="B173" s="75"/>
      <c r="C173" s="148"/>
      <c r="D173" s="101"/>
      <c r="E173" s="134"/>
      <c r="F173" s="460"/>
      <c r="G173" s="100"/>
      <c r="H173" s="375"/>
      <c r="I173" s="105">
        <f t="shared" si="27"/>
        <v>0</v>
      </c>
      <c r="J173" s="178"/>
      <c r="K173" s="108"/>
      <c r="L173" s="728"/>
      <c r="M173" s="71"/>
      <c r="N173" s="347"/>
      <c r="O173" s="127"/>
      <c r="P173" s="116"/>
      <c r="Q173" s="405"/>
      <c r="R173" s="747"/>
      <c r="S173" s="65">
        <f t="shared" si="31"/>
        <v>0</v>
      </c>
      <c r="T173" s="65" t="e">
        <f t="shared" si="30"/>
        <v>#DIV/0!</v>
      </c>
    </row>
    <row r="174" spans="1:20" s="152" customFormat="1" ht="15.75" hidden="1" thickBot="1" x14ac:dyDescent="0.3">
      <c r="A174" s="100"/>
      <c r="B174" s="75"/>
      <c r="C174" s="148"/>
      <c r="D174" s="101"/>
      <c r="E174" s="134"/>
      <c r="F174" s="460"/>
      <c r="G174" s="100"/>
      <c r="H174" s="375"/>
      <c r="I174" s="105">
        <f t="shared" si="27"/>
        <v>0</v>
      </c>
      <c r="J174" s="178"/>
      <c r="K174" s="108"/>
      <c r="L174" s="728"/>
      <c r="M174" s="71"/>
      <c r="N174" s="347"/>
      <c r="O174" s="127"/>
      <c r="P174" s="116"/>
      <c r="Q174" s="405"/>
      <c r="R174" s="747"/>
      <c r="S174" s="65">
        <f t="shared" si="31"/>
        <v>0</v>
      </c>
      <c r="T174" s="65" t="e">
        <f>S174/H174</f>
        <v>#DIV/0!</v>
      </c>
    </row>
    <row r="175" spans="1:20" s="152" customFormat="1" ht="15.75" hidden="1" thickBot="1" x14ac:dyDescent="0.3">
      <c r="A175" s="100"/>
      <c r="B175" s="75"/>
      <c r="C175" s="148"/>
      <c r="D175" s="153"/>
      <c r="E175" s="134"/>
      <c r="F175" s="460"/>
      <c r="G175" s="100"/>
      <c r="H175" s="375"/>
      <c r="I175" s="105">
        <f t="shared" si="27"/>
        <v>0</v>
      </c>
      <c r="J175" s="178"/>
      <c r="K175" s="108"/>
      <c r="L175" s="728"/>
      <c r="M175" s="71"/>
      <c r="N175" s="347"/>
      <c r="O175" s="127"/>
      <c r="P175" s="116"/>
      <c r="Q175" s="547"/>
      <c r="R175" s="744"/>
      <c r="S175" s="65">
        <f t="shared" si="31"/>
        <v>0</v>
      </c>
      <c r="T175" s="65" t="e">
        <f>S175/H175</f>
        <v>#DIV/0!</v>
      </c>
    </row>
    <row r="176" spans="1:20" s="152" customFormat="1" ht="15.75" hidden="1" thickBot="1" x14ac:dyDescent="0.3">
      <c r="A176" s="100"/>
      <c r="B176" s="75"/>
      <c r="C176" s="148"/>
      <c r="D176" s="153"/>
      <c r="E176" s="134"/>
      <c r="F176" s="460"/>
      <c r="G176" s="100"/>
      <c r="H176" s="375"/>
      <c r="I176" s="105">
        <f t="shared" si="27"/>
        <v>0</v>
      </c>
      <c r="J176" s="178"/>
      <c r="K176" s="108"/>
      <c r="L176" s="728"/>
      <c r="M176" s="71"/>
      <c r="N176" s="347"/>
      <c r="O176" s="127"/>
      <c r="P176" s="116"/>
      <c r="Q176" s="547"/>
      <c r="R176" s="748"/>
      <c r="S176" s="65">
        <f t="shared" si="31"/>
        <v>0</v>
      </c>
      <c r="T176" s="65" t="e">
        <f>S176/H176</f>
        <v>#DIV/0!</v>
      </c>
    </row>
    <row r="177" spans="1:20" s="152" customFormat="1" ht="15.75" hidden="1" thickBot="1" x14ac:dyDescent="0.3">
      <c r="A177" s="100"/>
      <c r="B177" s="75"/>
      <c r="C177" s="95"/>
      <c r="D177" s="153"/>
      <c r="E177" s="467"/>
      <c r="F177" s="460"/>
      <c r="G177" s="100"/>
      <c r="H177" s="375"/>
      <c r="I177" s="105">
        <f t="shared" si="27"/>
        <v>0</v>
      </c>
      <c r="J177" s="129"/>
      <c r="K177" s="162"/>
      <c r="L177" s="729"/>
      <c r="M177" s="71"/>
      <c r="N177" s="348"/>
      <c r="O177" s="127"/>
      <c r="P177" s="95"/>
      <c r="Q177" s="405"/>
      <c r="R177" s="749"/>
      <c r="S177" s="65">
        <f>Q177+M177+K177</f>
        <v>0</v>
      </c>
      <c r="T177" s="65" t="e">
        <f>S177/H177+0.1</f>
        <v>#DIV/0!</v>
      </c>
    </row>
    <row r="178" spans="1:20" s="152" customFormat="1" ht="29.25" customHeight="1" thickTop="1" thickBot="1" x14ac:dyDescent="0.3">
      <c r="A178" s="100"/>
      <c r="B178" s="75"/>
      <c r="C178" s="95"/>
      <c r="D178" s="163"/>
      <c r="E178" s="134"/>
      <c r="F178" s="464" t="s">
        <v>31</v>
      </c>
      <c r="G178" s="72">
        <f>SUM(G5:G177)</f>
        <v>4877</v>
      </c>
      <c r="H178" s="376">
        <f>SUM(H3:H177)</f>
        <v>839671.58220000018</v>
      </c>
      <c r="I178" s="482">
        <f>PIERNA!I37</f>
        <v>0</v>
      </c>
      <c r="J178" s="46"/>
      <c r="K178" s="164">
        <f>SUM(K5:K177)</f>
        <v>348252</v>
      </c>
      <c r="L178" s="730"/>
      <c r="M178" s="164">
        <f>SUM(M5:M177)</f>
        <v>1076480</v>
      </c>
      <c r="N178" s="349"/>
      <c r="O178" s="402"/>
      <c r="P178" s="117"/>
      <c r="Q178" s="548">
        <f>SUM(Q5:Q177)</f>
        <v>40171157.046340004</v>
      </c>
      <c r="R178" s="750"/>
      <c r="S178" s="167">
        <f>Q178+M178+K178</f>
        <v>41595889.046340004</v>
      </c>
      <c r="T178" s="65"/>
    </row>
    <row r="179" spans="1:20" s="152" customFormat="1" ht="15.75" thickTop="1" x14ac:dyDescent="0.25">
      <c r="B179" s="75"/>
      <c r="C179" s="75"/>
      <c r="D179" s="100"/>
      <c r="E179" s="134"/>
      <c r="F179" s="160"/>
      <c r="G179" s="100"/>
      <c r="H179" s="160"/>
      <c r="I179" s="75"/>
      <c r="J179" s="129"/>
      <c r="L179" s="731"/>
      <c r="N179" s="172"/>
      <c r="O179" s="161"/>
      <c r="P179" s="95"/>
      <c r="Q179" s="405"/>
      <c r="R179" s="494" t="s">
        <v>42</v>
      </c>
    </row>
  </sheetData>
  <sortState ref="B98:O105">
    <sortCondition ref="E98:E105"/>
  </sortState>
  <mergeCells count="30">
    <mergeCell ref="B134:B137"/>
    <mergeCell ref="E134:E137"/>
    <mergeCell ref="O134:O137"/>
    <mergeCell ref="R112:R114"/>
    <mergeCell ref="B132:B133"/>
    <mergeCell ref="D132:D133"/>
    <mergeCell ref="E132:E133"/>
    <mergeCell ref="O132:O133"/>
    <mergeCell ref="R132:R133"/>
    <mergeCell ref="B121:B124"/>
    <mergeCell ref="E121:E124"/>
    <mergeCell ref="O121:O124"/>
    <mergeCell ref="D115:D116"/>
    <mergeCell ref="B112:B114"/>
    <mergeCell ref="D112:D114"/>
    <mergeCell ref="E112:E114"/>
    <mergeCell ref="B100:B102"/>
    <mergeCell ref="E100:E102"/>
    <mergeCell ref="O100:O102"/>
    <mergeCell ref="O112:O114"/>
    <mergeCell ref="R100:R102"/>
    <mergeCell ref="R106:R107"/>
    <mergeCell ref="B106:B107"/>
    <mergeCell ref="E106:E107"/>
    <mergeCell ref="O106:O107"/>
    <mergeCell ref="R134:R137"/>
    <mergeCell ref="R121:R124"/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58"/>
      <c r="B1" s="1058"/>
      <c r="C1" s="1058"/>
      <c r="D1" s="1058"/>
      <c r="E1" s="1058"/>
      <c r="F1" s="1058"/>
      <c r="G1" s="105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044"/>
      <c r="B5" s="1066" t="s">
        <v>78</v>
      </c>
      <c r="C5" s="231"/>
      <c r="D5" s="134"/>
      <c r="E5" s="78"/>
      <c r="F5" s="62"/>
      <c r="G5" s="5"/>
    </row>
    <row r="6" spans="1:9" x14ac:dyDescent="0.25">
      <c r="A6" s="1044"/>
      <c r="B6" s="1066"/>
      <c r="C6" s="403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1044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5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6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6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6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6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6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6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6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6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6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6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6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4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4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4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4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4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4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4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4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4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4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4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4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4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56" t="s">
        <v>11</v>
      </c>
      <c r="D40" s="1057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40"/>
  <sheetViews>
    <sheetView workbookViewId="0">
      <selection activeCell="F11" sqref="F11:I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58" t="s">
        <v>306</v>
      </c>
      <c r="B1" s="1058"/>
      <c r="C1" s="1058"/>
      <c r="D1" s="1058"/>
      <c r="E1" s="1058"/>
      <c r="F1" s="1058"/>
      <c r="G1" s="1058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044" t="s">
        <v>461</v>
      </c>
      <c r="B5" s="1067" t="s">
        <v>93</v>
      </c>
      <c r="C5" s="134"/>
      <c r="D5" s="134">
        <v>44826</v>
      </c>
      <c r="E5" s="78">
        <v>916.07</v>
      </c>
      <c r="F5" s="62">
        <v>28</v>
      </c>
      <c r="G5" s="5"/>
      <c r="H5" t="s">
        <v>41</v>
      </c>
    </row>
    <row r="6" spans="1:9" ht="15.75" x14ac:dyDescent="0.25">
      <c r="A6" s="1044"/>
      <c r="B6" s="1067"/>
      <c r="C6" s="483"/>
      <c r="D6" s="230"/>
      <c r="E6" s="78"/>
      <c r="F6" s="62"/>
      <c r="G6" s="47"/>
      <c r="H6" s="7">
        <f>E6-G6+E7+E5-G5+E4+E8</f>
        <v>916.07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>
        <v>28</v>
      </c>
      <c r="D10" s="69">
        <v>916.59</v>
      </c>
      <c r="E10" s="203">
        <v>44827</v>
      </c>
      <c r="F10" s="69">
        <f t="shared" ref="F10:F33" si="0">D10</f>
        <v>916.59</v>
      </c>
      <c r="G10" s="70" t="s">
        <v>704</v>
      </c>
      <c r="H10" s="71">
        <v>136</v>
      </c>
      <c r="I10" s="206">
        <f>E4+E5+E6+E7-F10+E8</f>
        <v>-0.51999999999998181</v>
      </c>
    </row>
    <row r="11" spans="1:9" x14ac:dyDescent="0.25">
      <c r="A11" s="195"/>
      <c r="B11" s="236">
        <f>B10-C11</f>
        <v>0</v>
      </c>
      <c r="C11" s="15"/>
      <c r="D11" s="69"/>
      <c r="E11" s="203"/>
      <c r="F11" s="921">
        <f t="shared" si="0"/>
        <v>0</v>
      </c>
      <c r="G11" s="909"/>
      <c r="H11" s="910"/>
      <c r="I11" s="904">
        <f>I10-F11</f>
        <v>-0.51999999999998181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203"/>
      <c r="F12" s="921">
        <f t="shared" si="0"/>
        <v>0</v>
      </c>
      <c r="G12" s="909"/>
      <c r="H12" s="910"/>
      <c r="I12" s="904">
        <f t="shared" ref="I12:I30" si="2">I11-F12</f>
        <v>-0.51999999999998181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203"/>
      <c r="F13" s="921">
        <f t="shared" si="0"/>
        <v>0</v>
      </c>
      <c r="G13" s="909"/>
      <c r="H13" s="910"/>
      <c r="I13" s="904">
        <f t="shared" si="2"/>
        <v>-0.51999999999998181</v>
      </c>
    </row>
    <row r="14" spans="1:9" x14ac:dyDescent="0.25">
      <c r="A14" s="73"/>
      <c r="B14" s="236">
        <f t="shared" si="1"/>
        <v>0</v>
      </c>
      <c r="C14" s="15"/>
      <c r="D14" s="69"/>
      <c r="E14" s="203"/>
      <c r="F14" s="69">
        <f t="shared" si="0"/>
        <v>0</v>
      </c>
      <c r="G14" s="70"/>
      <c r="H14" s="71"/>
      <c r="I14" s="206">
        <f t="shared" si="2"/>
        <v>-0.51999999999998181</v>
      </c>
    </row>
    <row r="15" spans="1:9" x14ac:dyDescent="0.25">
      <c r="A15" s="73"/>
      <c r="B15" s="236">
        <f t="shared" si="1"/>
        <v>0</v>
      </c>
      <c r="C15" s="15"/>
      <c r="D15" s="69"/>
      <c r="E15" s="203"/>
      <c r="F15" s="69">
        <f t="shared" si="0"/>
        <v>0</v>
      </c>
      <c r="G15" s="70"/>
      <c r="H15" s="71"/>
      <c r="I15" s="206">
        <f t="shared" si="2"/>
        <v>-0.51999999999998181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-0.51999999999998181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-0.51999999999998181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-0.51999999999998181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-0.51999999999998181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-0.51999999999998181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-0.51999999999998181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-0.51999999999998181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-0.51999999999998181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-0.51999999999998181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-0.51999999999998181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-0.51999999999998181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-0.51999999999998181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-0.51999999999998181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-0.51999999999998181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-0.51999999999998181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28</v>
      </c>
      <c r="D35" s="6">
        <f>SUM(D10:D34)</f>
        <v>916.59</v>
      </c>
      <c r="F35" s="6">
        <f>SUM(F10:F34)</f>
        <v>916.59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56" t="s">
        <v>11</v>
      </c>
      <c r="D40" s="1057"/>
      <c r="E40" s="57">
        <f>E4+E5+E6+E7-F35</f>
        <v>-0.51999999999998181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2" sqref="A2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97"/>
  </cols>
  <sheetData>
    <row r="1" spans="1:9" ht="40.5" x14ac:dyDescent="0.55000000000000004">
      <c r="A1" s="1054" t="s">
        <v>282</v>
      </c>
      <c r="B1" s="1054"/>
      <c r="C1" s="1054"/>
      <c r="D1" s="1054"/>
      <c r="E1" s="1054"/>
      <c r="F1" s="1054"/>
      <c r="G1" s="1054"/>
      <c r="H1" s="11">
        <v>1</v>
      </c>
      <c r="I1" s="59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98"/>
    </row>
    <row r="4" spans="1:9" ht="15.75" thickTop="1" x14ac:dyDescent="0.25">
      <c r="A4" s="12"/>
      <c r="B4" s="1068" t="s">
        <v>216</v>
      </c>
      <c r="C4" s="12"/>
      <c r="D4" s="73"/>
      <c r="E4" s="59"/>
      <c r="F4" s="62"/>
      <c r="G4" s="155"/>
      <c r="H4" s="155"/>
      <c r="I4" s="598"/>
    </row>
    <row r="5" spans="1:9" ht="15" customHeight="1" x14ac:dyDescent="0.25">
      <c r="A5" s="1052" t="s">
        <v>105</v>
      </c>
      <c r="B5" s="1069"/>
      <c r="C5" s="235">
        <v>95</v>
      </c>
      <c r="D5" s="134">
        <v>44748</v>
      </c>
      <c r="E5" s="78">
        <v>515.20000000000005</v>
      </c>
      <c r="F5" s="62">
        <v>21</v>
      </c>
      <c r="G5" s="5"/>
      <c r="H5" t="s">
        <v>41</v>
      </c>
    </row>
    <row r="6" spans="1:9" ht="15.75" x14ac:dyDescent="0.25">
      <c r="A6" s="1052"/>
      <c r="B6" s="1069"/>
      <c r="C6" s="483"/>
      <c r="D6" s="230"/>
      <c r="E6" s="78"/>
      <c r="F6" s="62"/>
      <c r="G6" s="47">
        <f>F35</f>
        <v>517.05999999999995</v>
      </c>
      <c r="H6" s="7">
        <f>E6-G6+E7+E5-G5+E4+E8</f>
        <v>-1.8599999999999</v>
      </c>
      <c r="I6" s="599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19</v>
      </c>
      <c r="C10" s="15">
        <v>2</v>
      </c>
      <c r="D10" s="69">
        <v>50.19</v>
      </c>
      <c r="E10" s="203">
        <v>44785</v>
      </c>
      <c r="F10" s="69">
        <f t="shared" ref="F10:F26" si="0">D10</f>
        <v>50.19</v>
      </c>
      <c r="G10" s="70" t="s">
        <v>217</v>
      </c>
      <c r="H10" s="71">
        <v>92</v>
      </c>
      <c r="I10" s="60">
        <f>E4+E5+E6+E7-F10+E8</f>
        <v>465.01000000000005</v>
      </c>
    </row>
    <row r="11" spans="1:9" x14ac:dyDescent="0.25">
      <c r="A11" s="195"/>
      <c r="B11" s="236">
        <f>B10-C11</f>
        <v>17</v>
      </c>
      <c r="C11" s="15">
        <v>2</v>
      </c>
      <c r="D11" s="69">
        <v>49.08</v>
      </c>
      <c r="E11" s="203">
        <v>44795</v>
      </c>
      <c r="F11" s="69">
        <f t="shared" si="0"/>
        <v>49.08</v>
      </c>
      <c r="G11" s="70" t="s">
        <v>250</v>
      </c>
      <c r="H11" s="71">
        <v>92</v>
      </c>
      <c r="I11" s="60">
        <f>I10-F11</f>
        <v>415.93000000000006</v>
      </c>
    </row>
    <row r="12" spans="1:9" x14ac:dyDescent="0.25">
      <c r="A12" s="183"/>
      <c r="B12" s="236">
        <f t="shared" ref="B12:B28" si="1">B11-C12</f>
        <v>13</v>
      </c>
      <c r="C12" s="15">
        <v>4</v>
      </c>
      <c r="D12" s="694">
        <v>101</v>
      </c>
      <c r="E12" s="695">
        <v>44804</v>
      </c>
      <c r="F12" s="694">
        <f t="shared" si="0"/>
        <v>101</v>
      </c>
      <c r="G12" s="696" t="s">
        <v>519</v>
      </c>
      <c r="H12" s="388">
        <v>96</v>
      </c>
      <c r="I12" s="60">
        <f t="shared" ref="I12:I30" si="2">I11-F12</f>
        <v>314.93000000000006</v>
      </c>
    </row>
    <row r="13" spans="1:9" x14ac:dyDescent="0.25">
      <c r="A13" s="82" t="s">
        <v>33</v>
      </c>
      <c r="B13" s="236">
        <f t="shared" si="1"/>
        <v>12</v>
      </c>
      <c r="C13" s="15">
        <v>1</v>
      </c>
      <c r="D13" s="694">
        <v>24.01</v>
      </c>
      <c r="E13" s="695">
        <v>44804</v>
      </c>
      <c r="F13" s="694">
        <f t="shared" si="0"/>
        <v>24.01</v>
      </c>
      <c r="G13" s="696" t="s">
        <v>520</v>
      </c>
      <c r="H13" s="388">
        <v>96</v>
      </c>
      <c r="I13" s="60">
        <f t="shared" si="2"/>
        <v>290.92000000000007</v>
      </c>
    </row>
    <row r="14" spans="1:9" x14ac:dyDescent="0.25">
      <c r="A14" s="73"/>
      <c r="B14" s="236">
        <f t="shared" si="1"/>
        <v>10</v>
      </c>
      <c r="C14" s="15">
        <v>2</v>
      </c>
      <c r="D14" s="694">
        <v>50.95</v>
      </c>
      <c r="E14" s="695">
        <v>44805</v>
      </c>
      <c r="F14" s="694">
        <f t="shared" si="0"/>
        <v>50.95</v>
      </c>
      <c r="G14" s="696" t="s">
        <v>530</v>
      </c>
      <c r="H14" s="388">
        <v>96</v>
      </c>
      <c r="I14" s="60">
        <f t="shared" si="2"/>
        <v>239.97000000000008</v>
      </c>
    </row>
    <row r="15" spans="1:9" x14ac:dyDescent="0.25">
      <c r="A15" s="73"/>
      <c r="B15" s="236">
        <f t="shared" si="1"/>
        <v>7</v>
      </c>
      <c r="C15" s="15">
        <v>3</v>
      </c>
      <c r="D15" s="694">
        <v>69.11</v>
      </c>
      <c r="E15" s="695">
        <v>44813</v>
      </c>
      <c r="F15" s="694">
        <f t="shared" si="0"/>
        <v>69.11</v>
      </c>
      <c r="G15" s="696" t="s">
        <v>587</v>
      </c>
      <c r="H15" s="388">
        <v>96</v>
      </c>
      <c r="I15" s="60">
        <f t="shared" si="2"/>
        <v>170.86000000000007</v>
      </c>
    </row>
    <row r="16" spans="1:9" x14ac:dyDescent="0.25">
      <c r="B16" s="236">
        <f t="shared" si="1"/>
        <v>5</v>
      </c>
      <c r="C16" s="15">
        <v>2</v>
      </c>
      <c r="D16" s="694">
        <v>49.11</v>
      </c>
      <c r="E16" s="695">
        <v>44814</v>
      </c>
      <c r="F16" s="694">
        <f t="shared" si="0"/>
        <v>49.11</v>
      </c>
      <c r="G16" s="696" t="s">
        <v>594</v>
      </c>
      <c r="H16" s="388">
        <v>96</v>
      </c>
      <c r="I16" s="60">
        <f t="shared" si="2"/>
        <v>121.75000000000007</v>
      </c>
    </row>
    <row r="17" spans="1:9" x14ac:dyDescent="0.25">
      <c r="B17" s="236">
        <f t="shared" si="1"/>
        <v>3</v>
      </c>
      <c r="C17" s="15">
        <v>2</v>
      </c>
      <c r="D17" s="694">
        <v>48.47</v>
      </c>
      <c r="E17" s="695">
        <v>44816</v>
      </c>
      <c r="F17" s="694">
        <f t="shared" si="0"/>
        <v>48.47</v>
      </c>
      <c r="G17" s="696" t="s">
        <v>609</v>
      </c>
      <c r="H17" s="388">
        <v>96</v>
      </c>
      <c r="I17" s="60">
        <f t="shared" si="2"/>
        <v>73.280000000000072</v>
      </c>
    </row>
    <row r="18" spans="1:9" x14ac:dyDescent="0.25">
      <c r="A18" s="122"/>
      <c r="B18" s="236">
        <f t="shared" si="1"/>
        <v>2</v>
      </c>
      <c r="C18" s="15">
        <v>1</v>
      </c>
      <c r="D18" s="694">
        <v>24.69</v>
      </c>
      <c r="E18" s="695">
        <v>44818</v>
      </c>
      <c r="F18" s="694">
        <f t="shared" si="0"/>
        <v>24.69</v>
      </c>
      <c r="G18" s="696" t="s">
        <v>633</v>
      </c>
      <c r="H18" s="388">
        <v>96</v>
      </c>
      <c r="I18" s="60">
        <f t="shared" si="2"/>
        <v>48.590000000000074</v>
      </c>
    </row>
    <row r="19" spans="1:9" x14ac:dyDescent="0.25">
      <c r="A19" s="122"/>
      <c r="B19" s="236">
        <f t="shared" si="1"/>
        <v>1</v>
      </c>
      <c r="C19" s="15">
        <v>1</v>
      </c>
      <c r="D19" s="694">
        <v>25.04</v>
      </c>
      <c r="E19" s="695">
        <v>44818</v>
      </c>
      <c r="F19" s="694">
        <f t="shared" si="0"/>
        <v>25.04</v>
      </c>
      <c r="G19" s="696" t="s">
        <v>636</v>
      </c>
      <c r="H19" s="388">
        <v>96</v>
      </c>
      <c r="I19" s="60">
        <f t="shared" si="2"/>
        <v>23.550000000000075</v>
      </c>
    </row>
    <row r="20" spans="1:9" x14ac:dyDescent="0.25">
      <c r="A20" s="122"/>
      <c r="B20" s="236">
        <f t="shared" si="1"/>
        <v>0</v>
      </c>
      <c r="C20" s="15">
        <v>1</v>
      </c>
      <c r="D20" s="694">
        <v>25.41</v>
      </c>
      <c r="E20" s="695">
        <v>44819</v>
      </c>
      <c r="F20" s="694">
        <f t="shared" si="0"/>
        <v>25.41</v>
      </c>
      <c r="G20" s="696" t="s">
        <v>641</v>
      </c>
      <c r="H20" s="388">
        <v>96</v>
      </c>
      <c r="I20" s="60">
        <f t="shared" si="2"/>
        <v>-1.8599999999999248</v>
      </c>
    </row>
    <row r="21" spans="1:9" x14ac:dyDescent="0.25">
      <c r="A21" s="122"/>
      <c r="B21" s="236">
        <f t="shared" si="1"/>
        <v>0</v>
      </c>
      <c r="C21" s="15"/>
      <c r="D21" s="694"/>
      <c r="E21" s="695"/>
      <c r="F21" s="911">
        <f t="shared" si="0"/>
        <v>0</v>
      </c>
      <c r="G21" s="893"/>
      <c r="H21" s="892"/>
      <c r="I21" s="898">
        <f t="shared" si="2"/>
        <v>-1.8599999999999248</v>
      </c>
    </row>
    <row r="22" spans="1:9" x14ac:dyDescent="0.25">
      <c r="A22" s="122"/>
      <c r="B22" s="236">
        <f t="shared" si="1"/>
        <v>0</v>
      </c>
      <c r="C22" s="15"/>
      <c r="D22" s="694"/>
      <c r="E22" s="695"/>
      <c r="F22" s="911">
        <f t="shared" si="0"/>
        <v>0</v>
      </c>
      <c r="G22" s="893"/>
      <c r="H22" s="892"/>
      <c r="I22" s="898">
        <f t="shared" si="2"/>
        <v>-1.8599999999999248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921">
        <f t="shared" si="0"/>
        <v>0</v>
      </c>
      <c r="G23" s="909"/>
      <c r="H23" s="910"/>
      <c r="I23" s="898">
        <f t="shared" si="2"/>
        <v>-1.8599999999999248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921">
        <f t="shared" si="0"/>
        <v>0</v>
      </c>
      <c r="G24" s="909"/>
      <c r="H24" s="910"/>
      <c r="I24" s="898">
        <f t="shared" si="2"/>
        <v>-1.8599999999999248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60">
        <f t="shared" si="2"/>
        <v>-1.8599999999999248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60">
        <f t="shared" si="2"/>
        <v>-1.8599999999999248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60">
        <f t="shared" si="2"/>
        <v>-1.8599999999999248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ref="F28:F33" si="3">D28</f>
        <v>0</v>
      </c>
      <c r="G28" s="70"/>
      <c r="H28" s="71"/>
      <c r="I28" s="60">
        <f t="shared" si="2"/>
        <v>-1.8599999999999248</v>
      </c>
    </row>
    <row r="29" spans="1:9" x14ac:dyDescent="0.25">
      <c r="A29" s="122"/>
      <c r="B29" s="236"/>
      <c r="C29" s="15"/>
      <c r="D29" s="69"/>
      <c r="E29" s="203"/>
      <c r="F29" s="69">
        <f t="shared" si="3"/>
        <v>0</v>
      </c>
      <c r="G29" s="70"/>
      <c r="H29" s="71"/>
      <c r="I29" s="60">
        <f t="shared" si="2"/>
        <v>-1.8599999999999248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-1.8599999999999248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21</v>
      </c>
      <c r="D35" s="6">
        <f>SUM(D10:D34)</f>
        <v>517.05999999999995</v>
      </c>
      <c r="F35" s="6">
        <f>SUM(F10:F34)</f>
        <v>517.05999999999995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56" t="s">
        <v>11</v>
      </c>
      <c r="D40" s="1057"/>
      <c r="E40" s="57">
        <f>E4+E5+E6+E7-F35</f>
        <v>-1.8599999999999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58" t="s">
        <v>463</v>
      </c>
      <c r="B1" s="1058"/>
      <c r="C1" s="1058"/>
      <c r="D1" s="1058"/>
      <c r="E1" s="1058"/>
      <c r="F1" s="1058"/>
      <c r="G1" s="1058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052" t="s">
        <v>464</v>
      </c>
      <c r="B5" s="1070" t="s">
        <v>465</v>
      </c>
      <c r="C5" s="235"/>
      <c r="D5" s="134">
        <v>44826</v>
      </c>
      <c r="E5" s="78">
        <v>1029.05</v>
      </c>
      <c r="F5" s="62">
        <v>41</v>
      </c>
      <c r="G5" s="5"/>
      <c r="H5" t="s">
        <v>41</v>
      </c>
    </row>
    <row r="6" spans="1:9" ht="15.75" x14ac:dyDescent="0.25">
      <c r="A6" s="1052"/>
      <c r="B6" s="1070"/>
      <c r="C6" s="483" t="s">
        <v>36</v>
      </c>
      <c r="D6" s="230"/>
      <c r="E6" s="78"/>
      <c r="F6" s="62"/>
      <c r="G6" s="47">
        <f>F35</f>
        <v>1029.05</v>
      </c>
      <c r="H6" s="7">
        <f>E6-G6+E7+E5-G5+E4+E8</f>
        <v>0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>
        <v>41</v>
      </c>
      <c r="D10" s="69">
        <v>1029.05</v>
      </c>
      <c r="E10" s="203">
        <v>44827</v>
      </c>
      <c r="F10" s="69">
        <f t="shared" ref="F10:F33" si="0">D10</f>
        <v>1029.05</v>
      </c>
      <c r="G10" s="70" t="s">
        <v>704</v>
      </c>
      <c r="H10" s="71">
        <v>142</v>
      </c>
      <c r="I10" s="206">
        <f>E4+E5+E6+E7-F10+E8</f>
        <v>0</v>
      </c>
    </row>
    <row r="11" spans="1:9" x14ac:dyDescent="0.25">
      <c r="A11" s="195"/>
      <c r="B11" s="236">
        <f>B10-C11</f>
        <v>0</v>
      </c>
      <c r="C11" s="15"/>
      <c r="D11" s="69"/>
      <c r="E11" s="203"/>
      <c r="F11" s="921">
        <f t="shared" si="0"/>
        <v>0</v>
      </c>
      <c r="G11" s="909"/>
      <c r="H11" s="910"/>
      <c r="I11" s="904">
        <f>I10-F11</f>
        <v>0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203"/>
      <c r="F12" s="921">
        <f t="shared" si="0"/>
        <v>0</v>
      </c>
      <c r="G12" s="909"/>
      <c r="H12" s="910"/>
      <c r="I12" s="904">
        <f t="shared" ref="I12:I30" si="2">I11-F12</f>
        <v>0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203"/>
      <c r="F13" s="921">
        <f t="shared" si="0"/>
        <v>0</v>
      </c>
      <c r="G13" s="909"/>
      <c r="H13" s="910"/>
      <c r="I13" s="904">
        <f t="shared" si="2"/>
        <v>0</v>
      </c>
    </row>
    <row r="14" spans="1:9" x14ac:dyDescent="0.25">
      <c r="A14" s="73"/>
      <c r="B14" s="236">
        <f t="shared" si="1"/>
        <v>0</v>
      </c>
      <c r="C14" s="15"/>
      <c r="D14" s="69"/>
      <c r="E14" s="203"/>
      <c r="F14" s="69">
        <f t="shared" si="0"/>
        <v>0</v>
      </c>
      <c r="G14" s="70"/>
      <c r="H14" s="71"/>
      <c r="I14" s="206">
        <f t="shared" si="2"/>
        <v>0</v>
      </c>
    </row>
    <row r="15" spans="1:9" x14ac:dyDescent="0.25">
      <c r="A15" s="73"/>
      <c r="B15" s="236">
        <f t="shared" si="1"/>
        <v>0</v>
      </c>
      <c r="C15" s="15"/>
      <c r="D15" s="69"/>
      <c r="E15" s="203"/>
      <c r="F15" s="69">
        <f t="shared" si="0"/>
        <v>0</v>
      </c>
      <c r="G15" s="70"/>
      <c r="H15" s="71"/>
      <c r="I15" s="206">
        <f t="shared" si="2"/>
        <v>0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0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0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41</v>
      </c>
      <c r="D35" s="6">
        <f>SUM(D10:D34)</f>
        <v>1029.05</v>
      </c>
      <c r="F35" s="6">
        <f>SUM(F10:F34)</f>
        <v>1029.05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56" t="s">
        <v>11</v>
      </c>
      <c r="D40" s="105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0"/>
  <sheetViews>
    <sheetView topLeftCell="S1" workbookViewId="0">
      <pane ySplit="7" topLeftCell="A8" activePane="bottomLeft" state="frozen"/>
      <selection pane="bottomLeft" activeCell="AC21" sqref="AC2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1054" t="s">
        <v>283</v>
      </c>
      <c r="B1" s="1054"/>
      <c r="C1" s="1054"/>
      <c r="D1" s="1054"/>
      <c r="E1" s="1054"/>
      <c r="F1" s="1054"/>
      <c r="G1" s="1054"/>
      <c r="H1" s="11">
        <v>1</v>
      </c>
      <c r="K1" s="1058" t="s">
        <v>307</v>
      </c>
      <c r="L1" s="1058"/>
      <c r="M1" s="1058"/>
      <c r="N1" s="1058"/>
      <c r="O1" s="1058"/>
      <c r="P1" s="1058"/>
      <c r="Q1" s="1058"/>
      <c r="R1" s="11">
        <v>2</v>
      </c>
      <c r="U1" s="1058" t="s">
        <v>307</v>
      </c>
      <c r="V1" s="1058"/>
      <c r="W1" s="1058"/>
      <c r="X1" s="1058"/>
      <c r="Y1" s="1058"/>
      <c r="Z1" s="1058"/>
      <c r="AA1" s="1058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49"/>
      <c r="E4" s="86"/>
      <c r="F4" s="73"/>
      <c r="G4" s="38"/>
      <c r="M4" s="128"/>
      <c r="N4" s="149"/>
      <c r="O4" s="86"/>
      <c r="P4" s="73"/>
      <c r="Q4" s="38"/>
      <c r="W4" s="128"/>
      <c r="X4" s="149"/>
      <c r="Y4" s="86"/>
      <c r="Z4" s="73"/>
      <c r="AA4" s="38"/>
    </row>
    <row r="5" spans="1:29" ht="15" customHeight="1" x14ac:dyDescent="0.25">
      <c r="A5" s="1044" t="s">
        <v>82</v>
      </c>
      <c r="B5" s="1070" t="s">
        <v>83</v>
      </c>
      <c r="C5" s="511">
        <v>45</v>
      </c>
      <c r="D5" s="612">
        <v>44770</v>
      </c>
      <c r="E5" s="512">
        <v>650.54</v>
      </c>
      <c r="F5" s="513">
        <v>35</v>
      </c>
      <c r="G5" s="88">
        <f>F36</f>
        <v>650.54000000000008</v>
      </c>
      <c r="H5" s="7">
        <f>E5-G5+E4+E6</f>
        <v>-1.1368683772161603E-13</v>
      </c>
      <c r="K5" s="1044" t="s">
        <v>82</v>
      </c>
      <c r="L5" s="1070" t="s">
        <v>83</v>
      </c>
      <c r="M5" s="511">
        <v>43</v>
      </c>
      <c r="N5" s="612">
        <v>44806</v>
      </c>
      <c r="O5" s="512">
        <v>510.59</v>
      </c>
      <c r="P5" s="513">
        <v>27</v>
      </c>
      <c r="Q5" s="88">
        <f>P36</f>
        <v>493.41999999999996</v>
      </c>
      <c r="R5" s="7">
        <f>O5-Q5+O4+O6</f>
        <v>75.150000000000006</v>
      </c>
      <c r="U5" s="1044" t="s">
        <v>457</v>
      </c>
      <c r="V5" s="1070" t="s">
        <v>83</v>
      </c>
      <c r="W5" s="511">
        <v>45</v>
      </c>
      <c r="X5" s="612">
        <v>44824</v>
      </c>
      <c r="Y5" s="512">
        <v>400</v>
      </c>
      <c r="Z5" s="513">
        <v>40</v>
      </c>
      <c r="AA5" s="88">
        <f>Z36</f>
        <v>0</v>
      </c>
      <c r="AB5" s="7">
        <f>Y5-AA5+Y4+Y6</f>
        <v>400</v>
      </c>
    </row>
    <row r="6" spans="1:29" ht="15.75" customHeight="1" thickBot="1" x14ac:dyDescent="0.3">
      <c r="A6" s="1044"/>
      <c r="B6" s="1071"/>
      <c r="C6" s="156"/>
      <c r="D6" s="149"/>
      <c r="E6" s="132"/>
      <c r="F6" s="73"/>
      <c r="K6" s="1044"/>
      <c r="L6" s="1071"/>
      <c r="M6" s="156"/>
      <c r="N6" s="149"/>
      <c r="O6" s="132">
        <v>57.98</v>
      </c>
      <c r="P6" s="73">
        <v>3</v>
      </c>
      <c r="U6" s="1044"/>
      <c r="V6" s="1071"/>
      <c r="W6" s="156"/>
      <c r="X6" s="149"/>
      <c r="Y6" s="132"/>
      <c r="Z6" s="73"/>
    </row>
    <row r="7" spans="1:29" ht="16.5" customHeight="1" thickTop="1" thickBot="1" x14ac:dyDescent="0.3">
      <c r="A7" s="73"/>
      <c r="B7" s="54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4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73"/>
      <c r="V7" s="549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495"/>
      <c r="B8" s="551">
        <f>F4+F5+F6-C8</f>
        <v>30</v>
      </c>
      <c r="C8" s="53">
        <v>5</v>
      </c>
      <c r="D8" s="69">
        <v>95.27</v>
      </c>
      <c r="E8" s="246">
        <v>44777</v>
      </c>
      <c r="F8" s="105">
        <f t="shared" ref="F8:F35" si="0">D8</f>
        <v>95.27</v>
      </c>
      <c r="G8" s="70" t="s">
        <v>193</v>
      </c>
      <c r="H8" s="71">
        <v>47</v>
      </c>
      <c r="I8" s="215">
        <f>E5-F8+E4+E6</f>
        <v>555.27</v>
      </c>
      <c r="K8" s="495"/>
      <c r="L8" s="551">
        <f>P4+P5+P6-M8</f>
        <v>26</v>
      </c>
      <c r="M8" s="15">
        <v>4</v>
      </c>
      <c r="N8" s="69">
        <v>74.930000000000007</v>
      </c>
      <c r="O8" s="246">
        <v>44834</v>
      </c>
      <c r="P8" s="105">
        <f t="shared" ref="P8:P15" si="1">N8</f>
        <v>74.930000000000007</v>
      </c>
      <c r="Q8" s="70" t="s">
        <v>745</v>
      </c>
      <c r="R8" s="71">
        <v>47</v>
      </c>
      <c r="S8" s="215">
        <f>O5-P8+O4+O6</f>
        <v>493.64</v>
      </c>
      <c r="U8" s="495"/>
      <c r="V8" s="551">
        <f>Z4+Z5+Z6-W8</f>
        <v>40</v>
      </c>
      <c r="W8" s="53"/>
      <c r="X8" s="69">
        <v>0</v>
      </c>
      <c r="Y8" s="246"/>
      <c r="Z8" s="105">
        <f t="shared" ref="Z8:Z35" si="2">X8</f>
        <v>0</v>
      </c>
      <c r="AA8" s="70"/>
      <c r="AB8" s="71"/>
      <c r="AC8" s="215">
        <f>Y5-Z8+Y4+Y6</f>
        <v>400</v>
      </c>
    </row>
    <row r="9" spans="1:29" ht="15" customHeight="1" x14ac:dyDescent="0.25">
      <c r="B9" s="552">
        <f>B8-C9</f>
        <v>25</v>
      </c>
      <c r="C9" s="53">
        <v>5</v>
      </c>
      <c r="D9" s="69">
        <v>91.78</v>
      </c>
      <c r="E9" s="246">
        <v>44778</v>
      </c>
      <c r="F9" s="105">
        <f t="shared" si="0"/>
        <v>91.78</v>
      </c>
      <c r="G9" s="70" t="s">
        <v>198</v>
      </c>
      <c r="H9" s="71">
        <v>47</v>
      </c>
      <c r="I9" s="215">
        <f>I8-F9</f>
        <v>463.49</v>
      </c>
      <c r="L9" s="552">
        <f>L8-M9</f>
        <v>20</v>
      </c>
      <c r="M9" s="53">
        <v>6</v>
      </c>
      <c r="N9" s="69">
        <v>115.12</v>
      </c>
      <c r="O9" s="246">
        <v>44811</v>
      </c>
      <c r="P9" s="105">
        <f t="shared" si="1"/>
        <v>115.12</v>
      </c>
      <c r="Q9" s="70" t="s">
        <v>576</v>
      </c>
      <c r="R9" s="71">
        <v>47</v>
      </c>
      <c r="S9" s="215">
        <f>S8-P9</f>
        <v>378.52</v>
      </c>
      <c r="V9" s="552">
        <f>V8-W9</f>
        <v>40</v>
      </c>
      <c r="W9" s="53"/>
      <c r="X9" s="69">
        <v>0</v>
      </c>
      <c r="Y9" s="246"/>
      <c r="Z9" s="105">
        <f t="shared" si="2"/>
        <v>0</v>
      </c>
      <c r="AA9" s="70"/>
      <c r="AB9" s="71"/>
      <c r="AC9" s="215">
        <f>AC8-Z9</f>
        <v>400</v>
      </c>
    </row>
    <row r="10" spans="1:29" ht="15" customHeight="1" x14ac:dyDescent="0.25">
      <c r="B10" s="552">
        <f t="shared" ref="B10:B35" si="3">B9-C10</f>
        <v>23</v>
      </c>
      <c r="C10" s="15">
        <v>2</v>
      </c>
      <c r="D10" s="69">
        <v>39.1</v>
      </c>
      <c r="E10" s="246">
        <v>44781</v>
      </c>
      <c r="F10" s="105">
        <f t="shared" si="0"/>
        <v>39.1</v>
      </c>
      <c r="G10" s="70" t="s">
        <v>206</v>
      </c>
      <c r="H10" s="71">
        <v>47</v>
      </c>
      <c r="I10" s="215">
        <f>I9-F10</f>
        <v>424.39</v>
      </c>
      <c r="L10" s="552">
        <f t="shared" ref="L10:L35" si="4">L9-M10</f>
        <v>19</v>
      </c>
      <c r="M10" s="15">
        <v>1</v>
      </c>
      <c r="N10" s="69">
        <v>17.829999999999998</v>
      </c>
      <c r="O10" s="246">
        <v>44813</v>
      </c>
      <c r="P10" s="105">
        <f t="shared" si="1"/>
        <v>17.829999999999998</v>
      </c>
      <c r="Q10" s="70" t="s">
        <v>586</v>
      </c>
      <c r="R10" s="71">
        <v>47</v>
      </c>
      <c r="S10" s="215">
        <f>S9-P10</f>
        <v>360.69</v>
      </c>
      <c r="V10" s="552">
        <f t="shared" ref="V10:V35" si="5">V9-W10</f>
        <v>40</v>
      </c>
      <c r="W10" s="15"/>
      <c r="X10" s="69">
        <v>0</v>
      </c>
      <c r="Y10" s="246"/>
      <c r="Z10" s="105">
        <f t="shared" si="2"/>
        <v>0</v>
      </c>
      <c r="AA10" s="70"/>
      <c r="AB10" s="71"/>
      <c r="AC10" s="215">
        <f>AC9-Z10</f>
        <v>400</v>
      </c>
    </row>
    <row r="11" spans="1:29" ht="15" customHeight="1" x14ac:dyDescent="0.25">
      <c r="A11" s="55" t="s">
        <v>33</v>
      </c>
      <c r="B11" s="552">
        <f t="shared" si="3"/>
        <v>15</v>
      </c>
      <c r="C11" s="15">
        <v>8</v>
      </c>
      <c r="D11" s="69">
        <v>147.46</v>
      </c>
      <c r="E11" s="246">
        <v>44782</v>
      </c>
      <c r="F11" s="105">
        <f t="shared" si="0"/>
        <v>147.46</v>
      </c>
      <c r="G11" s="70" t="s">
        <v>208</v>
      </c>
      <c r="H11" s="71">
        <v>47</v>
      </c>
      <c r="I11" s="215">
        <f t="shared" ref="I11:I34" si="6">I10-F11</f>
        <v>276.92999999999995</v>
      </c>
      <c r="K11" s="55" t="s">
        <v>33</v>
      </c>
      <c r="L11" s="552">
        <f t="shared" si="4"/>
        <v>18</v>
      </c>
      <c r="M11" s="53">
        <v>1</v>
      </c>
      <c r="N11" s="69">
        <v>18.850000000000001</v>
      </c>
      <c r="O11" s="246">
        <v>44814</v>
      </c>
      <c r="P11" s="105">
        <f t="shared" si="1"/>
        <v>18.850000000000001</v>
      </c>
      <c r="Q11" s="70" t="s">
        <v>595</v>
      </c>
      <c r="R11" s="71">
        <v>47</v>
      </c>
      <c r="S11" s="215">
        <f t="shared" ref="S11:S34" si="7">S10-P11</f>
        <v>341.84</v>
      </c>
      <c r="U11" s="55" t="s">
        <v>33</v>
      </c>
      <c r="V11" s="552">
        <f t="shared" si="5"/>
        <v>40</v>
      </c>
      <c r="W11" s="15"/>
      <c r="X11" s="69">
        <v>0</v>
      </c>
      <c r="Y11" s="246"/>
      <c r="Z11" s="105">
        <f t="shared" si="2"/>
        <v>0</v>
      </c>
      <c r="AA11" s="70"/>
      <c r="AB11" s="71"/>
      <c r="AC11" s="215">
        <f t="shared" ref="AC11:AC34" si="8">AC10-Z11</f>
        <v>400</v>
      </c>
    </row>
    <row r="12" spans="1:29" ht="15" customHeight="1" x14ac:dyDescent="0.25">
      <c r="A12" s="19"/>
      <c r="B12" s="552">
        <f t="shared" si="3"/>
        <v>9</v>
      </c>
      <c r="C12" s="53">
        <v>6</v>
      </c>
      <c r="D12" s="69">
        <v>108.97</v>
      </c>
      <c r="E12" s="246">
        <v>44796</v>
      </c>
      <c r="F12" s="105">
        <f t="shared" si="0"/>
        <v>108.97</v>
      </c>
      <c r="G12" s="70" t="s">
        <v>258</v>
      </c>
      <c r="H12" s="71">
        <v>47</v>
      </c>
      <c r="I12" s="215">
        <f t="shared" si="6"/>
        <v>167.95999999999995</v>
      </c>
      <c r="K12" s="19"/>
      <c r="L12" s="552">
        <f t="shared" si="4"/>
        <v>8</v>
      </c>
      <c r="M12" s="15">
        <v>10</v>
      </c>
      <c r="N12" s="69">
        <v>190.81</v>
      </c>
      <c r="O12" s="246">
        <v>44818</v>
      </c>
      <c r="P12" s="105">
        <f t="shared" si="1"/>
        <v>190.81</v>
      </c>
      <c r="Q12" s="70" t="s">
        <v>634</v>
      </c>
      <c r="R12" s="71">
        <v>47</v>
      </c>
      <c r="S12" s="215">
        <f t="shared" si="7"/>
        <v>151.02999999999997</v>
      </c>
      <c r="U12" s="19"/>
      <c r="V12" s="552">
        <f t="shared" si="5"/>
        <v>40</v>
      </c>
      <c r="W12" s="53"/>
      <c r="X12" s="69">
        <v>0</v>
      </c>
      <c r="Y12" s="246"/>
      <c r="Z12" s="105">
        <f t="shared" si="2"/>
        <v>0</v>
      </c>
      <c r="AA12" s="70"/>
      <c r="AB12" s="71"/>
      <c r="AC12" s="215">
        <f t="shared" si="8"/>
        <v>400</v>
      </c>
    </row>
    <row r="13" spans="1:29" ht="15" customHeight="1" x14ac:dyDescent="0.25">
      <c r="B13" s="552">
        <f t="shared" si="3"/>
        <v>3</v>
      </c>
      <c r="C13" s="53">
        <v>6</v>
      </c>
      <c r="D13" s="694">
        <v>109.98</v>
      </c>
      <c r="E13" s="697">
        <v>44805</v>
      </c>
      <c r="F13" s="698">
        <f t="shared" si="0"/>
        <v>109.98</v>
      </c>
      <c r="G13" s="696" t="s">
        <v>530</v>
      </c>
      <c r="H13" s="388">
        <v>47</v>
      </c>
      <c r="I13" s="215">
        <f t="shared" si="6"/>
        <v>57.979999999999947</v>
      </c>
      <c r="L13" s="552">
        <f t="shared" si="4"/>
        <v>6</v>
      </c>
      <c r="M13" s="15">
        <v>2</v>
      </c>
      <c r="N13" s="69">
        <v>37.67</v>
      </c>
      <c r="O13" s="246">
        <v>44820</v>
      </c>
      <c r="P13" s="105">
        <f t="shared" si="1"/>
        <v>37.67</v>
      </c>
      <c r="Q13" s="70" t="s">
        <v>657</v>
      </c>
      <c r="R13" s="71">
        <v>47</v>
      </c>
      <c r="S13" s="215">
        <f t="shared" si="7"/>
        <v>113.35999999999997</v>
      </c>
      <c r="V13" s="552">
        <f t="shared" si="5"/>
        <v>40</v>
      </c>
      <c r="W13" s="53"/>
      <c r="X13" s="69">
        <v>0</v>
      </c>
      <c r="Y13" s="246"/>
      <c r="Z13" s="105">
        <f t="shared" si="2"/>
        <v>0</v>
      </c>
      <c r="AA13" s="70"/>
      <c r="AB13" s="71"/>
      <c r="AC13" s="215">
        <f t="shared" si="8"/>
        <v>400</v>
      </c>
    </row>
    <row r="14" spans="1:29" ht="15" customHeight="1" x14ac:dyDescent="0.25">
      <c r="B14" s="552">
        <f t="shared" si="3"/>
        <v>3</v>
      </c>
      <c r="C14" s="15"/>
      <c r="D14" s="694">
        <v>0</v>
      </c>
      <c r="E14" s="697"/>
      <c r="F14" s="698">
        <f t="shared" si="0"/>
        <v>0</v>
      </c>
      <c r="G14" s="696"/>
      <c r="H14" s="388"/>
      <c r="I14" s="215">
        <f t="shared" si="6"/>
        <v>57.979999999999947</v>
      </c>
      <c r="L14" s="552">
        <f t="shared" si="4"/>
        <v>5</v>
      </c>
      <c r="M14" s="53">
        <v>1</v>
      </c>
      <c r="N14" s="69">
        <v>19.260000000000002</v>
      </c>
      <c r="O14" s="246">
        <v>44823</v>
      </c>
      <c r="P14" s="105">
        <f t="shared" si="1"/>
        <v>19.260000000000002</v>
      </c>
      <c r="Q14" s="70" t="s">
        <v>663</v>
      </c>
      <c r="R14" s="71">
        <v>47</v>
      </c>
      <c r="S14" s="215">
        <f t="shared" si="7"/>
        <v>94.099999999999966</v>
      </c>
      <c r="V14" s="552">
        <f t="shared" si="5"/>
        <v>40</v>
      </c>
      <c r="W14" s="15"/>
      <c r="X14" s="69">
        <v>0</v>
      </c>
      <c r="Y14" s="246"/>
      <c r="Z14" s="105">
        <f t="shared" si="2"/>
        <v>0</v>
      </c>
      <c r="AA14" s="70"/>
      <c r="AB14" s="71"/>
      <c r="AC14" s="215">
        <f t="shared" si="8"/>
        <v>400</v>
      </c>
    </row>
    <row r="15" spans="1:29" ht="15" customHeight="1" x14ac:dyDescent="0.25">
      <c r="B15" s="552">
        <f t="shared" si="3"/>
        <v>0</v>
      </c>
      <c r="C15" s="15">
        <v>3</v>
      </c>
      <c r="D15" s="694">
        <v>57.98</v>
      </c>
      <c r="E15" s="697"/>
      <c r="F15" s="698">
        <f t="shared" si="0"/>
        <v>57.98</v>
      </c>
      <c r="G15" s="696"/>
      <c r="H15" s="388"/>
      <c r="I15" s="215">
        <f t="shared" si="6"/>
        <v>0</v>
      </c>
      <c r="L15" s="552">
        <f t="shared" si="4"/>
        <v>4</v>
      </c>
      <c r="M15" s="53">
        <v>1</v>
      </c>
      <c r="N15" s="69">
        <v>18.95</v>
      </c>
      <c r="O15" s="246">
        <v>44823</v>
      </c>
      <c r="P15" s="105">
        <f t="shared" si="1"/>
        <v>18.95</v>
      </c>
      <c r="Q15" s="70" t="s">
        <v>678</v>
      </c>
      <c r="R15" s="71">
        <v>47</v>
      </c>
      <c r="S15" s="215">
        <f t="shared" si="7"/>
        <v>75.149999999999963</v>
      </c>
      <c r="V15" s="552">
        <f t="shared" si="5"/>
        <v>40</v>
      </c>
      <c r="W15" s="15"/>
      <c r="X15" s="69">
        <v>0</v>
      </c>
      <c r="Y15" s="246"/>
      <c r="Z15" s="105">
        <f t="shared" si="2"/>
        <v>0</v>
      </c>
      <c r="AA15" s="70"/>
      <c r="AB15" s="71"/>
      <c r="AC15" s="215">
        <f t="shared" si="8"/>
        <v>400</v>
      </c>
    </row>
    <row r="16" spans="1:29" ht="15" customHeight="1" x14ac:dyDescent="0.25">
      <c r="B16" s="552">
        <f t="shared" si="3"/>
        <v>0</v>
      </c>
      <c r="C16" s="15"/>
      <c r="D16" s="694">
        <v>0</v>
      </c>
      <c r="E16" s="697"/>
      <c r="F16" s="906">
        <f t="shared" si="0"/>
        <v>0</v>
      </c>
      <c r="G16" s="893"/>
      <c r="H16" s="892"/>
      <c r="I16" s="907">
        <f t="shared" si="6"/>
        <v>0</v>
      </c>
      <c r="L16" s="552">
        <f t="shared" si="4"/>
        <v>4</v>
      </c>
      <c r="M16" s="15"/>
      <c r="N16" s="69">
        <v>0</v>
      </c>
      <c r="O16" s="246"/>
      <c r="P16" s="105">
        <f t="shared" ref="P16:P35" si="9">N16</f>
        <v>0</v>
      </c>
      <c r="Q16" s="70"/>
      <c r="R16" s="71"/>
      <c r="S16" s="215">
        <f t="shared" si="7"/>
        <v>75.149999999999963</v>
      </c>
      <c r="V16" s="552">
        <f t="shared" si="5"/>
        <v>40</v>
      </c>
      <c r="W16" s="15"/>
      <c r="X16" s="69">
        <v>0</v>
      </c>
      <c r="Y16" s="246"/>
      <c r="Z16" s="105">
        <f t="shared" si="2"/>
        <v>0</v>
      </c>
      <c r="AA16" s="70"/>
      <c r="AB16" s="71"/>
      <c r="AC16" s="215">
        <f t="shared" si="8"/>
        <v>400</v>
      </c>
    </row>
    <row r="17" spans="1:29" ht="15" customHeight="1" x14ac:dyDescent="0.25">
      <c r="B17" s="552">
        <f t="shared" si="3"/>
        <v>0</v>
      </c>
      <c r="C17" s="15"/>
      <c r="D17" s="694">
        <v>0</v>
      </c>
      <c r="E17" s="697"/>
      <c r="F17" s="906">
        <f t="shared" si="0"/>
        <v>0</v>
      </c>
      <c r="G17" s="893"/>
      <c r="H17" s="892"/>
      <c r="I17" s="907">
        <f t="shared" si="6"/>
        <v>0</v>
      </c>
      <c r="L17" s="552">
        <f t="shared" si="4"/>
        <v>4</v>
      </c>
      <c r="M17" s="15"/>
      <c r="N17" s="69">
        <v>0</v>
      </c>
      <c r="O17" s="246"/>
      <c r="P17" s="105">
        <f t="shared" si="9"/>
        <v>0</v>
      </c>
      <c r="Q17" s="70"/>
      <c r="R17" s="71"/>
      <c r="S17" s="215">
        <f t="shared" si="7"/>
        <v>75.149999999999963</v>
      </c>
      <c r="V17" s="552">
        <f t="shared" si="5"/>
        <v>40</v>
      </c>
      <c r="W17" s="15"/>
      <c r="X17" s="69">
        <v>0</v>
      </c>
      <c r="Y17" s="246"/>
      <c r="Z17" s="105">
        <f t="shared" si="2"/>
        <v>0</v>
      </c>
      <c r="AA17" s="70"/>
      <c r="AB17" s="71"/>
      <c r="AC17" s="215">
        <f t="shared" si="8"/>
        <v>400</v>
      </c>
    </row>
    <row r="18" spans="1:29" ht="15" customHeight="1" x14ac:dyDescent="0.25">
      <c r="B18" s="552">
        <f t="shared" si="3"/>
        <v>0</v>
      </c>
      <c r="C18" s="15"/>
      <c r="D18" s="694">
        <v>0</v>
      </c>
      <c r="E18" s="697"/>
      <c r="F18" s="906">
        <f t="shared" si="0"/>
        <v>0</v>
      </c>
      <c r="G18" s="893"/>
      <c r="H18" s="892"/>
      <c r="I18" s="907">
        <f t="shared" si="6"/>
        <v>0</v>
      </c>
      <c r="L18" s="552">
        <f t="shared" si="4"/>
        <v>4</v>
      </c>
      <c r="M18" s="15"/>
      <c r="N18" s="69">
        <v>0</v>
      </c>
      <c r="O18" s="246"/>
      <c r="P18" s="105">
        <f t="shared" si="9"/>
        <v>0</v>
      </c>
      <c r="Q18" s="70"/>
      <c r="R18" s="71"/>
      <c r="S18" s="215">
        <f t="shared" si="7"/>
        <v>75.149999999999963</v>
      </c>
      <c r="V18" s="552">
        <f t="shared" si="5"/>
        <v>40</v>
      </c>
      <c r="W18" s="15"/>
      <c r="X18" s="69">
        <v>0</v>
      </c>
      <c r="Y18" s="246"/>
      <c r="Z18" s="105">
        <f t="shared" si="2"/>
        <v>0</v>
      </c>
      <c r="AA18" s="70"/>
      <c r="AB18" s="71"/>
      <c r="AC18" s="215">
        <f t="shared" si="8"/>
        <v>400</v>
      </c>
    </row>
    <row r="19" spans="1:29" ht="15" customHeight="1" x14ac:dyDescent="0.25">
      <c r="B19" s="552">
        <f t="shared" si="3"/>
        <v>0</v>
      </c>
      <c r="C19" s="15"/>
      <c r="D19" s="694">
        <v>0</v>
      </c>
      <c r="E19" s="697"/>
      <c r="F19" s="906">
        <f t="shared" si="0"/>
        <v>0</v>
      </c>
      <c r="G19" s="893"/>
      <c r="H19" s="892"/>
      <c r="I19" s="907">
        <f t="shared" si="6"/>
        <v>0</v>
      </c>
      <c r="L19" s="552">
        <f t="shared" si="4"/>
        <v>4</v>
      </c>
      <c r="M19" s="15"/>
      <c r="N19" s="69">
        <v>0</v>
      </c>
      <c r="O19" s="246"/>
      <c r="P19" s="105">
        <f t="shared" si="9"/>
        <v>0</v>
      </c>
      <c r="Q19" s="70"/>
      <c r="R19" s="71"/>
      <c r="S19" s="215">
        <f t="shared" si="7"/>
        <v>75.149999999999963</v>
      </c>
      <c r="V19" s="552">
        <f t="shared" si="5"/>
        <v>40</v>
      </c>
      <c r="W19" s="15"/>
      <c r="X19" s="69">
        <v>0</v>
      </c>
      <c r="Y19" s="246"/>
      <c r="Z19" s="105">
        <f t="shared" si="2"/>
        <v>0</v>
      </c>
      <c r="AA19" s="70"/>
      <c r="AB19" s="71"/>
      <c r="AC19" s="215">
        <f t="shared" si="8"/>
        <v>400</v>
      </c>
    </row>
    <row r="20" spans="1:29" ht="15" customHeight="1" x14ac:dyDescent="0.25">
      <c r="B20" s="552">
        <f t="shared" si="3"/>
        <v>0</v>
      </c>
      <c r="C20" s="15"/>
      <c r="D20" s="694">
        <v>0</v>
      </c>
      <c r="E20" s="697"/>
      <c r="F20" s="906">
        <f t="shared" si="0"/>
        <v>0</v>
      </c>
      <c r="G20" s="893"/>
      <c r="H20" s="892"/>
      <c r="I20" s="907">
        <f t="shared" si="6"/>
        <v>0</v>
      </c>
      <c r="L20" s="552">
        <f t="shared" si="4"/>
        <v>4</v>
      </c>
      <c r="M20" s="15"/>
      <c r="N20" s="69">
        <v>0</v>
      </c>
      <c r="O20" s="246"/>
      <c r="P20" s="105">
        <f t="shared" si="9"/>
        <v>0</v>
      </c>
      <c r="Q20" s="70"/>
      <c r="R20" s="71"/>
      <c r="S20" s="215">
        <f t="shared" si="7"/>
        <v>75.149999999999963</v>
      </c>
      <c r="V20" s="552">
        <f t="shared" si="5"/>
        <v>40</v>
      </c>
      <c r="W20" s="15"/>
      <c r="X20" s="69">
        <v>0</v>
      </c>
      <c r="Y20" s="246"/>
      <c r="Z20" s="105">
        <f t="shared" si="2"/>
        <v>0</v>
      </c>
      <c r="AA20" s="70"/>
      <c r="AB20" s="71"/>
      <c r="AC20" s="215">
        <f t="shared" si="8"/>
        <v>400</v>
      </c>
    </row>
    <row r="21" spans="1:29" ht="15" customHeight="1" x14ac:dyDescent="0.25">
      <c r="B21" s="552">
        <f t="shared" si="3"/>
        <v>0</v>
      </c>
      <c r="C21" s="15"/>
      <c r="D21" s="694">
        <v>0</v>
      </c>
      <c r="E21" s="697"/>
      <c r="F21" s="698">
        <f t="shared" si="0"/>
        <v>0</v>
      </c>
      <c r="G21" s="696"/>
      <c r="H21" s="388"/>
      <c r="I21" s="215">
        <f t="shared" si="6"/>
        <v>0</v>
      </c>
      <c r="L21" s="552">
        <f t="shared" si="4"/>
        <v>4</v>
      </c>
      <c r="M21" s="15"/>
      <c r="N21" s="69">
        <v>0</v>
      </c>
      <c r="O21" s="246"/>
      <c r="P21" s="105">
        <f t="shared" si="9"/>
        <v>0</v>
      </c>
      <c r="Q21" s="70"/>
      <c r="R21" s="71"/>
      <c r="S21" s="215">
        <f t="shared" si="7"/>
        <v>75.149999999999963</v>
      </c>
      <c r="V21" s="552">
        <f t="shared" si="5"/>
        <v>40</v>
      </c>
      <c r="W21" s="15"/>
      <c r="X21" s="69">
        <v>0</v>
      </c>
      <c r="Y21" s="246"/>
      <c r="Z21" s="105">
        <f t="shared" si="2"/>
        <v>0</v>
      </c>
      <c r="AA21" s="70"/>
      <c r="AB21" s="71"/>
      <c r="AC21" s="215">
        <f t="shared" si="8"/>
        <v>400</v>
      </c>
    </row>
    <row r="22" spans="1:29" ht="15" customHeight="1" x14ac:dyDescent="0.25">
      <c r="B22" s="552">
        <f t="shared" si="3"/>
        <v>0</v>
      </c>
      <c r="C22" s="15"/>
      <c r="D22" s="694">
        <v>0</v>
      </c>
      <c r="E22" s="697"/>
      <c r="F22" s="698">
        <f t="shared" si="0"/>
        <v>0</v>
      </c>
      <c r="G22" s="696"/>
      <c r="H22" s="388"/>
      <c r="I22" s="215">
        <f t="shared" si="6"/>
        <v>0</v>
      </c>
      <c r="L22" s="552">
        <f t="shared" si="4"/>
        <v>4</v>
      </c>
      <c r="M22" s="15"/>
      <c r="N22" s="69">
        <v>0</v>
      </c>
      <c r="O22" s="246"/>
      <c r="P22" s="105">
        <f t="shared" si="9"/>
        <v>0</v>
      </c>
      <c r="Q22" s="70"/>
      <c r="R22" s="71"/>
      <c r="S22" s="215">
        <f t="shared" si="7"/>
        <v>75.149999999999963</v>
      </c>
      <c r="V22" s="552">
        <f t="shared" si="5"/>
        <v>40</v>
      </c>
      <c r="W22" s="15"/>
      <c r="X22" s="69">
        <v>0</v>
      </c>
      <c r="Y22" s="246"/>
      <c r="Z22" s="105">
        <f t="shared" si="2"/>
        <v>0</v>
      </c>
      <c r="AA22" s="70"/>
      <c r="AB22" s="71"/>
      <c r="AC22" s="215">
        <f t="shared" si="8"/>
        <v>400</v>
      </c>
    </row>
    <row r="23" spans="1:29" ht="15" customHeight="1" x14ac:dyDescent="0.25">
      <c r="B23" s="552">
        <f t="shared" si="3"/>
        <v>0</v>
      </c>
      <c r="C23" s="15"/>
      <c r="D23" s="694">
        <v>0</v>
      </c>
      <c r="E23" s="697"/>
      <c r="F23" s="698">
        <f t="shared" si="0"/>
        <v>0</v>
      </c>
      <c r="G23" s="696"/>
      <c r="H23" s="388"/>
      <c r="I23" s="215">
        <f t="shared" si="6"/>
        <v>0</v>
      </c>
      <c r="L23" s="552">
        <f t="shared" si="4"/>
        <v>4</v>
      </c>
      <c r="M23" s="15"/>
      <c r="N23" s="69">
        <v>0</v>
      </c>
      <c r="O23" s="246"/>
      <c r="P23" s="105">
        <f t="shared" si="9"/>
        <v>0</v>
      </c>
      <c r="Q23" s="70"/>
      <c r="R23" s="71"/>
      <c r="S23" s="215">
        <f t="shared" si="7"/>
        <v>75.149999999999963</v>
      </c>
      <c r="V23" s="552">
        <f t="shared" si="5"/>
        <v>40</v>
      </c>
      <c r="W23" s="15"/>
      <c r="X23" s="69">
        <v>0</v>
      </c>
      <c r="Y23" s="246"/>
      <c r="Z23" s="105">
        <f t="shared" si="2"/>
        <v>0</v>
      </c>
      <c r="AA23" s="70"/>
      <c r="AB23" s="71"/>
      <c r="AC23" s="215">
        <f t="shared" si="8"/>
        <v>400</v>
      </c>
    </row>
    <row r="24" spans="1:29" ht="15" customHeight="1" x14ac:dyDescent="0.25">
      <c r="B24" s="552">
        <f t="shared" si="3"/>
        <v>0</v>
      </c>
      <c r="C24" s="15"/>
      <c r="D24" s="69">
        <v>0</v>
      </c>
      <c r="E24" s="246"/>
      <c r="F24" s="105">
        <f t="shared" si="0"/>
        <v>0</v>
      </c>
      <c r="G24" s="70"/>
      <c r="H24" s="71"/>
      <c r="I24" s="215">
        <f t="shared" si="6"/>
        <v>0</v>
      </c>
      <c r="L24" s="552">
        <f t="shared" si="4"/>
        <v>4</v>
      </c>
      <c r="M24" s="15"/>
      <c r="N24" s="69">
        <v>0</v>
      </c>
      <c r="O24" s="246"/>
      <c r="P24" s="105">
        <f t="shared" si="9"/>
        <v>0</v>
      </c>
      <c r="Q24" s="70"/>
      <c r="R24" s="71"/>
      <c r="S24" s="215">
        <f t="shared" si="7"/>
        <v>75.149999999999963</v>
      </c>
      <c r="V24" s="552">
        <f t="shared" si="5"/>
        <v>40</v>
      </c>
      <c r="W24" s="15"/>
      <c r="X24" s="69">
        <v>0</v>
      </c>
      <c r="Y24" s="246"/>
      <c r="Z24" s="105">
        <f t="shared" si="2"/>
        <v>0</v>
      </c>
      <c r="AA24" s="70"/>
      <c r="AB24" s="71"/>
      <c r="AC24" s="215">
        <f t="shared" si="8"/>
        <v>400</v>
      </c>
    </row>
    <row r="25" spans="1:29" ht="15" customHeight="1" x14ac:dyDescent="0.25">
      <c r="B25" s="552">
        <f t="shared" si="3"/>
        <v>0</v>
      </c>
      <c r="C25" s="15"/>
      <c r="D25" s="69">
        <v>0</v>
      </c>
      <c r="E25" s="246"/>
      <c r="F25" s="105">
        <f t="shared" si="0"/>
        <v>0</v>
      </c>
      <c r="G25" s="70"/>
      <c r="H25" s="71"/>
      <c r="I25" s="215">
        <f t="shared" si="6"/>
        <v>0</v>
      </c>
      <c r="L25" s="552">
        <f t="shared" si="4"/>
        <v>4</v>
      </c>
      <c r="M25" s="15"/>
      <c r="N25" s="69">
        <v>0</v>
      </c>
      <c r="O25" s="246"/>
      <c r="P25" s="105">
        <f t="shared" si="9"/>
        <v>0</v>
      </c>
      <c r="Q25" s="70"/>
      <c r="R25" s="71"/>
      <c r="S25" s="215">
        <f t="shared" si="7"/>
        <v>75.149999999999963</v>
      </c>
      <c r="V25" s="552">
        <f t="shared" si="5"/>
        <v>40</v>
      </c>
      <c r="W25" s="15"/>
      <c r="X25" s="69">
        <v>0</v>
      </c>
      <c r="Y25" s="246"/>
      <c r="Z25" s="105">
        <f t="shared" si="2"/>
        <v>0</v>
      </c>
      <c r="AA25" s="70"/>
      <c r="AB25" s="71"/>
      <c r="AC25" s="215">
        <f t="shared" si="8"/>
        <v>400</v>
      </c>
    </row>
    <row r="26" spans="1:29" ht="15" customHeight="1" x14ac:dyDescent="0.25">
      <c r="B26" s="552">
        <f t="shared" si="3"/>
        <v>0</v>
      </c>
      <c r="C26" s="15"/>
      <c r="D26" s="69">
        <v>0</v>
      </c>
      <c r="E26" s="246"/>
      <c r="F26" s="105">
        <f t="shared" si="0"/>
        <v>0</v>
      </c>
      <c r="G26" s="70"/>
      <c r="H26" s="71"/>
      <c r="I26" s="215">
        <f t="shared" si="6"/>
        <v>0</v>
      </c>
      <c r="L26" s="552">
        <f t="shared" si="4"/>
        <v>4</v>
      </c>
      <c r="M26" s="15"/>
      <c r="N26" s="69">
        <v>0</v>
      </c>
      <c r="O26" s="246"/>
      <c r="P26" s="105">
        <f t="shared" si="9"/>
        <v>0</v>
      </c>
      <c r="Q26" s="70"/>
      <c r="R26" s="71"/>
      <c r="S26" s="215">
        <f t="shared" si="7"/>
        <v>75.149999999999963</v>
      </c>
      <c r="V26" s="552">
        <f t="shared" si="5"/>
        <v>40</v>
      </c>
      <c r="W26" s="15"/>
      <c r="X26" s="69">
        <v>0</v>
      </c>
      <c r="Y26" s="246"/>
      <c r="Z26" s="105">
        <f t="shared" si="2"/>
        <v>0</v>
      </c>
      <c r="AA26" s="70"/>
      <c r="AB26" s="71"/>
      <c r="AC26" s="215">
        <f t="shared" si="8"/>
        <v>400</v>
      </c>
    </row>
    <row r="27" spans="1:29" ht="15" customHeight="1" x14ac:dyDescent="0.25">
      <c r="B27" s="552">
        <f t="shared" si="3"/>
        <v>0</v>
      </c>
      <c r="C27" s="15"/>
      <c r="D27" s="69">
        <v>0</v>
      </c>
      <c r="E27" s="246"/>
      <c r="F27" s="105">
        <f t="shared" si="0"/>
        <v>0</v>
      </c>
      <c r="G27" s="70"/>
      <c r="H27" s="71"/>
      <c r="I27" s="215">
        <f t="shared" si="6"/>
        <v>0</v>
      </c>
      <c r="L27" s="552">
        <f t="shared" si="4"/>
        <v>4</v>
      </c>
      <c r="M27" s="15"/>
      <c r="N27" s="69">
        <v>0</v>
      </c>
      <c r="O27" s="246"/>
      <c r="P27" s="105">
        <f t="shared" si="9"/>
        <v>0</v>
      </c>
      <c r="Q27" s="70"/>
      <c r="R27" s="71"/>
      <c r="S27" s="215">
        <f t="shared" si="7"/>
        <v>75.149999999999963</v>
      </c>
      <c r="V27" s="552">
        <f t="shared" si="5"/>
        <v>40</v>
      </c>
      <c r="W27" s="15"/>
      <c r="X27" s="69">
        <v>0</v>
      </c>
      <c r="Y27" s="246"/>
      <c r="Z27" s="105">
        <f t="shared" si="2"/>
        <v>0</v>
      </c>
      <c r="AA27" s="70"/>
      <c r="AB27" s="71"/>
      <c r="AC27" s="215">
        <f t="shared" si="8"/>
        <v>400</v>
      </c>
    </row>
    <row r="28" spans="1:29" ht="15" customHeight="1" x14ac:dyDescent="0.25">
      <c r="A28" s="47"/>
      <c r="B28" s="552">
        <f t="shared" si="3"/>
        <v>0</v>
      </c>
      <c r="C28" s="15"/>
      <c r="D28" s="69">
        <v>0</v>
      </c>
      <c r="E28" s="246"/>
      <c r="F28" s="105">
        <f t="shared" si="0"/>
        <v>0</v>
      </c>
      <c r="G28" s="70"/>
      <c r="H28" s="71"/>
      <c r="I28" s="215">
        <f t="shared" si="6"/>
        <v>0</v>
      </c>
      <c r="K28" s="47"/>
      <c r="L28" s="552">
        <f t="shared" si="4"/>
        <v>4</v>
      </c>
      <c r="M28" s="15"/>
      <c r="N28" s="69">
        <v>0</v>
      </c>
      <c r="O28" s="246"/>
      <c r="P28" s="105">
        <f t="shared" si="9"/>
        <v>0</v>
      </c>
      <c r="Q28" s="70"/>
      <c r="R28" s="71"/>
      <c r="S28" s="215">
        <f t="shared" si="7"/>
        <v>75.149999999999963</v>
      </c>
      <c r="U28" s="47"/>
      <c r="V28" s="552">
        <f t="shared" si="5"/>
        <v>40</v>
      </c>
      <c r="W28" s="15"/>
      <c r="X28" s="69">
        <v>0</v>
      </c>
      <c r="Y28" s="246"/>
      <c r="Z28" s="105">
        <f t="shared" si="2"/>
        <v>0</v>
      </c>
      <c r="AA28" s="70"/>
      <c r="AB28" s="71"/>
      <c r="AC28" s="215">
        <f t="shared" si="8"/>
        <v>400</v>
      </c>
    </row>
    <row r="29" spans="1:29" ht="15" customHeight="1" x14ac:dyDescent="0.25">
      <c r="A29" s="47"/>
      <c r="B29" s="552">
        <f t="shared" si="3"/>
        <v>0</v>
      </c>
      <c r="C29" s="15"/>
      <c r="D29" s="69">
        <v>0</v>
      </c>
      <c r="E29" s="246"/>
      <c r="F29" s="105">
        <f t="shared" si="0"/>
        <v>0</v>
      </c>
      <c r="G29" s="70"/>
      <c r="H29" s="71"/>
      <c r="I29" s="215">
        <f t="shared" si="6"/>
        <v>0</v>
      </c>
      <c r="K29" s="47"/>
      <c r="L29" s="552">
        <f t="shared" si="4"/>
        <v>4</v>
      </c>
      <c r="M29" s="15"/>
      <c r="N29" s="69">
        <v>0</v>
      </c>
      <c r="O29" s="246"/>
      <c r="P29" s="105">
        <f t="shared" si="9"/>
        <v>0</v>
      </c>
      <c r="Q29" s="70"/>
      <c r="R29" s="71"/>
      <c r="S29" s="215">
        <f t="shared" si="7"/>
        <v>75.149999999999963</v>
      </c>
      <c r="U29" s="47"/>
      <c r="V29" s="552">
        <f t="shared" si="5"/>
        <v>40</v>
      </c>
      <c r="W29" s="15"/>
      <c r="X29" s="69">
        <v>0</v>
      </c>
      <c r="Y29" s="246"/>
      <c r="Z29" s="105">
        <f t="shared" si="2"/>
        <v>0</v>
      </c>
      <c r="AA29" s="70"/>
      <c r="AB29" s="71"/>
      <c r="AC29" s="215">
        <f t="shared" si="8"/>
        <v>400</v>
      </c>
    </row>
    <row r="30" spans="1:29" ht="15" customHeight="1" x14ac:dyDescent="0.25">
      <c r="A30" s="47"/>
      <c r="B30" s="552">
        <f t="shared" si="3"/>
        <v>0</v>
      </c>
      <c r="C30" s="15"/>
      <c r="D30" s="69">
        <v>0</v>
      </c>
      <c r="E30" s="246"/>
      <c r="F30" s="105">
        <f t="shared" si="0"/>
        <v>0</v>
      </c>
      <c r="G30" s="70"/>
      <c r="H30" s="71"/>
      <c r="I30" s="215">
        <f t="shared" si="6"/>
        <v>0</v>
      </c>
      <c r="K30" s="47"/>
      <c r="L30" s="552">
        <f t="shared" si="4"/>
        <v>4</v>
      </c>
      <c r="M30" s="15"/>
      <c r="N30" s="69">
        <v>0</v>
      </c>
      <c r="O30" s="246"/>
      <c r="P30" s="105">
        <f t="shared" si="9"/>
        <v>0</v>
      </c>
      <c r="Q30" s="70"/>
      <c r="R30" s="71"/>
      <c r="S30" s="215">
        <f t="shared" si="7"/>
        <v>75.149999999999963</v>
      </c>
      <c r="U30" s="47"/>
      <c r="V30" s="552">
        <f t="shared" si="5"/>
        <v>40</v>
      </c>
      <c r="W30" s="15"/>
      <c r="X30" s="69">
        <v>0</v>
      </c>
      <c r="Y30" s="246"/>
      <c r="Z30" s="105">
        <f t="shared" si="2"/>
        <v>0</v>
      </c>
      <c r="AA30" s="70"/>
      <c r="AB30" s="71"/>
      <c r="AC30" s="215">
        <f t="shared" si="8"/>
        <v>400</v>
      </c>
    </row>
    <row r="31" spans="1:29" ht="15" customHeight="1" x14ac:dyDescent="0.25">
      <c r="A31" s="47"/>
      <c r="B31" s="552">
        <f t="shared" si="3"/>
        <v>0</v>
      </c>
      <c r="C31" s="15"/>
      <c r="D31" s="69">
        <v>0</v>
      </c>
      <c r="E31" s="246"/>
      <c r="F31" s="105">
        <f t="shared" si="0"/>
        <v>0</v>
      </c>
      <c r="G31" s="70"/>
      <c r="H31" s="71"/>
      <c r="I31" s="215">
        <f t="shared" si="6"/>
        <v>0</v>
      </c>
      <c r="K31" s="47"/>
      <c r="L31" s="552">
        <f t="shared" si="4"/>
        <v>4</v>
      </c>
      <c r="M31" s="15"/>
      <c r="N31" s="69">
        <v>0</v>
      </c>
      <c r="O31" s="246"/>
      <c r="P31" s="105">
        <f t="shared" si="9"/>
        <v>0</v>
      </c>
      <c r="Q31" s="70"/>
      <c r="R31" s="71"/>
      <c r="S31" s="215">
        <f t="shared" si="7"/>
        <v>75.149999999999963</v>
      </c>
      <c r="U31" s="47"/>
      <c r="V31" s="552">
        <f t="shared" si="5"/>
        <v>40</v>
      </c>
      <c r="W31" s="15"/>
      <c r="X31" s="69">
        <v>0</v>
      </c>
      <c r="Y31" s="246"/>
      <c r="Z31" s="105">
        <f t="shared" si="2"/>
        <v>0</v>
      </c>
      <c r="AA31" s="70"/>
      <c r="AB31" s="71"/>
      <c r="AC31" s="215">
        <f t="shared" si="8"/>
        <v>400</v>
      </c>
    </row>
    <row r="32" spans="1:29" ht="15" customHeight="1" x14ac:dyDescent="0.25">
      <c r="A32" s="47"/>
      <c r="B32" s="552">
        <f t="shared" si="3"/>
        <v>0</v>
      </c>
      <c r="C32" s="15"/>
      <c r="D32" s="69">
        <v>0</v>
      </c>
      <c r="E32" s="246"/>
      <c r="F32" s="105">
        <f t="shared" si="0"/>
        <v>0</v>
      </c>
      <c r="G32" s="70"/>
      <c r="H32" s="71"/>
      <c r="I32" s="215">
        <f t="shared" si="6"/>
        <v>0</v>
      </c>
      <c r="K32" s="47"/>
      <c r="L32" s="552">
        <f t="shared" si="4"/>
        <v>4</v>
      </c>
      <c r="M32" s="15"/>
      <c r="N32" s="69">
        <v>0</v>
      </c>
      <c r="O32" s="246"/>
      <c r="P32" s="105">
        <f t="shared" si="9"/>
        <v>0</v>
      </c>
      <c r="Q32" s="70"/>
      <c r="R32" s="71"/>
      <c r="S32" s="215">
        <f t="shared" si="7"/>
        <v>75.149999999999963</v>
      </c>
      <c r="U32" s="47"/>
      <c r="V32" s="552">
        <f t="shared" si="5"/>
        <v>40</v>
      </c>
      <c r="W32" s="15"/>
      <c r="X32" s="69">
        <v>0</v>
      </c>
      <c r="Y32" s="246"/>
      <c r="Z32" s="105">
        <f t="shared" si="2"/>
        <v>0</v>
      </c>
      <c r="AA32" s="70"/>
      <c r="AB32" s="71"/>
      <c r="AC32" s="215">
        <f t="shared" si="8"/>
        <v>400</v>
      </c>
    </row>
    <row r="33" spans="1:29" ht="15" customHeight="1" x14ac:dyDescent="0.25">
      <c r="A33" s="47"/>
      <c r="B33" s="552">
        <f t="shared" si="3"/>
        <v>0</v>
      </c>
      <c r="C33" s="15"/>
      <c r="D33" s="69">
        <v>0</v>
      </c>
      <c r="E33" s="246"/>
      <c r="F33" s="105">
        <f t="shared" si="0"/>
        <v>0</v>
      </c>
      <c r="G33" s="70"/>
      <c r="H33" s="71"/>
      <c r="I33" s="215">
        <f t="shared" si="6"/>
        <v>0</v>
      </c>
      <c r="K33" s="47"/>
      <c r="L33" s="552">
        <f t="shared" si="4"/>
        <v>4</v>
      </c>
      <c r="M33" s="15"/>
      <c r="N33" s="69">
        <v>0</v>
      </c>
      <c r="O33" s="246"/>
      <c r="P33" s="105">
        <f t="shared" si="9"/>
        <v>0</v>
      </c>
      <c r="Q33" s="70"/>
      <c r="R33" s="71"/>
      <c r="S33" s="215">
        <f t="shared" si="7"/>
        <v>75.149999999999963</v>
      </c>
      <c r="U33" s="47"/>
      <c r="V33" s="552">
        <f t="shared" si="5"/>
        <v>40</v>
      </c>
      <c r="W33" s="15"/>
      <c r="X33" s="69">
        <v>0</v>
      </c>
      <c r="Y33" s="246"/>
      <c r="Z33" s="105">
        <f t="shared" si="2"/>
        <v>0</v>
      </c>
      <c r="AA33" s="70"/>
      <c r="AB33" s="71"/>
      <c r="AC33" s="215">
        <f t="shared" si="8"/>
        <v>400</v>
      </c>
    </row>
    <row r="34" spans="1:29" ht="15" customHeight="1" x14ac:dyDescent="0.25">
      <c r="A34" s="47"/>
      <c r="B34" s="552">
        <f t="shared" si="3"/>
        <v>0</v>
      </c>
      <c r="C34" s="15"/>
      <c r="D34" s="69">
        <v>0</v>
      </c>
      <c r="E34" s="246"/>
      <c r="F34" s="105">
        <f t="shared" si="0"/>
        <v>0</v>
      </c>
      <c r="G34" s="70"/>
      <c r="H34" s="71"/>
      <c r="I34" s="215">
        <f t="shared" si="6"/>
        <v>0</v>
      </c>
      <c r="K34" s="47"/>
      <c r="L34" s="552">
        <f t="shared" si="4"/>
        <v>4</v>
      </c>
      <c r="M34" s="15"/>
      <c r="N34" s="69">
        <v>0</v>
      </c>
      <c r="O34" s="246"/>
      <c r="P34" s="105">
        <f t="shared" si="9"/>
        <v>0</v>
      </c>
      <c r="Q34" s="70"/>
      <c r="R34" s="71"/>
      <c r="S34" s="215">
        <f t="shared" si="7"/>
        <v>75.149999999999963</v>
      </c>
      <c r="U34" s="47"/>
      <c r="V34" s="552">
        <f t="shared" si="5"/>
        <v>40</v>
      </c>
      <c r="W34" s="15"/>
      <c r="X34" s="69">
        <v>0</v>
      </c>
      <c r="Y34" s="246"/>
      <c r="Z34" s="105">
        <f t="shared" si="2"/>
        <v>0</v>
      </c>
      <c r="AA34" s="70"/>
      <c r="AB34" s="71"/>
      <c r="AC34" s="215">
        <f t="shared" si="8"/>
        <v>400</v>
      </c>
    </row>
    <row r="35" spans="1:29" ht="15.75" thickBot="1" x14ac:dyDescent="0.3">
      <c r="A35" s="121"/>
      <c r="B35" s="552">
        <f t="shared" si="3"/>
        <v>0</v>
      </c>
      <c r="C35" s="37"/>
      <c r="D35" s="69">
        <v>0</v>
      </c>
      <c r="E35" s="204"/>
      <c r="F35" s="105">
        <f t="shared" si="0"/>
        <v>0</v>
      </c>
      <c r="G35" s="139"/>
      <c r="H35" s="199"/>
      <c r="I35" s="238"/>
      <c r="K35" s="121"/>
      <c r="L35" s="552">
        <f t="shared" si="4"/>
        <v>4</v>
      </c>
      <c r="M35" s="37"/>
      <c r="N35" s="69">
        <v>0</v>
      </c>
      <c r="O35" s="204"/>
      <c r="P35" s="105">
        <f t="shared" si="9"/>
        <v>0</v>
      </c>
      <c r="Q35" s="139"/>
      <c r="R35" s="199"/>
      <c r="S35" s="238"/>
      <c r="U35" s="121"/>
      <c r="V35" s="552">
        <f t="shared" si="5"/>
        <v>40</v>
      </c>
      <c r="W35" s="37"/>
      <c r="X35" s="69">
        <v>0</v>
      </c>
      <c r="Y35" s="204"/>
      <c r="Z35" s="105">
        <f t="shared" si="2"/>
        <v>0</v>
      </c>
      <c r="AA35" s="139"/>
      <c r="AB35" s="199"/>
      <c r="AC35" s="238"/>
    </row>
    <row r="36" spans="1:29" ht="15.75" thickTop="1" x14ac:dyDescent="0.25">
      <c r="A36" s="47">
        <f>SUM(A28:A35)</f>
        <v>0</v>
      </c>
      <c r="C36" s="73">
        <f>SUM(C8:C35)</f>
        <v>35</v>
      </c>
      <c r="D36" s="105">
        <f>SUM(D8:D35)</f>
        <v>650.54000000000008</v>
      </c>
      <c r="E36" s="75"/>
      <c r="F36" s="105">
        <f>SUM(F8:F35)</f>
        <v>650.54000000000008</v>
      </c>
      <c r="K36" s="47">
        <f>SUM(K28:K35)</f>
        <v>0</v>
      </c>
      <c r="M36" s="73">
        <f>SUM(M8:M35)</f>
        <v>26</v>
      </c>
      <c r="N36" s="105">
        <f>SUM(N8:N35)</f>
        <v>493.41999999999996</v>
      </c>
      <c r="O36" s="75"/>
      <c r="P36" s="105">
        <f>SUM(P8:P35)</f>
        <v>493.41999999999996</v>
      </c>
      <c r="U36" s="47">
        <f>SUM(U28:U35)</f>
        <v>0</v>
      </c>
      <c r="W36" s="73">
        <f>SUM(W8:W35)</f>
        <v>0</v>
      </c>
      <c r="X36" s="105">
        <f>SUM(X8:X35)</f>
        <v>0</v>
      </c>
      <c r="Y36" s="75"/>
      <c r="Z36" s="105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550"/>
      <c r="D38" s="1048" t="s">
        <v>21</v>
      </c>
      <c r="E38" s="1049"/>
      <c r="F38" s="141">
        <f>E4+E5-F36+E6</f>
        <v>-1.1368683772161603E-13</v>
      </c>
      <c r="L38" s="550"/>
      <c r="N38" s="1048" t="s">
        <v>21</v>
      </c>
      <c r="O38" s="1049"/>
      <c r="P38" s="141">
        <f>O4+O5-P36+O6</f>
        <v>75.150000000000006</v>
      </c>
      <c r="V38" s="550"/>
      <c r="X38" s="1048" t="s">
        <v>21</v>
      </c>
      <c r="Y38" s="1049"/>
      <c r="Z38" s="141">
        <f>Y4+Y5-Z36+Y6</f>
        <v>400</v>
      </c>
    </row>
    <row r="39" spans="1:29" ht="15.75" thickBot="1" x14ac:dyDescent="0.3">
      <c r="A39" s="125"/>
      <c r="D39" s="264" t="s">
        <v>4</v>
      </c>
      <c r="E39" s="265"/>
      <c r="F39" s="49">
        <f>F4+F5-C36+F6</f>
        <v>0</v>
      </c>
      <c r="K39" s="125"/>
      <c r="N39" s="264" t="s">
        <v>4</v>
      </c>
      <c r="O39" s="265"/>
      <c r="P39" s="49">
        <f>P4+P5-M36+P6</f>
        <v>4</v>
      </c>
      <c r="U39" s="125"/>
      <c r="X39" s="264" t="s">
        <v>4</v>
      </c>
      <c r="Y39" s="265"/>
      <c r="Z39" s="49">
        <f>Z4+Z5-W36+Z6</f>
        <v>40</v>
      </c>
    </row>
    <row r="40" spans="1:29" x14ac:dyDescent="0.25">
      <c r="B40" s="550"/>
      <c r="L40" s="550"/>
      <c r="V40" s="550"/>
    </row>
  </sheetData>
  <sortState ref="M8:Q15">
    <sortCondition ref="Q8:Q15"/>
  </sortState>
  <mergeCells count="12">
    <mergeCell ref="U1:AA1"/>
    <mergeCell ref="U5:U6"/>
    <mergeCell ref="V5:V6"/>
    <mergeCell ref="X38:Y38"/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31" sqref="B3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58" t="s">
        <v>306</v>
      </c>
      <c r="B1" s="1058"/>
      <c r="C1" s="1058"/>
      <c r="D1" s="1058"/>
      <c r="E1" s="1058"/>
      <c r="F1" s="1058"/>
      <c r="G1" s="105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052" t="s">
        <v>461</v>
      </c>
      <c r="B5" s="1072" t="s">
        <v>462</v>
      </c>
      <c r="C5" s="156"/>
      <c r="D5" s="149">
        <v>44826</v>
      </c>
      <c r="E5" s="132">
        <v>949.32</v>
      </c>
      <c r="F5" s="73">
        <v>27</v>
      </c>
      <c r="G5" s="88">
        <f>F40</f>
        <v>949.32</v>
      </c>
      <c r="H5" s="7">
        <f>E5-G5+E4+E6</f>
        <v>0</v>
      </c>
    </row>
    <row r="6" spans="1:10" ht="15.75" customHeight="1" thickBot="1" x14ac:dyDescent="0.3">
      <c r="A6" s="1052"/>
      <c r="B6" s="1073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>
        <v>27</v>
      </c>
      <c r="D8" s="69">
        <v>949.32</v>
      </c>
      <c r="E8" s="246">
        <v>44827</v>
      </c>
      <c r="F8" s="105">
        <f t="shared" ref="F8:F15" si="0">D8</f>
        <v>949.32</v>
      </c>
      <c r="G8" s="70" t="s">
        <v>704</v>
      </c>
      <c r="H8" s="71">
        <v>171.2</v>
      </c>
      <c r="I8" s="488">
        <f>E4+E5+E6-F8</f>
        <v>0</v>
      </c>
      <c r="J8" s="475">
        <f>H8*F8</f>
        <v>162523.584</v>
      </c>
    </row>
    <row r="9" spans="1:10" ht="15.75" x14ac:dyDescent="0.25">
      <c r="B9" s="183"/>
      <c r="C9" s="15"/>
      <c r="D9" s="69">
        <f t="shared" ref="D9:D39" si="1">C9*B9</f>
        <v>0</v>
      </c>
      <c r="E9" s="246"/>
      <c r="F9" s="105">
        <f t="shared" si="0"/>
        <v>0</v>
      </c>
      <c r="G9" s="909"/>
      <c r="H9" s="910"/>
      <c r="I9" s="922">
        <f>I8-F9</f>
        <v>0</v>
      </c>
      <c r="J9" s="923">
        <f t="shared" ref="J9:J39" si="2">H9*F9</f>
        <v>0</v>
      </c>
    </row>
    <row r="10" spans="1:10" ht="15.75" x14ac:dyDescent="0.25">
      <c r="B10" s="183"/>
      <c r="C10" s="15"/>
      <c r="D10" s="69">
        <f t="shared" si="1"/>
        <v>0</v>
      </c>
      <c r="E10" s="246"/>
      <c r="F10" s="105">
        <f t="shared" si="0"/>
        <v>0</v>
      </c>
      <c r="G10" s="909"/>
      <c r="H10" s="910"/>
      <c r="I10" s="922">
        <f t="shared" ref="I10:I38" si="3">I9-F10</f>
        <v>0</v>
      </c>
      <c r="J10" s="923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1"/>
        <v>0</v>
      </c>
      <c r="E11" s="246"/>
      <c r="F11" s="105">
        <f t="shared" si="0"/>
        <v>0</v>
      </c>
      <c r="G11" s="909"/>
      <c r="H11" s="910"/>
      <c r="I11" s="922">
        <f t="shared" si="3"/>
        <v>0</v>
      </c>
      <c r="J11" s="923">
        <f t="shared" si="2"/>
        <v>0</v>
      </c>
    </row>
    <row r="12" spans="1:10" ht="15.75" x14ac:dyDescent="0.25">
      <c r="B12" s="183"/>
      <c r="C12" s="15"/>
      <c r="D12" s="69">
        <f t="shared" si="1"/>
        <v>0</v>
      </c>
      <c r="E12" s="246"/>
      <c r="F12" s="105">
        <f t="shared" si="0"/>
        <v>0</v>
      </c>
      <c r="G12" s="909"/>
      <c r="H12" s="910"/>
      <c r="I12" s="922">
        <f t="shared" si="3"/>
        <v>0</v>
      </c>
      <c r="J12" s="923">
        <f t="shared" si="2"/>
        <v>0</v>
      </c>
    </row>
    <row r="13" spans="1:10" ht="15.75" x14ac:dyDescent="0.25">
      <c r="A13" s="19"/>
      <c r="B13" s="183"/>
      <c r="C13" s="127"/>
      <c r="D13" s="69">
        <f t="shared" si="1"/>
        <v>0</v>
      </c>
      <c r="E13" s="246"/>
      <c r="F13" s="105">
        <f t="shared" si="0"/>
        <v>0</v>
      </c>
      <c r="G13" s="909"/>
      <c r="H13" s="910"/>
      <c r="I13" s="922">
        <f t="shared" si="3"/>
        <v>0</v>
      </c>
      <c r="J13" s="923">
        <f t="shared" si="2"/>
        <v>0</v>
      </c>
    </row>
    <row r="14" spans="1:10" ht="15.75" x14ac:dyDescent="0.25">
      <c r="B14" s="183"/>
      <c r="C14" s="73"/>
      <c r="D14" s="69">
        <f t="shared" si="1"/>
        <v>0</v>
      </c>
      <c r="E14" s="246"/>
      <c r="F14" s="105">
        <f t="shared" si="0"/>
        <v>0</v>
      </c>
      <c r="G14" s="70"/>
      <c r="H14" s="71"/>
      <c r="I14" s="489">
        <f t="shared" si="3"/>
        <v>0</v>
      </c>
      <c r="J14" s="476">
        <f t="shared" si="2"/>
        <v>0</v>
      </c>
    </row>
    <row r="15" spans="1:10" ht="15.75" x14ac:dyDescent="0.25">
      <c r="B15" s="183"/>
      <c r="C15" s="73"/>
      <c r="D15" s="69">
        <f t="shared" si="1"/>
        <v>0</v>
      </c>
      <c r="E15" s="246"/>
      <c r="F15" s="105">
        <f t="shared" si="0"/>
        <v>0</v>
      </c>
      <c r="G15" s="70"/>
      <c r="H15" s="71"/>
      <c r="I15" s="489">
        <f t="shared" si="3"/>
        <v>0</v>
      </c>
      <c r="J15" s="476">
        <f t="shared" si="2"/>
        <v>0</v>
      </c>
    </row>
    <row r="16" spans="1:10" ht="15.75" x14ac:dyDescent="0.25">
      <c r="B16" s="183"/>
      <c r="C16" s="73"/>
      <c r="D16" s="69">
        <f t="shared" si="1"/>
        <v>0</v>
      </c>
      <c r="E16" s="246"/>
      <c r="F16" s="105">
        <f>D16</f>
        <v>0</v>
      </c>
      <c r="G16" s="70"/>
      <c r="H16" s="71"/>
      <c r="I16" s="489">
        <f t="shared" si="3"/>
        <v>0</v>
      </c>
      <c r="J16" s="476">
        <f t="shared" si="2"/>
        <v>0</v>
      </c>
    </row>
    <row r="17" spans="1:10" ht="15.75" x14ac:dyDescent="0.25">
      <c r="B17" s="183"/>
      <c r="C17" s="73"/>
      <c r="D17" s="69">
        <f t="shared" si="1"/>
        <v>0</v>
      </c>
      <c r="E17" s="246"/>
      <c r="F17" s="105">
        <f>D17</f>
        <v>0</v>
      </c>
      <c r="G17" s="70"/>
      <c r="H17" s="71"/>
      <c r="I17" s="489">
        <f t="shared" si="3"/>
        <v>0</v>
      </c>
      <c r="J17" s="476">
        <f t="shared" si="2"/>
        <v>0</v>
      </c>
    </row>
    <row r="18" spans="1:10" ht="15.75" x14ac:dyDescent="0.25">
      <c r="B18" s="183"/>
      <c r="C18" s="73"/>
      <c r="D18" s="69">
        <f t="shared" si="1"/>
        <v>0</v>
      </c>
      <c r="E18" s="246"/>
      <c r="F18" s="105">
        <f t="shared" ref="F18:F39" si="4">D18</f>
        <v>0</v>
      </c>
      <c r="G18" s="70"/>
      <c r="H18" s="388"/>
      <c r="I18" s="489">
        <f t="shared" si="3"/>
        <v>0</v>
      </c>
      <c r="J18" s="476">
        <f t="shared" si="2"/>
        <v>0</v>
      </c>
    </row>
    <row r="19" spans="1:10" ht="15.75" x14ac:dyDescent="0.25">
      <c r="B19" s="183"/>
      <c r="C19" s="73"/>
      <c r="D19" s="69">
        <f t="shared" si="1"/>
        <v>0</v>
      </c>
      <c r="E19" s="246"/>
      <c r="F19" s="105">
        <f t="shared" si="4"/>
        <v>0</v>
      </c>
      <c r="G19" s="70"/>
      <c r="H19" s="388"/>
      <c r="I19" s="489">
        <f t="shared" si="3"/>
        <v>0</v>
      </c>
      <c r="J19" s="476">
        <f t="shared" si="2"/>
        <v>0</v>
      </c>
    </row>
    <row r="20" spans="1:10" ht="15.75" x14ac:dyDescent="0.25">
      <c r="B20" s="183"/>
      <c r="C20" s="73"/>
      <c r="D20" s="69">
        <f t="shared" si="1"/>
        <v>0</v>
      </c>
      <c r="E20" s="246"/>
      <c r="F20" s="105">
        <f t="shared" si="4"/>
        <v>0</v>
      </c>
      <c r="G20" s="70"/>
      <c r="H20" s="388"/>
      <c r="I20" s="489">
        <f t="shared" si="3"/>
        <v>0</v>
      </c>
      <c r="J20" s="476">
        <f t="shared" si="2"/>
        <v>0</v>
      </c>
    </row>
    <row r="21" spans="1:10" ht="15.75" x14ac:dyDescent="0.25">
      <c r="B21" s="183"/>
      <c r="C21" s="73"/>
      <c r="D21" s="69">
        <f t="shared" si="1"/>
        <v>0</v>
      </c>
      <c r="E21" s="246"/>
      <c r="F21" s="105">
        <f t="shared" si="4"/>
        <v>0</v>
      </c>
      <c r="G21" s="70"/>
      <c r="H21" s="388"/>
      <c r="I21" s="489">
        <f t="shared" si="3"/>
        <v>0</v>
      </c>
      <c r="J21" s="476">
        <f t="shared" si="2"/>
        <v>0</v>
      </c>
    </row>
    <row r="22" spans="1:10" ht="15.75" x14ac:dyDescent="0.25">
      <c r="B22" s="183"/>
      <c r="C22" s="73"/>
      <c r="D22" s="69">
        <f t="shared" si="1"/>
        <v>0</v>
      </c>
      <c r="E22" s="246"/>
      <c r="F22" s="105">
        <f t="shared" si="4"/>
        <v>0</v>
      </c>
      <c r="G22" s="70"/>
      <c r="H22" s="388"/>
      <c r="I22" s="489">
        <f t="shared" si="3"/>
        <v>0</v>
      </c>
      <c r="J22" s="476">
        <f t="shared" si="2"/>
        <v>0</v>
      </c>
    </row>
    <row r="23" spans="1:10" ht="15.75" x14ac:dyDescent="0.25">
      <c r="B23" s="183"/>
      <c r="C23" s="73"/>
      <c r="D23" s="69">
        <f t="shared" si="1"/>
        <v>0</v>
      </c>
      <c r="E23" s="246"/>
      <c r="F23" s="105">
        <f t="shared" si="4"/>
        <v>0</v>
      </c>
      <c r="G23" s="70"/>
      <c r="H23" s="332"/>
      <c r="I23" s="489">
        <f t="shared" si="3"/>
        <v>0</v>
      </c>
      <c r="J23" s="476">
        <f t="shared" si="2"/>
        <v>0</v>
      </c>
    </row>
    <row r="24" spans="1:10" ht="15.75" x14ac:dyDescent="0.25">
      <c r="B24" s="183"/>
      <c r="C24" s="73"/>
      <c r="D24" s="69">
        <f t="shared" si="1"/>
        <v>0</v>
      </c>
      <c r="E24" s="246"/>
      <c r="F24" s="105">
        <f t="shared" si="4"/>
        <v>0</v>
      </c>
      <c r="G24" s="70"/>
      <c r="H24" s="332"/>
      <c r="I24" s="489">
        <f t="shared" si="3"/>
        <v>0</v>
      </c>
      <c r="J24" s="476">
        <f t="shared" si="2"/>
        <v>0</v>
      </c>
    </row>
    <row r="25" spans="1:10" ht="15.75" x14ac:dyDescent="0.25">
      <c r="B25" s="183"/>
      <c r="C25" s="73"/>
      <c r="D25" s="69">
        <f t="shared" si="1"/>
        <v>0</v>
      </c>
      <c r="E25" s="246"/>
      <c r="F25" s="105">
        <f t="shared" si="4"/>
        <v>0</v>
      </c>
      <c r="G25" s="70"/>
      <c r="H25" s="332"/>
      <c r="I25" s="489">
        <f t="shared" si="3"/>
        <v>0</v>
      </c>
      <c r="J25" s="476">
        <f t="shared" si="2"/>
        <v>0</v>
      </c>
    </row>
    <row r="26" spans="1:10" ht="15.75" x14ac:dyDescent="0.25">
      <c r="B26" s="183"/>
      <c r="C26" s="73"/>
      <c r="D26" s="69">
        <f t="shared" si="1"/>
        <v>0</v>
      </c>
      <c r="E26" s="246"/>
      <c r="F26" s="105">
        <f t="shared" si="4"/>
        <v>0</v>
      </c>
      <c r="G26" s="70"/>
      <c r="H26" s="332"/>
      <c r="I26" s="489">
        <f t="shared" si="3"/>
        <v>0</v>
      </c>
      <c r="J26" s="476">
        <f t="shared" si="2"/>
        <v>0</v>
      </c>
    </row>
    <row r="27" spans="1:10" ht="15.75" x14ac:dyDescent="0.25">
      <c r="B27" s="183"/>
      <c r="C27" s="73"/>
      <c r="D27" s="69">
        <f t="shared" si="1"/>
        <v>0</v>
      </c>
      <c r="E27" s="246"/>
      <c r="F27" s="105">
        <f t="shared" si="4"/>
        <v>0</v>
      </c>
      <c r="G27" s="70"/>
      <c r="H27" s="332"/>
      <c r="I27" s="489">
        <f t="shared" si="3"/>
        <v>0</v>
      </c>
      <c r="J27" s="476">
        <f t="shared" si="2"/>
        <v>0</v>
      </c>
    </row>
    <row r="28" spans="1:10" ht="15.75" x14ac:dyDescent="0.25">
      <c r="B28" s="183"/>
      <c r="C28" s="73"/>
      <c r="D28" s="69">
        <f t="shared" si="1"/>
        <v>0</v>
      </c>
      <c r="E28" s="246"/>
      <c r="F28" s="105">
        <f t="shared" si="4"/>
        <v>0</v>
      </c>
      <c r="G28" s="70"/>
      <c r="H28" s="332"/>
      <c r="I28" s="489">
        <f t="shared" si="3"/>
        <v>0</v>
      </c>
      <c r="J28" s="476">
        <f t="shared" si="2"/>
        <v>0</v>
      </c>
    </row>
    <row r="29" spans="1:10" ht="15.75" x14ac:dyDescent="0.25">
      <c r="A29" s="47"/>
      <c r="B29" s="183"/>
      <c r="C29" s="73"/>
      <c r="D29" s="69">
        <f t="shared" si="1"/>
        <v>0</v>
      </c>
      <c r="E29" s="246"/>
      <c r="F29" s="105">
        <f t="shared" si="4"/>
        <v>0</v>
      </c>
      <c r="G29" s="70"/>
      <c r="H29" s="332"/>
      <c r="I29" s="489">
        <f t="shared" si="3"/>
        <v>0</v>
      </c>
      <c r="J29" s="476">
        <f t="shared" si="2"/>
        <v>0</v>
      </c>
    </row>
    <row r="30" spans="1:10" ht="15.75" x14ac:dyDescent="0.25">
      <c r="A30" s="47"/>
      <c r="B30" s="183"/>
      <c r="C30" s="73"/>
      <c r="D30" s="69">
        <f t="shared" si="1"/>
        <v>0</v>
      </c>
      <c r="E30" s="246"/>
      <c r="F30" s="105">
        <f t="shared" si="4"/>
        <v>0</v>
      </c>
      <c r="G30" s="70"/>
      <c r="H30" s="332"/>
      <c r="I30" s="489">
        <f t="shared" si="3"/>
        <v>0</v>
      </c>
      <c r="J30" s="476">
        <f t="shared" si="2"/>
        <v>0</v>
      </c>
    </row>
    <row r="31" spans="1:10" ht="15.75" x14ac:dyDescent="0.25">
      <c r="A31" s="47"/>
      <c r="B31" s="183"/>
      <c r="C31" s="73"/>
      <c r="D31" s="69">
        <f t="shared" si="1"/>
        <v>0</v>
      </c>
      <c r="E31" s="246"/>
      <c r="F31" s="105">
        <f t="shared" si="4"/>
        <v>0</v>
      </c>
      <c r="G31" s="70"/>
      <c r="H31" s="332"/>
      <c r="I31" s="489">
        <f t="shared" si="3"/>
        <v>0</v>
      </c>
      <c r="J31" s="476">
        <f t="shared" si="2"/>
        <v>0</v>
      </c>
    </row>
    <row r="32" spans="1:10" ht="15.75" x14ac:dyDescent="0.25">
      <c r="A32" s="47"/>
      <c r="B32" s="183"/>
      <c r="C32" s="73"/>
      <c r="D32" s="69">
        <f t="shared" si="1"/>
        <v>0</v>
      </c>
      <c r="E32" s="246"/>
      <c r="F32" s="105">
        <f t="shared" si="4"/>
        <v>0</v>
      </c>
      <c r="G32" s="70"/>
      <c r="H32" s="332"/>
      <c r="I32" s="489">
        <f t="shared" si="3"/>
        <v>0</v>
      </c>
      <c r="J32" s="476">
        <f t="shared" si="2"/>
        <v>0</v>
      </c>
    </row>
    <row r="33" spans="1:10" ht="15.75" x14ac:dyDescent="0.25">
      <c r="A33" s="47"/>
      <c r="B33" s="183"/>
      <c r="C33" s="73"/>
      <c r="D33" s="69">
        <f t="shared" si="1"/>
        <v>0</v>
      </c>
      <c r="E33" s="246"/>
      <c r="F33" s="105">
        <f t="shared" si="4"/>
        <v>0</v>
      </c>
      <c r="G33" s="70"/>
      <c r="H33" s="332"/>
      <c r="I33" s="489">
        <f t="shared" si="3"/>
        <v>0</v>
      </c>
      <c r="J33" s="476">
        <f t="shared" si="2"/>
        <v>0</v>
      </c>
    </row>
    <row r="34" spans="1:10" ht="15.75" x14ac:dyDescent="0.25">
      <c r="A34" s="47"/>
      <c r="B34" s="183"/>
      <c r="C34" s="73"/>
      <c r="D34" s="69">
        <f t="shared" si="1"/>
        <v>0</v>
      </c>
      <c r="E34" s="246"/>
      <c r="F34" s="105">
        <f t="shared" si="4"/>
        <v>0</v>
      </c>
      <c r="G34" s="70"/>
      <c r="H34" s="332"/>
      <c r="I34" s="489">
        <f t="shared" si="3"/>
        <v>0</v>
      </c>
      <c r="J34" s="476">
        <f t="shared" si="2"/>
        <v>0</v>
      </c>
    </row>
    <row r="35" spans="1:10" ht="15.75" x14ac:dyDescent="0.25">
      <c r="A35" s="47"/>
      <c r="B35" s="183"/>
      <c r="C35" s="73"/>
      <c r="D35" s="69">
        <f t="shared" si="1"/>
        <v>0</v>
      </c>
      <c r="E35" s="246"/>
      <c r="F35" s="105">
        <f t="shared" si="4"/>
        <v>0</v>
      </c>
      <c r="G35" s="70"/>
      <c r="H35" s="332"/>
      <c r="I35" s="489">
        <f t="shared" si="3"/>
        <v>0</v>
      </c>
      <c r="J35" s="476">
        <f t="shared" si="2"/>
        <v>0</v>
      </c>
    </row>
    <row r="36" spans="1:10" ht="15.75" x14ac:dyDescent="0.25">
      <c r="A36" s="47"/>
      <c r="B36" s="183"/>
      <c r="C36" s="73"/>
      <c r="D36" s="69">
        <f t="shared" si="1"/>
        <v>0</v>
      </c>
      <c r="E36" s="246"/>
      <c r="F36" s="105">
        <f t="shared" si="4"/>
        <v>0</v>
      </c>
      <c r="G36" s="70"/>
      <c r="H36" s="71"/>
      <c r="I36" s="489">
        <f t="shared" si="3"/>
        <v>0</v>
      </c>
      <c r="J36" s="476">
        <f t="shared" si="2"/>
        <v>0</v>
      </c>
    </row>
    <row r="37" spans="1:10" ht="15.75" x14ac:dyDescent="0.25">
      <c r="A37" s="47"/>
      <c r="B37" s="183"/>
      <c r="C37" s="73"/>
      <c r="D37" s="69">
        <f t="shared" si="1"/>
        <v>0</v>
      </c>
      <c r="E37" s="246"/>
      <c r="F37" s="105">
        <f t="shared" si="4"/>
        <v>0</v>
      </c>
      <c r="G37" s="70"/>
      <c r="H37" s="71"/>
      <c r="I37" s="489">
        <f t="shared" si="3"/>
        <v>0</v>
      </c>
      <c r="J37" s="476">
        <f t="shared" si="2"/>
        <v>0</v>
      </c>
    </row>
    <row r="38" spans="1:10" ht="15.75" x14ac:dyDescent="0.25">
      <c r="A38" s="47"/>
      <c r="B38" s="183"/>
      <c r="C38" s="15"/>
      <c r="D38" s="69">
        <f t="shared" si="1"/>
        <v>0</v>
      </c>
      <c r="E38" s="246"/>
      <c r="F38" s="105">
        <f t="shared" si="4"/>
        <v>0</v>
      </c>
      <c r="G38" s="70"/>
      <c r="H38" s="71"/>
      <c r="I38" s="489">
        <f t="shared" si="3"/>
        <v>0</v>
      </c>
      <c r="J38" s="476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1"/>
        <v>0</v>
      </c>
      <c r="E39" s="204"/>
      <c r="F39" s="205">
        <f t="shared" si="4"/>
        <v>0</v>
      </c>
      <c r="G39" s="139"/>
      <c r="H39" s="199"/>
      <c r="I39" s="473"/>
      <c r="J39" s="474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27</v>
      </c>
      <c r="D40" s="105">
        <f>SUM(D8:D39)</f>
        <v>949.32</v>
      </c>
      <c r="E40" s="75"/>
      <c r="F40" s="105">
        <f>SUM(F8:F39)</f>
        <v>949.32</v>
      </c>
    </row>
    <row r="41" spans="1:10" ht="15.75" thickBot="1" x14ac:dyDescent="0.3">
      <c r="A41" s="47"/>
    </row>
    <row r="42" spans="1:10" x14ac:dyDescent="0.25">
      <c r="B42" s="5"/>
      <c r="D42" s="1048" t="s">
        <v>21</v>
      </c>
      <c r="E42" s="1049"/>
      <c r="F42" s="141">
        <f>E4+E5-F40+E6</f>
        <v>0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58"/>
      <c r="B1" s="1058"/>
      <c r="C1" s="1058"/>
      <c r="D1" s="1058"/>
      <c r="E1" s="1058"/>
      <c r="F1" s="1058"/>
      <c r="G1" s="1058"/>
      <c r="H1" s="11">
        <v>1</v>
      </c>
    </row>
    <row r="2" spans="1:15" ht="16.5" thickBot="1" x14ac:dyDescent="0.3">
      <c r="K2" s="45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052"/>
      <c r="B5" s="523" t="s">
        <v>81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052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68">
        <f>E5+E6-F8+E4</f>
        <v>0</v>
      </c>
      <c r="J8" s="469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8">
        <f>I8-F9</f>
        <v>0</v>
      </c>
      <c r="J9" s="469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68">
        <f t="shared" ref="I10:I27" si="3">I9-F10</f>
        <v>0</v>
      </c>
      <c r="J10" s="469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68">
        <f t="shared" si="3"/>
        <v>0</v>
      </c>
      <c r="J11" s="469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68">
        <f t="shared" si="3"/>
        <v>0</v>
      </c>
      <c r="J12" s="469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70">
        <f t="shared" si="3"/>
        <v>0</v>
      </c>
      <c r="J13" s="469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70">
        <f t="shared" si="3"/>
        <v>0</v>
      </c>
      <c r="J14" s="469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70">
        <f t="shared" si="3"/>
        <v>0</v>
      </c>
      <c r="J15" s="469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70">
        <f t="shared" si="3"/>
        <v>0</v>
      </c>
      <c r="J16" s="469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70">
        <f t="shared" si="3"/>
        <v>0</v>
      </c>
      <c r="J17" s="469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70">
        <f t="shared" si="3"/>
        <v>0</v>
      </c>
      <c r="J18" s="469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70">
        <f t="shared" si="3"/>
        <v>0</v>
      </c>
      <c r="J19" s="469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70">
        <f t="shared" si="3"/>
        <v>0</v>
      </c>
      <c r="J20" s="469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70">
        <f t="shared" si="3"/>
        <v>0</v>
      </c>
      <c r="J21" s="469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70">
        <f t="shared" si="3"/>
        <v>0</v>
      </c>
      <c r="J22" s="469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70">
        <f t="shared" si="3"/>
        <v>0</v>
      </c>
      <c r="J23" s="469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70">
        <f t="shared" si="3"/>
        <v>0</v>
      </c>
      <c r="J24" s="469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70">
        <f t="shared" si="3"/>
        <v>0</v>
      </c>
      <c r="J25" s="469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70">
        <f t="shared" si="3"/>
        <v>0</v>
      </c>
      <c r="J26" s="469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68">
        <f t="shared" si="3"/>
        <v>0</v>
      </c>
      <c r="J27" s="469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71"/>
      <c r="J28" s="472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48" t="s">
        <v>21</v>
      </c>
      <c r="E31" s="1049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58"/>
      <c r="B1" s="1058"/>
      <c r="C1" s="1058"/>
      <c r="D1" s="1058"/>
      <c r="E1" s="1058"/>
      <c r="F1" s="1058"/>
      <c r="G1" s="1058"/>
      <c r="H1" s="11">
        <v>1</v>
      </c>
    </row>
    <row r="2" spans="1:15" ht="16.5" thickBot="1" x14ac:dyDescent="0.3">
      <c r="K2" s="45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74" t="s">
        <v>88</v>
      </c>
      <c r="C4" s="128"/>
      <c r="D4" s="134"/>
      <c r="E4" s="181"/>
      <c r="F4" s="137"/>
      <c r="G4" s="38"/>
    </row>
    <row r="5" spans="1:15" ht="15.75" x14ac:dyDescent="0.25">
      <c r="A5" s="1052"/>
      <c r="B5" s="1075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052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68">
        <f>E5+E6-F8+E4</f>
        <v>0</v>
      </c>
      <c r="J8" s="469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68">
        <f>I8-F9</f>
        <v>0</v>
      </c>
      <c r="J9" s="469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68">
        <f t="shared" ref="I10:I27" si="2">I9-F10</f>
        <v>0</v>
      </c>
      <c r="J10" s="469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68">
        <f t="shared" si="2"/>
        <v>0</v>
      </c>
      <c r="J11" s="469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68">
        <f t="shared" si="2"/>
        <v>0</v>
      </c>
      <c r="J12" s="469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70">
        <f t="shared" si="2"/>
        <v>0</v>
      </c>
      <c r="J13" s="469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70">
        <f t="shared" si="2"/>
        <v>0</v>
      </c>
      <c r="J14" s="469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70">
        <f t="shared" si="2"/>
        <v>0</v>
      </c>
      <c r="J15" s="469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70">
        <f t="shared" si="2"/>
        <v>0</v>
      </c>
      <c r="J16" s="469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70">
        <f t="shared" si="2"/>
        <v>0</v>
      </c>
      <c r="J17" s="469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70">
        <f t="shared" si="2"/>
        <v>0</v>
      </c>
      <c r="J18" s="469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70">
        <f t="shared" si="2"/>
        <v>0</v>
      </c>
      <c r="J19" s="469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70">
        <f t="shared" si="2"/>
        <v>0</v>
      </c>
      <c r="J20" s="469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70">
        <f t="shared" si="2"/>
        <v>0</v>
      </c>
      <c r="J21" s="469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70">
        <f t="shared" si="2"/>
        <v>0</v>
      </c>
      <c r="J22" s="469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70">
        <f t="shared" si="2"/>
        <v>0</v>
      </c>
      <c r="J23" s="469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70">
        <f t="shared" si="2"/>
        <v>0</v>
      </c>
      <c r="J24" s="469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70">
        <f t="shared" si="2"/>
        <v>0</v>
      </c>
      <c r="J25" s="469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70">
        <f t="shared" si="2"/>
        <v>0</v>
      </c>
      <c r="J26" s="469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68">
        <f t="shared" si="2"/>
        <v>0</v>
      </c>
      <c r="J27" s="469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71"/>
      <c r="J28" s="472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48" t="s">
        <v>21</v>
      </c>
      <c r="E31" s="1049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4"/>
    <col min="10" max="10" width="17.5703125" customWidth="1"/>
  </cols>
  <sheetData>
    <row r="1" spans="1:11" ht="40.5" x14ac:dyDescent="0.55000000000000004">
      <c r="A1" s="1058"/>
      <c r="B1" s="1058"/>
      <c r="C1" s="1058"/>
      <c r="D1" s="1058"/>
      <c r="E1" s="1058"/>
      <c r="F1" s="1058"/>
      <c r="G1" s="1058"/>
      <c r="H1" s="11">
        <v>1</v>
      </c>
    </row>
    <row r="2" spans="1:11" ht="16.5" thickBot="1" x14ac:dyDescent="0.3">
      <c r="K2" s="45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5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6">
        <f>E5+E6-F8+E4</f>
        <v>0</v>
      </c>
      <c r="J8" s="469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6">
        <f>I8-F9</f>
        <v>0</v>
      </c>
      <c r="J9" s="469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6">
        <f t="shared" ref="I10:I27" si="4">I9-F10</f>
        <v>0</v>
      </c>
      <c r="J10" s="469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6">
        <f t="shared" si="4"/>
        <v>0</v>
      </c>
      <c r="J11" s="469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6">
        <f t="shared" si="4"/>
        <v>0</v>
      </c>
      <c r="J12" s="469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6">
        <f t="shared" si="4"/>
        <v>0</v>
      </c>
      <c r="J13" s="469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6">
        <f t="shared" si="4"/>
        <v>0</v>
      </c>
      <c r="J14" s="469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6">
        <f t="shared" si="4"/>
        <v>0</v>
      </c>
      <c r="J15" s="469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6">
        <f t="shared" si="4"/>
        <v>0</v>
      </c>
      <c r="J16" s="469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6">
        <f t="shared" si="4"/>
        <v>0</v>
      </c>
      <c r="J17" s="469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6">
        <f t="shared" si="4"/>
        <v>0</v>
      </c>
      <c r="J18" s="469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6">
        <f t="shared" si="4"/>
        <v>0</v>
      </c>
      <c r="J19" s="469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6">
        <f t="shared" si="4"/>
        <v>0</v>
      </c>
      <c r="J20" s="469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6">
        <f t="shared" si="4"/>
        <v>0</v>
      </c>
      <c r="J21" s="469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6">
        <f t="shared" si="4"/>
        <v>0</v>
      </c>
      <c r="J22" s="469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6">
        <f t="shared" si="4"/>
        <v>0</v>
      </c>
      <c r="J23" s="469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6">
        <f t="shared" si="4"/>
        <v>0</v>
      </c>
      <c r="J24" s="469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6">
        <f t="shared" si="4"/>
        <v>0</v>
      </c>
      <c r="J25" s="469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6">
        <f t="shared" si="4"/>
        <v>0</v>
      </c>
      <c r="J26" s="469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6">
        <f t="shared" si="4"/>
        <v>0</v>
      </c>
      <c r="J27" s="469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7"/>
      <c r="J28" s="472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048" t="s">
        <v>21</v>
      </c>
      <c r="E31" s="1049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43"/>
      <c r="B1" s="1043"/>
      <c r="C1" s="1043"/>
      <c r="D1" s="1043"/>
      <c r="E1" s="1043"/>
      <c r="F1" s="1043"/>
      <c r="G1" s="1043"/>
      <c r="H1" s="270">
        <v>1</v>
      </c>
      <c r="I1" s="40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5"/>
    </row>
    <row r="3" spans="1:10" ht="16.5" thickTop="1" thickBot="1" x14ac:dyDescent="0.3">
      <c r="A3" s="72"/>
      <c r="B3" s="520" t="s">
        <v>1</v>
      </c>
      <c r="C3" s="72"/>
      <c r="D3" s="72"/>
      <c r="E3" s="72"/>
      <c r="F3" s="72"/>
      <c r="G3" s="280" t="s">
        <v>20</v>
      </c>
      <c r="H3" s="279" t="s">
        <v>6</v>
      </c>
      <c r="I3" s="407"/>
    </row>
    <row r="4" spans="1:10" ht="15.75" customHeight="1" thickTop="1" x14ac:dyDescent="0.25">
      <c r="A4" s="75"/>
      <c r="B4" s="608"/>
      <c r="C4" s="245"/>
      <c r="D4" s="134"/>
      <c r="E4" s="387"/>
      <c r="F4" s="73"/>
      <c r="G4" s="239"/>
      <c r="H4" s="148"/>
      <c r="I4" s="411"/>
    </row>
    <row r="5" spans="1:10" ht="14.25" customHeight="1" x14ac:dyDescent="0.25">
      <c r="A5" s="1044" t="s">
        <v>98</v>
      </c>
      <c r="B5" s="1076" t="s">
        <v>99</v>
      </c>
      <c r="C5" s="403"/>
      <c r="D5" s="134"/>
      <c r="E5" s="86"/>
      <c r="F5" s="73"/>
      <c r="G5" s="48">
        <f>F30</f>
        <v>0</v>
      </c>
      <c r="H5" s="138">
        <f>E5-G5+E4+E6+E7</f>
        <v>0</v>
      </c>
      <c r="I5" s="408"/>
    </row>
    <row r="6" spans="1:10" x14ac:dyDescent="0.25">
      <c r="A6" s="1044"/>
      <c r="B6" s="1076"/>
      <c r="C6" s="405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4"/>
      <c r="C7" s="405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9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94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94"/>
      <c r="F25" s="92">
        <f t="shared" si="0"/>
        <v>0</v>
      </c>
      <c r="G25" s="591"/>
      <c r="H25" s="592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94"/>
      <c r="F26" s="92">
        <f t="shared" si="0"/>
        <v>0</v>
      </c>
      <c r="G26" s="591"/>
      <c r="H26" s="592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94"/>
      <c r="F27" s="92">
        <f t="shared" si="0"/>
        <v>0</v>
      </c>
      <c r="G27" s="591"/>
      <c r="H27" s="592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48" t="s">
        <v>21</v>
      </c>
      <c r="E32" s="1049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B1" zoomScaleNormal="100" workbookViewId="0">
      <selection activeCell="HF22" sqref="HF22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5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5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5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5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5" bestFit="1" customWidth="1"/>
    <col min="80" max="80" width="13.85546875" style="405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5" bestFit="1" customWidth="1"/>
    <col min="90" max="90" width="11.42578125" style="405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5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5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5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5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5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5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5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5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5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5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5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5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5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5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5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5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5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5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5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5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5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5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5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5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1045" t="s">
        <v>277</v>
      </c>
      <c r="L1" s="1045"/>
      <c r="M1" s="1045"/>
      <c r="N1" s="1045"/>
      <c r="O1" s="1045"/>
      <c r="P1" s="1045"/>
      <c r="Q1" s="1045"/>
      <c r="R1" s="270">
        <f>I1+1</f>
        <v>1</v>
      </c>
      <c r="S1" s="270"/>
      <c r="U1" s="1043" t="s">
        <v>278</v>
      </c>
      <c r="V1" s="1043"/>
      <c r="W1" s="1043"/>
      <c r="X1" s="1043"/>
      <c r="Y1" s="1043"/>
      <c r="Z1" s="1043"/>
      <c r="AA1" s="1043"/>
      <c r="AB1" s="270">
        <f>R1+1</f>
        <v>2</v>
      </c>
      <c r="AC1" s="406"/>
      <c r="AE1" s="1043" t="str">
        <f>U1</f>
        <v>ENTRADAS DEL MES DE SEPTIEMBRE   2022</v>
      </c>
      <c r="AF1" s="1043"/>
      <c r="AG1" s="1043"/>
      <c r="AH1" s="1043"/>
      <c r="AI1" s="1043"/>
      <c r="AJ1" s="1043"/>
      <c r="AK1" s="1043"/>
      <c r="AL1" s="270">
        <f>AB1+1</f>
        <v>3</v>
      </c>
      <c r="AM1" s="270"/>
      <c r="AO1" s="1043" t="str">
        <f>AE1</f>
        <v>ENTRADAS DEL MES DE SEPTIEMBRE   2022</v>
      </c>
      <c r="AP1" s="1043"/>
      <c r="AQ1" s="1043"/>
      <c r="AR1" s="1043"/>
      <c r="AS1" s="1043"/>
      <c r="AT1" s="1043"/>
      <c r="AU1" s="1043"/>
      <c r="AV1" s="270">
        <f>AL1+1</f>
        <v>4</v>
      </c>
      <c r="AW1" s="406"/>
      <c r="AY1" s="1043" t="str">
        <f>AO1</f>
        <v>ENTRADAS DEL MES DE SEPTIEMBRE   2022</v>
      </c>
      <c r="AZ1" s="1043"/>
      <c r="BA1" s="1043"/>
      <c r="BB1" s="1043"/>
      <c r="BC1" s="1043"/>
      <c r="BD1" s="1043"/>
      <c r="BE1" s="1043"/>
      <c r="BF1" s="270">
        <f>AV1+1</f>
        <v>5</v>
      </c>
      <c r="BG1" s="422"/>
      <c r="BI1" s="1043" t="str">
        <f>AY1</f>
        <v>ENTRADAS DEL MES DE SEPTIEMBRE   2022</v>
      </c>
      <c r="BJ1" s="1043"/>
      <c r="BK1" s="1043"/>
      <c r="BL1" s="1043"/>
      <c r="BM1" s="1043"/>
      <c r="BN1" s="1043"/>
      <c r="BO1" s="1043"/>
      <c r="BP1" s="270">
        <f>BF1+1</f>
        <v>6</v>
      </c>
      <c r="BQ1" s="406"/>
      <c r="BS1" s="1043" t="str">
        <f>BI1</f>
        <v>ENTRADAS DEL MES DE SEPTIEMBRE   2022</v>
      </c>
      <c r="BT1" s="1043"/>
      <c r="BU1" s="1043"/>
      <c r="BV1" s="1043"/>
      <c r="BW1" s="1043"/>
      <c r="BX1" s="1043"/>
      <c r="BY1" s="1043"/>
      <c r="BZ1" s="270">
        <f>BP1+1</f>
        <v>7</v>
      </c>
      <c r="CC1" s="1043" t="str">
        <f>BS1</f>
        <v>ENTRADAS DEL MES DE SEPTIEMBRE   2022</v>
      </c>
      <c r="CD1" s="1043"/>
      <c r="CE1" s="1043"/>
      <c r="CF1" s="1043"/>
      <c r="CG1" s="1043"/>
      <c r="CH1" s="1043"/>
      <c r="CI1" s="1043"/>
      <c r="CJ1" s="270">
        <f>BZ1+1</f>
        <v>8</v>
      </c>
      <c r="CM1" s="1043" t="str">
        <f>CC1</f>
        <v>ENTRADAS DEL MES DE SEPTIEMBRE   2022</v>
      </c>
      <c r="CN1" s="1043"/>
      <c r="CO1" s="1043"/>
      <c r="CP1" s="1043"/>
      <c r="CQ1" s="1043"/>
      <c r="CR1" s="1043"/>
      <c r="CS1" s="1043"/>
      <c r="CT1" s="270">
        <f>CJ1+1</f>
        <v>9</v>
      </c>
      <c r="CU1" s="406"/>
      <c r="CW1" s="1043" t="str">
        <f>CM1</f>
        <v>ENTRADAS DEL MES DE SEPTIEMBRE   2022</v>
      </c>
      <c r="CX1" s="1043"/>
      <c r="CY1" s="1043"/>
      <c r="CZ1" s="1043"/>
      <c r="DA1" s="1043"/>
      <c r="DB1" s="1043"/>
      <c r="DC1" s="1043"/>
      <c r="DD1" s="270">
        <f>CT1+1</f>
        <v>10</v>
      </c>
      <c r="DE1" s="406"/>
      <c r="DG1" s="1043" t="str">
        <f>CW1</f>
        <v>ENTRADAS DEL MES DE SEPTIEMBRE   2022</v>
      </c>
      <c r="DH1" s="1043"/>
      <c r="DI1" s="1043"/>
      <c r="DJ1" s="1043"/>
      <c r="DK1" s="1043"/>
      <c r="DL1" s="1043"/>
      <c r="DM1" s="1043"/>
      <c r="DN1" s="270">
        <f>DD1+1</f>
        <v>11</v>
      </c>
      <c r="DO1" s="406"/>
      <c r="DQ1" s="1043" t="str">
        <f>DG1</f>
        <v>ENTRADAS DEL MES DE SEPTIEMBRE   2022</v>
      </c>
      <c r="DR1" s="1043"/>
      <c r="DS1" s="1043"/>
      <c r="DT1" s="1043"/>
      <c r="DU1" s="1043"/>
      <c r="DV1" s="1043"/>
      <c r="DW1" s="1043"/>
      <c r="DX1" s="270">
        <f>DN1+1</f>
        <v>12</v>
      </c>
      <c r="EA1" s="1043" t="str">
        <f>DQ1</f>
        <v>ENTRADAS DEL MES DE SEPTIEMBRE   2022</v>
      </c>
      <c r="EB1" s="1043"/>
      <c r="EC1" s="1043"/>
      <c r="ED1" s="1043"/>
      <c r="EE1" s="1043"/>
      <c r="EF1" s="1043"/>
      <c r="EG1" s="1043"/>
      <c r="EH1" s="270">
        <f>DX1+1</f>
        <v>13</v>
      </c>
      <c r="EI1" s="406"/>
      <c r="EK1" s="1043" t="str">
        <f>EA1</f>
        <v>ENTRADAS DEL MES DE SEPTIEMBRE   2022</v>
      </c>
      <c r="EL1" s="1043"/>
      <c r="EM1" s="1043"/>
      <c r="EN1" s="1043"/>
      <c r="EO1" s="1043"/>
      <c r="EP1" s="1043"/>
      <c r="EQ1" s="1043"/>
      <c r="ER1" s="270">
        <f>EH1+1</f>
        <v>14</v>
      </c>
      <c r="ES1" s="406"/>
      <c r="EU1" s="1043" t="str">
        <f>EK1</f>
        <v>ENTRADAS DEL MES DE SEPTIEMBRE   2022</v>
      </c>
      <c r="EV1" s="1043"/>
      <c r="EW1" s="1043"/>
      <c r="EX1" s="1043"/>
      <c r="EY1" s="1043"/>
      <c r="EZ1" s="1043"/>
      <c r="FA1" s="1043"/>
      <c r="FB1" s="270">
        <f>ER1+1</f>
        <v>15</v>
      </c>
      <c r="FC1" s="406"/>
      <c r="FE1" s="1043" t="str">
        <f>EU1</f>
        <v>ENTRADAS DEL MES DE SEPTIEMBRE   2022</v>
      </c>
      <c r="FF1" s="1043"/>
      <c r="FG1" s="1043"/>
      <c r="FH1" s="1043"/>
      <c r="FI1" s="1043"/>
      <c r="FJ1" s="1043"/>
      <c r="FK1" s="1043"/>
      <c r="FL1" s="270">
        <f>FB1+1</f>
        <v>16</v>
      </c>
      <c r="FM1" s="406"/>
      <c r="FO1" s="1043" t="str">
        <f>FE1</f>
        <v>ENTRADAS DEL MES DE SEPTIEMBRE   2022</v>
      </c>
      <c r="FP1" s="1043"/>
      <c r="FQ1" s="1043"/>
      <c r="FR1" s="1043"/>
      <c r="FS1" s="1043"/>
      <c r="FT1" s="1043"/>
      <c r="FU1" s="1043"/>
      <c r="FV1" s="270">
        <f>FL1+1</f>
        <v>17</v>
      </c>
      <c r="FW1" s="406"/>
      <c r="FY1" s="1043" t="str">
        <f>FO1</f>
        <v>ENTRADAS DEL MES DE SEPTIEMBRE   2022</v>
      </c>
      <c r="FZ1" s="1043"/>
      <c r="GA1" s="1043"/>
      <c r="GB1" s="1043"/>
      <c r="GC1" s="1043"/>
      <c r="GD1" s="1043"/>
      <c r="GE1" s="1043"/>
      <c r="GF1" s="270">
        <f>FV1+1</f>
        <v>18</v>
      </c>
      <c r="GG1" s="406"/>
      <c r="GH1" s="75" t="s">
        <v>37</v>
      </c>
      <c r="GI1" s="1043" t="str">
        <f>FY1</f>
        <v>ENTRADAS DEL MES DE SEPTIEMBRE   2022</v>
      </c>
      <c r="GJ1" s="1043"/>
      <c r="GK1" s="1043"/>
      <c r="GL1" s="1043"/>
      <c r="GM1" s="1043"/>
      <c r="GN1" s="1043"/>
      <c r="GO1" s="1043"/>
      <c r="GP1" s="270">
        <f>GF1+1</f>
        <v>19</v>
      </c>
      <c r="GQ1" s="406"/>
      <c r="GS1" s="1043" t="str">
        <f>GI1</f>
        <v>ENTRADAS DEL MES DE SEPTIEMBRE   2022</v>
      </c>
      <c r="GT1" s="1043"/>
      <c r="GU1" s="1043"/>
      <c r="GV1" s="1043"/>
      <c r="GW1" s="1043"/>
      <c r="GX1" s="1043"/>
      <c r="GY1" s="1043"/>
      <c r="GZ1" s="270">
        <f>GP1+1</f>
        <v>20</v>
      </c>
      <c r="HA1" s="406"/>
      <c r="HC1" s="1043" t="str">
        <f>GS1</f>
        <v>ENTRADAS DEL MES DE SEPTIEMBRE   2022</v>
      </c>
      <c r="HD1" s="1043"/>
      <c r="HE1" s="1043"/>
      <c r="HF1" s="1043"/>
      <c r="HG1" s="1043"/>
      <c r="HH1" s="1043"/>
      <c r="HI1" s="1043"/>
      <c r="HJ1" s="270">
        <f>GZ1+1</f>
        <v>21</v>
      </c>
      <c r="HK1" s="406"/>
      <c r="HM1" s="1043" t="str">
        <f>HC1</f>
        <v>ENTRADAS DEL MES DE SEPTIEMBRE   2022</v>
      </c>
      <c r="HN1" s="1043"/>
      <c r="HO1" s="1043"/>
      <c r="HP1" s="1043"/>
      <c r="HQ1" s="1043"/>
      <c r="HR1" s="1043"/>
      <c r="HS1" s="1043"/>
      <c r="HT1" s="270">
        <f>HJ1+1</f>
        <v>22</v>
      </c>
      <c r="HU1" s="406"/>
      <c r="HW1" s="1043" t="str">
        <f>HM1</f>
        <v>ENTRADAS DEL MES DE SEPTIEMBRE   2022</v>
      </c>
      <c r="HX1" s="1043"/>
      <c r="HY1" s="1043"/>
      <c r="HZ1" s="1043"/>
      <c r="IA1" s="1043"/>
      <c r="IB1" s="1043"/>
      <c r="IC1" s="1043"/>
      <c r="ID1" s="270">
        <f>HT1+1</f>
        <v>23</v>
      </c>
      <c r="IE1" s="406"/>
      <c r="IG1" s="1043" t="str">
        <f>HW1</f>
        <v>ENTRADAS DEL MES DE SEPTIEMBRE   2022</v>
      </c>
      <c r="IH1" s="1043"/>
      <c r="II1" s="1043"/>
      <c r="IJ1" s="1043"/>
      <c r="IK1" s="1043"/>
      <c r="IL1" s="1043"/>
      <c r="IM1" s="1043"/>
      <c r="IN1" s="270">
        <f>ID1+1</f>
        <v>24</v>
      </c>
      <c r="IO1" s="406"/>
      <c r="IQ1" s="1043" t="str">
        <f>IG1</f>
        <v>ENTRADAS DEL MES DE SEPTIEMBRE   2022</v>
      </c>
      <c r="IR1" s="1043"/>
      <c r="IS1" s="1043"/>
      <c r="IT1" s="1043"/>
      <c r="IU1" s="1043"/>
      <c r="IV1" s="1043"/>
      <c r="IW1" s="1043"/>
      <c r="IX1" s="270">
        <f>IN1+1</f>
        <v>25</v>
      </c>
      <c r="IY1" s="406"/>
      <c r="JA1" s="1043" t="str">
        <f>IQ1</f>
        <v>ENTRADAS DEL MES DE SEPTIEMBRE   2022</v>
      </c>
      <c r="JB1" s="1043"/>
      <c r="JC1" s="1043"/>
      <c r="JD1" s="1043"/>
      <c r="JE1" s="1043"/>
      <c r="JF1" s="1043"/>
      <c r="JG1" s="1043"/>
      <c r="JH1" s="270">
        <f>IX1+1</f>
        <v>26</v>
      </c>
      <c r="JI1" s="406"/>
      <c r="JK1" s="1053" t="str">
        <f>JA1</f>
        <v>ENTRADAS DEL MES DE SEPTIEMBRE   2022</v>
      </c>
      <c r="JL1" s="1053"/>
      <c r="JM1" s="1053"/>
      <c r="JN1" s="1053"/>
      <c r="JO1" s="1053"/>
      <c r="JP1" s="1053"/>
      <c r="JQ1" s="1053"/>
      <c r="JR1" s="270">
        <f>JH1+1</f>
        <v>27</v>
      </c>
      <c r="JS1" s="406"/>
      <c r="JU1" s="1043" t="str">
        <f>JK1</f>
        <v>ENTRADAS DEL MES DE SEPTIEMBRE   2022</v>
      </c>
      <c r="JV1" s="1043"/>
      <c r="JW1" s="1043"/>
      <c r="JX1" s="1043"/>
      <c r="JY1" s="1043"/>
      <c r="JZ1" s="1043"/>
      <c r="KA1" s="1043"/>
      <c r="KB1" s="270">
        <f>JR1+1</f>
        <v>28</v>
      </c>
      <c r="KC1" s="406"/>
      <c r="KE1" s="1043" t="str">
        <f>JU1</f>
        <v>ENTRADAS DEL MES DE SEPTIEMBRE   2022</v>
      </c>
      <c r="KF1" s="1043"/>
      <c r="KG1" s="1043"/>
      <c r="KH1" s="1043"/>
      <c r="KI1" s="1043"/>
      <c r="KJ1" s="1043"/>
      <c r="KK1" s="1043"/>
      <c r="KL1" s="270">
        <f>KB1+1</f>
        <v>29</v>
      </c>
      <c r="KM1" s="406"/>
      <c r="KO1" s="1043" t="str">
        <f>KE1</f>
        <v>ENTRADAS DEL MES DE SEPTIEMBRE   2022</v>
      </c>
      <c r="KP1" s="1043"/>
      <c r="KQ1" s="1043"/>
      <c r="KR1" s="1043"/>
      <c r="KS1" s="1043"/>
      <c r="KT1" s="1043"/>
      <c r="KU1" s="1043"/>
      <c r="KV1" s="270">
        <f>KL1+1</f>
        <v>30</v>
      </c>
      <c r="KW1" s="406"/>
      <c r="KY1" s="1043" t="str">
        <f>KO1</f>
        <v>ENTRADAS DEL MES DE SEPTIEMBRE   2022</v>
      </c>
      <c r="KZ1" s="1043"/>
      <c r="LA1" s="1043"/>
      <c r="LB1" s="1043"/>
      <c r="LC1" s="1043"/>
      <c r="LD1" s="1043"/>
      <c r="LE1" s="1043"/>
      <c r="LF1" s="270">
        <f>KV1+1</f>
        <v>31</v>
      </c>
      <c r="LG1" s="406"/>
      <c r="LI1" s="1043" t="str">
        <f>KY1</f>
        <v>ENTRADAS DEL MES DE SEPTIEMBRE   2022</v>
      </c>
      <c r="LJ1" s="1043"/>
      <c r="LK1" s="1043"/>
      <c r="LL1" s="1043"/>
      <c r="LM1" s="1043"/>
      <c r="LN1" s="1043"/>
      <c r="LO1" s="1043"/>
      <c r="LP1" s="270">
        <f>LF1+1</f>
        <v>32</v>
      </c>
      <c r="LQ1" s="406"/>
      <c r="LS1" s="1043" t="str">
        <f>LI1</f>
        <v>ENTRADAS DEL MES DE SEPTIEMBRE   2022</v>
      </c>
      <c r="LT1" s="1043"/>
      <c r="LU1" s="1043"/>
      <c r="LV1" s="1043"/>
      <c r="LW1" s="1043"/>
      <c r="LX1" s="1043"/>
      <c r="LY1" s="1043"/>
      <c r="LZ1" s="270">
        <f>LP1+1</f>
        <v>33</v>
      </c>
      <c r="MC1" s="1043" t="str">
        <f>LS1</f>
        <v>ENTRADAS DEL MES DE SEPTIEMBRE   2022</v>
      </c>
      <c r="MD1" s="1043"/>
      <c r="ME1" s="1043"/>
      <c r="MF1" s="1043"/>
      <c r="MG1" s="1043"/>
      <c r="MH1" s="1043"/>
      <c r="MI1" s="1043"/>
      <c r="MJ1" s="270">
        <f>LZ1+1</f>
        <v>34</v>
      </c>
      <c r="MK1" s="270"/>
      <c r="MM1" s="1043" t="str">
        <f>MC1</f>
        <v>ENTRADAS DEL MES DE SEPTIEMBRE   2022</v>
      </c>
      <c r="MN1" s="1043"/>
      <c r="MO1" s="1043"/>
      <c r="MP1" s="1043"/>
      <c r="MQ1" s="1043"/>
      <c r="MR1" s="1043"/>
      <c r="MS1" s="1043"/>
      <c r="MT1" s="270">
        <f>MJ1+1</f>
        <v>35</v>
      </c>
      <c r="MU1" s="270"/>
      <c r="MW1" s="1043" t="str">
        <f>MM1</f>
        <v>ENTRADAS DEL MES DE SEPTIEMBRE   2022</v>
      </c>
      <c r="MX1" s="1043"/>
      <c r="MY1" s="1043"/>
      <c r="MZ1" s="1043"/>
      <c r="NA1" s="1043"/>
      <c r="NB1" s="1043"/>
      <c r="NC1" s="1043"/>
      <c r="ND1" s="270">
        <f>MT1+1</f>
        <v>36</v>
      </c>
      <c r="NE1" s="270"/>
      <c r="NG1" s="1043" t="str">
        <f>MW1</f>
        <v>ENTRADAS DEL MES DE SEPTIEMBRE   2022</v>
      </c>
      <c r="NH1" s="1043"/>
      <c r="NI1" s="1043"/>
      <c r="NJ1" s="1043"/>
      <c r="NK1" s="1043"/>
      <c r="NL1" s="1043"/>
      <c r="NM1" s="1043"/>
      <c r="NN1" s="270">
        <f>ND1+1</f>
        <v>37</v>
      </c>
      <c r="NO1" s="270"/>
      <c r="NQ1" s="1043" t="str">
        <f>NG1</f>
        <v>ENTRADAS DEL MES DE SEPTIEMBRE   2022</v>
      </c>
      <c r="NR1" s="1043"/>
      <c r="NS1" s="1043"/>
      <c r="NT1" s="1043"/>
      <c r="NU1" s="1043"/>
      <c r="NV1" s="1043"/>
      <c r="NW1" s="1043"/>
      <c r="NX1" s="270">
        <f>NN1+1</f>
        <v>38</v>
      </c>
      <c r="NY1" s="270"/>
      <c r="OA1" s="1043" t="str">
        <f>NQ1</f>
        <v>ENTRADAS DEL MES DE SEPTIEMBRE   2022</v>
      </c>
      <c r="OB1" s="1043"/>
      <c r="OC1" s="1043"/>
      <c r="OD1" s="1043"/>
      <c r="OE1" s="1043"/>
      <c r="OF1" s="1043"/>
      <c r="OG1" s="1043"/>
      <c r="OH1" s="270">
        <f>NX1+1</f>
        <v>39</v>
      </c>
      <c r="OI1" s="270"/>
      <c r="OK1" s="1043" t="str">
        <f>OA1</f>
        <v>ENTRADAS DEL MES DE SEPTIEMBRE   2022</v>
      </c>
      <c r="OL1" s="1043"/>
      <c r="OM1" s="1043"/>
      <c r="ON1" s="1043"/>
      <c r="OO1" s="1043"/>
      <c r="OP1" s="1043"/>
      <c r="OQ1" s="1043"/>
      <c r="OR1" s="270">
        <f>OH1+1</f>
        <v>40</v>
      </c>
      <c r="OS1" s="270"/>
      <c r="OU1" s="1043" t="str">
        <f>OK1</f>
        <v>ENTRADAS DEL MES DE SEPTIEMBRE   2022</v>
      </c>
      <c r="OV1" s="1043"/>
      <c r="OW1" s="1043"/>
      <c r="OX1" s="1043"/>
      <c r="OY1" s="1043"/>
      <c r="OZ1" s="1043"/>
      <c r="PA1" s="1043"/>
      <c r="PB1" s="270">
        <f>OR1+1</f>
        <v>41</v>
      </c>
      <c r="PC1" s="270"/>
      <c r="PE1" s="1043" t="str">
        <f>OU1</f>
        <v>ENTRADAS DEL MES DE SEPTIEMBRE   2022</v>
      </c>
      <c r="PF1" s="1043"/>
      <c r="PG1" s="1043"/>
      <c r="PH1" s="1043"/>
      <c r="PI1" s="1043"/>
      <c r="PJ1" s="1043"/>
      <c r="PK1" s="1043"/>
      <c r="PL1" s="270">
        <f>PB1+1</f>
        <v>42</v>
      </c>
      <c r="PM1" s="270"/>
      <c r="PO1" s="1043" t="str">
        <f>PE1</f>
        <v>ENTRADAS DEL MES DE SEPTIEMBRE   2022</v>
      </c>
      <c r="PP1" s="1043"/>
      <c r="PQ1" s="1043"/>
      <c r="PR1" s="1043"/>
      <c r="PS1" s="1043"/>
      <c r="PT1" s="1043"/>
      <c r="PU1" s="1043"/>
      <c r="PV1" s="270">
        <f>PL1+1</f>
        <v>43</v>
      </c>
      <c r="PX1" s="1043" t="str">
        <f>PO1</f>
        <v>ENTRADAS DEL MES DE SEPTIEMBRE   2022</v>
      </c>
      <c r="PY1" s="1043"/>
      <c r="PZ1" s="1043"/>
      <c r="QA1" s="1043"/>
      <c r="QB1" s="1043"/>
      <c r="QC1" s="1043"/>
      <c r="QD1" s="1043"/>
      <c r="QE1" s="270">
        <f>PV1+1</f>
        <v>44</v>
      </c>
      <c r="QG1" s="1043" t="str">
        <f>PX1</f>
        <v>ENTRADAS DEL MES DE SEPTIEMBRE   2022</v>
      </c>
      <c r="QH1" s="1043"/>
      <c r="QI1" s="1043"/>
      <c r="QJ1" s="1043"/>
      <c r="QK1" s="1043"/>
      <c r="QL1" s="1043"/>
      <c r="QM1" s="1043"/>
      <c r="QN1" s="270">
        <f>QE1+1</f>
        <v>45</v>
      </c>
      <c r="QP1" s="1043" t="str">
        <f>QG1</f>
        <v>ENTRADAS DEL MES DE SEPTIEMBRE   2022</v>
      </c>
      <c r="QQ1" s="1043"/>
      <c r="QR1" s="1043"/>
      <c r="QS1" s="1043"/>
      <c r="QT1" s="1043"/>
      <c r="QU1" s="1043"/>
      <c r="QV1" s="1043"/>
      <c r="QW1" s="270">
        <f>QN1+1</f>
        <v>46</v>
      </c>
      <c r="QY1" s="1043" t="str">
        <f>QP1</f>
        <v>ENTRADAS DEL MES DE SEPTIEMBRE   2022</v>
      </c>
      <c r="QZ1" s="1043"/>
      <c r="RA1" s="1043"/>
      <c r="RB1" s="1043"/>
      <c r="RC1" s="1043"/>
      <c r="RD1" s="1043"/>
      <c r="RE1" s="1043"/>
      <c r="RF1" s="270">
        <f>QW1+1</f>
        <v>47</v>
      </c>
      <c r="RH1" s="1043" t="str">
        <f>QY1</f>
        <v>ENTRADAS DEL MES DE SEPTIEMBRE   2022</v>
      </c>
      <c r="RI1" s="1043"/>
      <c r="RJ1" s="1043"/>
      <c r="RK1" s="1043"/>
      <c r="RL1" s="1043"/>
      <c r="RM1" s="1043"/>
      <c r="RN1" s="1043"/>
      <c r="RO1" s="270">
        <f>RF1+1</f>
        <v>48</v>
      </c>
      <c r="RQ1" s="1043" t="str">
        <f>RH1</f>
        <v>ENTRADAS DEL MES DE SEPTIEMBRE   2022</v>
      </c>
      <c r="RR1" s="1043"/>
      <c r="RS1" s="1043"/>
      <c r="RT1" s="1043"/>
      <c r="RU1" s="1043"/>
      <c r="RV1" s="1043"/>
      <c r="RW1" s="1043"/>
      <c r="RX1" s="270">
        <f>RO1+1</f>
        <v>49</v>
      </c>
      <c r="RZ1" s="1043" t="str">
        <f>RQ1</f>
        <v>ENTRADAS DEL MES DE SEPTIEMBRE   2022</v>
      </c>
      <c r="SA1" s="1043"/>
      <c r="SB1" s="1043"/>
      <c r="SC1" s="1043"/>
      <c r="SD1" s="1043"/>
      <c r="SE1" s="1043"/>
      <c r="SF1" s="1043"/>
      <c r="SG1" s="270">
        <f>RX1+1</f>
        <v>50</v>
      </c>
      <c r="SI1" s="1043" t="str">
        <f>RZ1</f>
        <v>ENTRADAS DEL MES DE SEPTIEMBRE   2022</v>
      </c>
      <c r="SJ1" s="1043"/>
      <c r="SK1" s="1043"/>
      <c r="SL1" s="1043"/>
      <c r="SM1" s="1043"/>
      <c r="SN1" s="1043"/>
      <c r="SO1" s="1043"/>
      <c r="SP1" s="270">
        <f>SG1+1</f>
        <v>51</v>
      </c>
      <c r="SR1" s="1043" t="str">
        <f>SI1</f>
        <v>ENTRADAS DEL MES DE SEPTIEMBRE   2022</v>
      </c>
      <c r="SS1" s="1043"/>
      <c r="ST1" s="1043"/>
      <c r="SU1" s="1043"/>
      <c r="SV1" s="1043"/>
      <c r="SW1" s="1043"/>
      <c r="SX1" s="1043"/>
      <c r="SY1" s="270">
        <f>SP1+1</f>
        <v>52</v>
      </c>
      <c r="TA1" s="1043" t="str">
        <f>SR1</f>
        <v>ENTRADAS DEL MES DE SEPTIEMBRE   2022</v>
      </c>
      <c r="TB1" s="1043"/>
      <c r="TC1" s="1043"/>
      <c r="TD1" s="1043"/>
      <c r="TE1" s="1043"/>
      <c r="TF1" s="1043"/>
      <c r="TG1" s="1043"/>
      <c r="TH1" s="270">
        <f>SY1+1</f>
        <v>53</v>
      </c>
      <c r="TJ1" s="1043" t="str">
        <f>TA1</f>
        <v>ENTRADAS DEL MES DE SEPTIEMBRE   2022</v>
      </c>
      <c r="TK1" s="1043"/>
      <c r="TL1" s="1043"/>
      <c r="TM1" s="1043"/>
      <c r="TN1" s="1043"/>
      <c r="TO1" s="1043"/>
      <c r="TP1" s="1043"/>
      <c r="TQ1" s="270">
        <f>TH1+1</f>
        <v>54</v>
      </c>
      <c r="TS1" s="1043" t="str">
        <f>TJ1</f>
        <v>ENTRADAS DEL MES DE SEPTIEMBRE   2022</v>
      </c>
      <c r="TT1" s="1043"/>
      <c r="TU1" s="1043"/>
      <c r="TV1" s="1043"/>
      <c r="TW1" s="1043"/>
      <c r="TX1" s="1043"/>
      <c r="TY1" s="1043"/>
      <c r="TZ1" s="270">
        <f>TQ1+1</f>
        <v>55</v>
      </c>
      <c r="UB1" s="1043" t="str">
        <f>TS1</f>
        <v>ENTRADAS DEL MES DE SEPTIEMBRE   2022</v>
      </c>
      <c r="UC1" s="1043"/>
      <c r="UD1" s="1043"/>
      <c r="UE1" s="1043"/>
      <c r="UF1" s="1043"/>
      <c r="UG1" s="1043"/>
      <c r="UH1" s="1043"/>
      <c r="UI1" s="270">
        <f>TZ1+1</f>
        <v>56</v>
      </c>
      <c r="UK1" s="1043" t="str">
        <f>UB1</f>
        <v>ENTRADAS DEL MES DE SEPTIEMBRE   2022</v>
      </c>
      <c r="UL1" s="1043"/>
      <c r="UM1" s="1043"/>
      <c r="UN1" s="1043"/>
      <c r="UO1" s="1043"/>
      <c r="UP1" s="1043"/>
      <c r="UQ1" s="1043"/>
      <c r="UR1" s="270">
        <f>UI1+1</f>
        <v>57</v>
      </c>
      <c r="UT1" s="1043" t="str">
        <f>UK1</f>
        <v>ENTRADAS DEL MES DE SEPTIEMBRE   2022</v>
      </c>
      <c r="UU1" s="1043"/>
      <c r="UV1" s="1043"/>
      <c r="UW1" s="1043"/>
      <c r="UX1" s="1043"/>
      <c r="UY1" s="1043"/>
      <c r="UZ1" s="1043"/>
      <c r="VA1" s="270">
        <f>UR1+1</f>
        <v>58</v>
      </c>
      <c r="VC1" s="1043" t="str">
        <f>UT1</f>
        <v>ENTRADAS DEL MES DE SEPTIEMBRE   2022</v>
      </c>
      <c r="VD1" s="1043"/>
      <c r="VE1" s="1043"/>
      <c r="VF1" s="1043"/>
      <c r="VG1" s="1043"/>
      <c r="VH1" s="1043"/>
      <c r="VI1" s="1043"/>
      <c r="VJ1" s="270">
        <f>VA1+1</f>
        <v>59</v>
      </c>
      <c r="VL1" s="1043" t="str">
        <f>VC1</f>
        <v>ENTRADAS DEL MES DE SEPTIEMBRE   2022</v>
      </c>
      <c r="VM1" s="1043"/>
      <c r="VN1" s="1043"/>
      <c r="VO1" s="1043"/>
      <c r="VP1" s="1043"/>
      <c r="VQ1" s="1043"/>
      <c r="VR1" s="1043"/>
      <c r="VS1" s="270">
        <f>VJ1+1</f>
        <v>60</v>
      </c>
      <c r="VU1" s="1043" t="str">
        <f>VL1</f>
        <v>ENTRADAS DEL MES DE SEPTIEMBRE   2022</v>
      </c>
      <c r="VV1" s="1043"/>
      <c r="VW1" s="1043"/>
      <c r="VX1" s="1043"/>
      <c r="VY1" s="1043"/>
      <c r="VZ1" s="1043"/>
      <c r="WA1" s="1043"/>
      <c r="WB1" s="270">
        <f>VS1+1</f>
        <v>61</v>
      </c>
      <c r="WD1" s="1043" t="str">
        <f>VU1</f>
        <v>ENTRADAS DEL MES DE SEPTIEMBRE   2022</v>
      </c>
      <c r="WE1" s="1043"/>
      <c r="WF1" s="1043"/>
      <c r="WG1" s="1043"/>
      <c r="WH1" s="1043"/>
      <c r="WI1" s="1043"/>
      <c r="WJ1" s="1043"/>
      <c r="WK1" s="270">
        <f>WB1+1</f>
        <v>62</v>
      </c>
      <c r="WM1" s="1043" t="str">
        <f>WD1</f>
        <v>ENTRADAS DEL MES DE SEPTIEMBRE   2022</v>
      </c>
      <c r="WN1" s="1043"/>
      <c r="WO1" s="1043"/>
      <c r="WP1" s="1043"/>
      <c r="WQ1" s="1043"/>
      <c r="WR1" s="1043"/>
      <c r="WS1" s="1043"/>
      <c r="WT1" s="270">
        <f>WK1+1</f>
        <v>63</v>
      </c>
      <c r="WV1" s="1043" t="str">
        <f>WM1</f>
        <v>ENTRADAS DEL MES DE SEPTIEMBRE   2022</v>
      </c>
      <c r="WW1" s="1043"/>
      <c r="WX1" s="1043"/>
      <c r="WY1" s="1043"/>
      <c r="WZ1" s="1043"/>
      <c r="XA1" s="1043"/>
      <c r="XB1" s="1043"/>
      <c r="XC1" s="270">
        <f>WT1+1</f>
        <v>64</v>
      </c>
      <c r="XE1" s="1043" t="str">
        <f>WV1</f>
        <v>ENTRADAS DEL MES DE SEPTIEMBRE   2022</v>
      </c>
      <c r="XF1" s="1043"/>
      <c r="XG1" s="1043"/>
      <c r="XH1" s="1043"/>
      <c r="XI1" s="1043"/>
      <c r="XJ1" s="1043"/>
      <c r="XK1" s="1043"/>
      <c r="XL1" s="270">
        <f>XC1+1</f>
        <v>65</v>
      </c>
      <c r="XN1" s="1043" t="str">
        <f>XE1</f>
        <v>ENTRADAS DEL MES DE SEPTIEMBRE   2022</v>
      </c>
      <c r="XO1" s="1043"/>
      <c r="XP1" s="1043"/>
      <c r="XQ1" s="1043"/>
      <c r="XR1" s="1043"/>
      <c r="XS1" s="1043"/>
      <c r="XT1" s="1043"/>
      <c r="XU1" s="270">
        <f>XL1+1</f>
        <v>66</v>
      </c>
      <c r="XW1" s="1043" t="str">
        <f>XN1</f>
        <v>ENTRADAS DEL MES DE SEPTIEMBRE   2022</v>
      </c>
      <c r="XX1" s="1043"/>
      <c r="XY1" s="1043"/>
      <c r="XZ1" s="1043"/>
      <c r="YA1" s="1043"/>
      <c r="YB1" s="1043"/>
      <c r="YC1" s="1043"/>
      <c r="YD1" s="270">
        <f>XU1+1</f>
        <v>67</v>
      </c>
      <c r="YF1" s="1043" t="str">
        <f>XW1</f>
        <v>ENTRADAS DEL MES DE SEPTIEMBRE   2022</v>
      </c>
      <c r="YG1" s="1043"/>
      <c r="YH1" s="1043"/>
      <c r="YI1" s="1043"/>
      <c r="YJ1" s="1043"/>
      <c r="YK1" s="1043"/>
      <c r="YL1" s="1043"/>
      <c r="YM1" s="270">
        <f>YD1+1</f>
        <v>68</v>
      </c>
      <c r="YO1" s="1043" t="str">
        <f>YF1</f>
        <v>ENTRADAS DEL MES DE SEPTIEMBRE   2022</v>
      </c>
      <c r="YP1" s="1043"/>
      <c r="YQ1" s="1043"/>
      <c r="YR1" s="1043"/>
      <c r="YS1" s="1043"/>
      <c r="YT1" s="1043"/>
      <c r="YU1" s="1043"/>
      <c r="YV1" s="270">
        <f>YM1+1</f>
        <v>69</v>
      </c>
      <c r="YX1" s="1043" t="str">
        <f>YO1</f>
        <v>ENTRADAS DEL MES DE SEPTIEMBRE   2022</v>
      </c>
      <c r="YY1" s="1043"/>
      <c r="YZ1" s="1043"/>
      <c r="ZA1" s="1043"/>
      <c r="ZB1" s="1043"/>
      <c r="ZC1" s="1043"/>
      <c r="ZD1" s="1043"/>
      <c r="ZE1" s="270">
        <f>YV1+1</f>
        <v>70</v>
      </c>
      <c r="ZG1" s="1043" t="str">
        <f>YX1</f>
        <v>ENTRADAS DEL MES DE SEPTIEMBRE   2022</v>
      </c>
      <c r="ZH1" s="1043"/>
      <c r="ZI1" s="1043"/>
      <c r="ZJ1" s="1043"/>
      <c r="ZK1" s="1043"/>
      <c r="ZL1" s="1043"/>
      <c r="ZM1" s="1043"/>
      <c r="ZN1" s="270">
        <f>ZE1+1</f>
        <v>71</v>
      </c>
      <c r="ZP1" s="1043" t="str">
        <f>ZG1</f>
        <v>ENTRADAS DEL MES DE SEPTIEMBRE   2022</v>
      </c>
      <c r="ZQ1" s="1043"/>
      <c r="ZR1" s="1043"/>
      <c r="ZS1" s="1043"/>
      <c r="ZT1" s="1043"/>
      <c r="ZU1" s="1043"/>
      <c r="ZV1" s="1043"/>
      <c r="ZW1" s="270">
        <f>ZN1+1</f>
        <v>72</v>
      </c>
      <c r="ZY1" s="1043" t="str">
        <f>ZP1</f>
        <v>ENTRADAS DEL MES DE SEPTIEMBRE   2022</v>
      </c>
      <c r="ZZ1" s="1043"/>
      <c r="AAA1" s="1043"/>
      <c r="AAB1" s="1043"/>
      <c r="AAC1" s="1043"/>
      <c r="AAD1" s="1043"/>
      <c r="AAE1" s="1043"/>
      <c r="AAF1" s="270">
        <f>ZW1+1</f>
        <v>73</v>
      </c>
      <c r="AAH1" s="1043" t="str">
        <f>ZY1</f>
        <v>ENTRADAS DEL MES DE SEPTIEMBRE   2022</v>
      </c>
      <c r="AAI1" s="1043"/>
      <c r="AAJ1" s="1043"/>
      <c r="AAK1" s="1043"/>
      <c r="AAL1" s="1043"/>
      <c r="AAM1" s="1043"/>
      <c r="AAN1" s="1043"/>
      <c r="AAO1" s="270">
        <f>AAF1+1</f>
        <v>74</v>
      </c>
      <c r="AAQ1" s="1043" t="str">
        <f>AAH1</f>
        <v>ENTRADAS DEL MES DE SEPTIEMBRE   2022</v>
      </c>
      <c r="AAR1" s="1043"/>
      <c r="AAS1" s="1043"/>
      <c r="AAT1" s="1043"/>
      <c r="AAU1" s="1043"/>
      <c r="AAV1" s="1043"/>
      <c r="AAW1" s="1043"/>
      <c r="AAX1" s="270">
        <f>AAO1+1</f>
        <v>75</v>
      </c>
      <c r="AAZ1" s="1043" t="str">
        <f>AAQ1</f>
        <v>ENTRADAS DEL MES DE SEPTIEMBRE   2022</v>
      </c>
      <c r="ABA1" s="1043"/>
      <c r="ABB1" s="1043"/>
      <c r="ABC1" s="1043"/>
      <c r="ABD1" s="1043"/>
      <c r="ABE1" s="1043"/>
      <c r="ABF1" s="1043"/>
      <c r="ABG1" s="270">
        <f>AAX1+1</f>
        <v>76</v>
      </c>
      <c r="ABI1" s="1043" t="str">
        <f>AAZ1</f>
        <v>ENTRADAS DEL MES DE SEPTIEMBRE   2022</v>
      </c>
      <c r="ABJ1" s="1043"/>
      <c r="ABK1" s="1043"/>
      <c r="ABL1" s="1043"/>
      <c r="ABM1" s="1043"/>
      <c r="ABN1" s="1043"/>
      <c r="ABO1" s="1043"/>
      <c r="ABP1" s="270">
        <f>ABG1+1</f>
        <v>77</v>
      </c>
      <c r="ABR1" s="1043" t="str">
        <f>ABI1</f>
        <v>ENTRADAS DEL MES DE SEPTIEMBRE   2022</v>
      </c>
      <c r="ABS1" s="1043"/>
      <c r="ABT1" s="1043"/>
      <c r="ABU1" s="1043"/>
      <c r="ABV1" s="1043"/>
      <c r="ABW1" s="1043"/>
      <c r="ABX1" s="1043"/>
      <c r="ABY1" s="270">
        <f>ABP1+1</f>
        <v>78</v>
      </c>
      <c r="ACA1" s="1043" t="str">
        <f>ABR1</f>
        <v>ENTRADAS DEL MES DE SEPTIEMBRE   2022</v>
      </c>
      <c r="ACB1" s="1043"/>
      <c r="ACC1" s="1043"/>
      <c r="ACD1" s="1043"/>
      <c r="ACE1" s="1043"/>
      <c r="ACF1" s="1043"/>
      <c r="ACG1" s="1043"/>
      <c r="ACH1" s="270">
        <f>ABY1+1</f>
        <v>79</v>
      </c>
      <c r="ACJ1" s="1043" t="str">
        <f>ACA1</f>
        <v>ENTRADAS DEL MES DE SEPTIEMBRE   2022</v>
      </c>
      <c r="ACK1" s="1043"/>
      <c r="ACL1" s="1043"/>
      <c r="ACM1" s="1043"/>
      <c r="ACN1" s="1043"/>
      <c r="ACO1" s="1043"/>
      <c r="ACP1" s="1043"/>
      <c r="ACQ1" s="270">
        <f>ACH1+1</f>
        <v>80</v>
      </c>
      <c r="ACS1" s="1043" t="str">
        <f>ACJ1</f>
        <v>ENTRADAS DEL MES DE SEPTIEMBRE   2022</v>
      </c>
      <c r="ACT1" s="1043"/>
      <c r="ACU1" s="1043"/>
      <c r="ACV1" s="1043"/>
      <c r="ACW1" s="1043"/>
      <c r="ACX1" s="1043"/>
      <c r="ACY1" s="1043"/>
      <c r="ACZ1" s="270">
        <f>ACQ1+1</f>
        <v>81</v>
      </c>
      <c r="ADB1" s="1043" t="str">
        <f>ACS1</f>
        <v>ENTRADAS DEL MES DE SEPTIEMBRE   2022</v>
      </c>
      <c r="ADC1" s="1043"/>
      <c r="ADD1" s="1043"/>
      <c r="ADE1" s="1043"/>
      <c r="ADF1" s="1043"/>
      <c r="ADG1" s="1043"/>
      <c r="ADH1" s="1043"/>
      <c r="ADI1" s="270">
        <f>ACZ1+1</f>
        <v>82</v>
      </c>
      <c r="ADK1" s="1043" t="str">
        <f>ADB1</f>
        <v>ENTRADAS DEL MES DE SEPTIEMBRE   2022</v>
      </c>
      <c r="ADL1" s="1043"/>
      <c r="ADM1" s="1043"/>
      <c r="ADN1" s="1043"/>
      <c r="ADO1" s="1043"/>
      <c r="ADP1" s="1043"/>
      <c r="ADQ1" s="1043"/>
      <c r="ADR1" s="270">
        <f>ADI1+1</f>
        <v>83</v>
      </c>
      <c r="ADT1" s="1043" t="str">
        <f>ADK1</f>
        <v>ENTRADAS DEL MES DE SEPTIEMBRE   2022</v>
      </c>
      <c r="ADU1" s="1043"/>
      <c r="ADV1" s="1043"/>
      <c r="ADW1" s="1043"/>
      <c r="ADX1" s="1043"/>
      <c r="ADY1" s="1043"/>
      <c r="ADZ1" s="1043"/>
      <c r="AEA1" s="270">
        <f>ADR1+1</f>
        <v>84</v>
      </c>
      <c r="AEC1" s="1043" t="str">
        <f>ADT1</f>
        <v>ENTRADAS DEL MES DE SEPTIEMBRE   2022</v>
      </c>
      <c r="AED1" s="1043"/>
      <c r="AEE1" s="1043"/>
      <c r="AEF1" s="1043"/>
      <c r="AEG1" s="1043"/>
      <c r="AEH1" s="1043"/>
      <c r="AEI1" s="1043"/>
      <c r="AEJ1" s="270">
        <f>AEA1+1</f>
        <v>85</v>
      </c>
      <c r="AEL1" s="1043" t="str">
        <f>AEC1</f>
        <v>ENTRADAS DEL MES DE SEPTIEMBRE   2022</v>
      </c>
      <c r="AEM1" s="1043"/>
      <c r="AEN1" s="1043"/>
      <c r="AEO1" s="1043"/>
      <c r="AEP1" s="1043"/>
      <c r="AEQ1" s="1043"/>
      <c r="AER1" s="1043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7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7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7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7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7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7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7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7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7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7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7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7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7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7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7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7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7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7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7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7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7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7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7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7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7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7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7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SEABOARD FOODS</v>
      </c>
      <c r="C4" s="802" t="str">
        <f t="shared" si="0"/>
        <v>Seaboard</v>
      </c>
      <c r="D4" s="102" t="str">
        <f t="shared" si="0"/>
        <v>PED. 86440438</v>
      </c>
      <c r="E4" s="135">
        <f t="shared" si="0"/>
        <v>44799</v>
      </c>
      <c r="F4" s="86">
        <f t="shared" si="0"/>
        <v>18986.52</v>
      </c>
      <c r="G4" s="73">
        <f t="shared" si="0"/>
        <v>21</v>
      </c>
      <c r="H4" s="48">
        <f t="shared" si="0"/>
        <v>18968.2</v>
      </c>
      <c r="I4" s="105">
        <f t="shared" si="0"/>
        <v>18.319999999999709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89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91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11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3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11"/>
      <c r="KF4" s="75" t="s">
        <v>23</v>
      </c>
      <c r="KK4" s="239"/>
      <c r="KO4" s="73"/>
      <c r="KP4" s="73" t="s">
        <v>23</v>
      </c>
      <c r="KU4" s="73"/>
      <c r="KV4" s="130"/>
      <c r="KW4" s="414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8601429</v>
      </c>
      <c r="E5" s="135">
        <f t="shared" si="1"/>
        <v>44803</v>
      </c>
      <c r="F5" s="86">
        <f t="shared" si="1"/>
        <v>19029.82</v>
      </c>
      <c r="G5" s="73">
        <f t="shared" si="1"/>
        <v>21</v>
      </c>
      <c r="H5" s="48">
        <f t="shared" si="1"/>
        <v>18971.599999999999</v>
      </c>
      <c r="I5" s="105">
        <f>AB5</f>
        <v>58.220000000001164</v>
      </c>
      <c r="K5" s="227" t="s">
        <v>130</v>
      </c>
      <c r="L5" s="632" t="s">
        <v>131</v>
      </c>
      <c r="M5" s="128" t="s">
        <v>182</v>
      </c>
      <c r="N5" s="134">
        <v>44799</v>
      </c>
      <c r="O5" s="86">
        <v>18986.52</v>
      </c>
      <c r="P5" s="73">
        <v>21</v>
      </c>
      <c r="Q5" s="564">
        <v>18968.2</v>
      </c>
      <c r="R5" s="138">
        <f>O5-Q5</f>
        <v>18.319999999999709</v>
      </c>
      <c r="S5" s="408"/>
      <c r="U5" s="227" t="s">
        <v>130</v>
      </c>
      <c r="V5" s="632" t="s">
        <v>131</v>
      </c>
      <c r="W5" s="128" t="s">
        <v>297</v>
      </c>
      <c r="X5" s="134">
        <v>44803</v>
      </c>
      <c r="Y5" s="86">
        <v>19029.82</v>
      </c>
      <c r="Z5" s="73">
        <v>21</v>
      </c>
      <c r="AA5" s="564">
        <v>18971.599999999999</v>
      </c>
      <c r="AB5" s="138">
        <f>Y5-AA5</f>
        <v>58.220000000001164</v>
      </c>
      <c r="AC5" s="408"/>
      <c r="AE5" s="227" t="s">
        <v>130</v>
      </c>
      <c r="AF5" s="632" t="s">
        <v>131</v>
      </c>
      <c r="AG5" s="128" t="s">
        <v>298</v>
      </c>
      <c r="AH5" s="135">
        <v>44803</v>
      </c>
      <c r="AI5" s="86">
        <v>19151.18</v>
      </c>
      <c r="AJ5" s="73">
        <v>21</v>
      </c>
      <c r="AK5" s="564">
        <v>19228.599999999999</v>
      </c>
      <c r="AL5" s="138">
        <f>AI5-AK5</f>
        <v>-77.419999999998254</v>
      </c>
      <c r="AM5" s="408"/>
      <c r="AN5" s="75" t="s">
        <v>41</v>
      </c>
      <c r="AO5" s="75" t="s">
        <v>301</v>
      </c>
      <c r="AP5" s="803" t="s">
        <v>299</v>
      </c>
      <c r="AQ5" s="226" t="s">
        <v>300</v>
      </c>
      <c r="AR5" s="134">
        <v>44803</v>
      </c>
      <c r="AS5" s="86">
        <v>18675.16</v>
      </c>
      <c r="AT5" s="73">
        <v>20</v>
      </c>
      <c r="AU5" s="564">
        <v>18731.419999999998</v>
      </c>
      <c r="AV5" s="138">
        <f>AS5-AU5</f>
        <v>-56.259999999998399</v>
      </c>
      <c r="AW5" s="408"/>
      <c r="AY5" s="75" t="s">
        <v>302</v>
      </c>
      <c r="AZ5" s="803" t="s">
        <v>466</v>
      </c>
      <c r="BA5" s="226" t="s">
        <v>303</v>
      </c>
      <c r="BB5" s="134">
        <v>44803</v>
      </c>
      <c r="BC5" s="86">
        <v>18558.53</v>
      </c>
      <c r="BD5" s="73">
        <v>20</v>
      </c>
      <c r="BE5" s="564">
        <v>18747.34</v>
      </c>
      <c r="BF5" s="138">
        <f>BC5-BE5</f>
        <v>-188.81000000000131</v>
      </c>
      <c r="BG5" s="408"/>
      <c r="BI5" s="1044" t="s">
        <v>130</v>
      </c>
      <c r="BJ5" s="632" t="s">
        <v>131</v>
      </c>
      <c r="BK5" s="102" t="s">
        <v>304</v>
      </c>
      <c r="BL5" s="135">
        <v>44804</v>
      </c>
      <c r="BM5" s="86">
        <v>19088.099999999999</v>
      </c>
      <c r="BN5" s="73">
        <v>21</v>
      </c>
      <c r="BO5" s="564">
        <v>19032.7</v>
      </c>
      <c r="BP5" s="138">
        <f>BM5-BO5</f>
        <v>55.399999999997817</v>
      </c>
      <c r="BQ5" s="408"/>
      <c r="BS5" s="1047" t="s">
        <v>130</v>
      </c>
      <c r="BT5" s="804" t="s">
        <v>131</v>
      </c>
      <c r="BU5" s="226" t="s">
        <v>305</v>
      </c>
      <c r="BV5" s="134">
        <v>44806</v>
      </c>
      <c r="BW5" s="86">
        <v>19139.939999999999</v>
      </c>
      <c r="BX5" s="73">
        <v>21</v>
      </c>
      <c r="BY5" s="564">
        <v>19155.2</v>
      </c>
      <c r="BZ5" s="138">
        <f>BW5-BY5</f>
        <v>-15.260000000002037</v>
      </c>
      <c r="CA5" s="245"/>
      <c r="CB5" s="245"/>
      <c r="CC5" s="227" t="s">
        <v>130</v>
      </c>
      <c r="CD5" s="804" t="s">
        <v>131</v>
      </c>
      <c r="CE5" s="226" t="s">
        <v>345</v>
      </c>
      <c r="CF5" s="134">
        <v>44811</v>
      </c>
      <c r="CG5" s="86">
        <v>18888.43</v>
      </c>
      <c r="CH5" s="73">
        <v>21</v>
      </c>
      <c r="CI5" s="564">
        <v>18972.599999999999</v>
      </c>
      <c r="CJ5" s="138">
        <f>CG5-CI5</f>
        <v>-84.169999999998254</v>
      </c>
      <c r="CK5" s="245"/>
      <c r="CL5" s="245"/>
      <c r="CM5" s="1044" t="s">
        <v>130</v>
      </c>
      <c r="CN5" s="828" t="s">
        <v>131</v>
      </c>
      <c r="CO5" s="128" t="s">
        <v>346</v>
      </c>
      <c r="CP5" s="134">
        <v>44811</v>
      </c>
      <c r="CQ5" s="86">
        <v>19117.32</v>
      </c>
      <c r="CR5" s="73">
        <v>21</v>
      </c>
      <c r="CS5" s="564">
        <v>19111.5</v>
      </c>
      <c r="CT5" s="138">
        <f>CQ5-CS5</f>
        <v>5.819999999999709</v>
      </c>
      <c r="CU5" s="408"/>
      <c r="CW5" s="227" t="s">
        <v>130</v>
      </c>
      <c r="CX5" s="632" t="s">
        <v>131</v>
      </c>
      <c r="CY5" s="128" t="s">
        <v>347</v>
      </c>
      <c r="CZ5" s="134">
        <v>44812</v>
      </c>
      <c r="DA5" s="86">
        <v>19027.88</v>
      </c>
      <c r="DB5" s="73">
        <v>21</v>
      </c>
      <c r="DC5" s="564">
        <v>18978.3</v>
      </c>
      <c r="DD5" s="138">
        <f>DA5-DC5</f>
        <v>49.580000000001746</v>
      </c>
      <c r="DE5" s="408"/>
      <c r="DG5" s="75" t="s">
        <v>130</v>
      </c>
      <c r="DH5" s="804" t="s">
        <v>131</v>
      </c>
      <c r="DI5" s="226" t="s">
        <v>348</v>
      </c>
      <c r="DJ5" s="134">
        <v>44814</v>
      </c>
      <c r="DK5" s="86">
        <v>19234.439999999999</v>
      </c>
      <c r="DL5" s="73">
        <v>21</v>
      </c>
      <c r="DM5" s="564">
        <v>19288.400000000001</v>
      </c>
      <c r="DN5" s="138">
        <f>DK5-DM5</f>
        <v>-53.960000000002765</v>
      </c>
      <c r="DO5" s="408"/>
      <c r="DQ5" s="1046" t="s">
        <v>130</v>
      </c>
      <c r="DR5" s="804" t="s">
        <v>131</v>
      </c>
      <c r="DS5" s="226" t="s">
        <v>349</v>
      </c>
      <c r="DT5" s="134">
        <v>44814</v>
      </c>
      <c r="DU5" s="86">
        <v>18891.63</v>
      </c>
      <c r="DV5" s="73">
        <v>21</v>
      </c>
      <c r="DW5" s="564">
        <v>18933.8</v>
      </c>
      <c r="DX5" s="138">
        <f>DU5-DW5</f>
        <v>-42.169999999998254</v>
      </c>
      <c r="DY5" s="245"/>
      <c r="EA5" s="75" t="s">
        <v>350</v>
      </c>
      <c r="EB5" s="803" t="s">
        <v>299</v>
      </c>
      <c r="EC5" s="226" t="s">
        <v>351</v>
      </c>
      <c r="ED5" s="134">
        <v>44814</v>
      </c>
      <c r="EE5" s="86">
        <v>18155.939999999999</v>
      </c>
      <c r="EF5" s="73">
        <v>20</v>
      </c>
      <c r="EG5" s="564">
        <v>18314.13</v>
      </c>
      <c r="EH5" s="138">
        <f>EE5-EG5</f>
        <v>-158.19000000000233</v>
      </c>
      <c r="EI5" s="408"/>
      <c r="EJ5" s="75" t="s">
        <v>49</v>
      </c>
      <c r="EK5" s="75" t="s">
        <v>130</v>
      </c>
      <c r="EL5" s="632" t="s">
        <v>131</v>
      </c>
      <c r="EM5" s="226" t="s">
        <v>352</v>
      </c>
      <c r="EN5" s="134">
        <v>44817</v>
      </c>
      <c r="EO5" s="86">
        <v>19014.89</v>
      </c>
      <c r="EP5" s="73">
        <v>21</v>
      </c>
      <c r="EQ5" s="564">
        <v>19037.599999999999</v>
      </c>
      <c r="ER5" s="138">
        <f>EO5-EQ5</f>
        <v>-22.709999999999127</v>
      </c>
      <c r="ES5" s="408"/>
      <c r="ET5" s="75" t="s">
        <v>49</v>
      </c>
      <c r="EU5" s="227" t="s">
        <v>130</v>
      </c>
      <c r="EV5" s="632" t="s">
        <v>131</v>
      </c>
      <c r="EW5" s="128" t="s">
        <v>353</v>
      </c>
      <c r="EX5" s="134">
        <v>44817</v>
      </c>
      <c r="EY5" s="86">
        <v>19040.71</v>
      </c>
      <c r="EZ5" s="73">
        <v>21</v>
      </c>
      <c r="FA5" s="615">
        <v>19034.5</v>
      </c>
      <c r="FB5" s="138">
        <f>EY5-FA5</f>
        <v>6.2099999999991269</v>
      </c>
      <c r="FC5" s="408"/>
      <c r="FE5" s="75" t="s">
        <v>350</v>
      </c>
      <c r="FF5" s="803" t="s">
        <v>354</v>
      </c>
      <c r="FG5" s="226" t="s">
        <v>355</v>
      </c>
      <c r="FH5" s="134">
        <v>44817</v>
      </c>
      <c r="FI5" s="86">
        <v>18842.21</v>
      </c>
      <c r="FJ5" s="73">
        <v>20</v>
      </c>
      <c r="FK5" s="615">
        <v>18866.189999999999</v>
      </c>
      <c r="FL5" s="138">
        <f>FI5-FK5</f>
        <v>-23.979999999999563</v>
      </c>
      <c r="FM5" s="408"/>
      <c r="FO5" s="378" t="s">
        <v>350</v>
      </c>
      <c r="FP5" s="803" t="s">
        <v>354</v>
      </c>
      <c r="FQ5" s="226" t="s">
        <v>357</v>
      </c>
      <c r="FR5" s="134">
        <v>44819</v>
      </c>
      <c r="FS5" s="86">
        <v>18437</v>
      </c>
      <c r="FT5" s="73">
        <v>20</v>
      </c>
      <c r="FU5" s="564">
        <v>18473.8</v>
      </c>
      <c r="FV5" s="138">
        <f>FS5-FU5</f>
        <v>-36.799999999999272</v>
      </c>
      <c r="FW5" s="408"/>
      <c r="FY5" s="227" t="s">
        <v>358</v>
      </c>
      <c r="FZ5" s="632" t="s">
        <v>131</v>
      </c>
      <c r="GA5" s="128" t="s">
        <v>359</v>
      </c>
      <c r="GB5" s="134">
        <v>44819</v>
      </c>
      <c r="GC5" s="86">
        <v>18904.29</v>
      </c>
      <c r="GD5" s="73">
        <v>21</v>
      </c>
      <c r="GE5" s="564">
        <v>18913.900000000001</v>
      </c>
      <c r="GF5" s="138">
        <f>GC5-GE5</f>
        <v>-9.6100000000005821</v>
      </c>
      <c r="GG5" s="408"/>
      <c r="GI5" s="1008" t="s">
        <v>130</v>
      </c>
      <c r="GJ5" s="632" t="s">
        <v>131</v>
      </c>
      <c r="GK5" s="226" t="s">
        <v>360</v>
      </c>
      <c r="GL5" s="135">
        <v>44820</v>
      </c>
      <c r="GM5" s="86">
        <v>19085.12</v>
      </c>
      <c r="GN5" s="73">
        <v>21</v>
      </c>
      <c r="GO5" s="564">
        <v>19109</v>
      </c>
      <c r="GP5" s="138">
        <f>GM5-GO5</f>
        <v>-23.880000000001019</v>
      </c>
      <c r="GQ5" s="408"/>
      <c r="GS5" s="1044" t="s">
        <v>401</v>
      </c>
      <c r="GT5" s="632" t="s">
        <v>402</v>
      </c>
      <c r="GU5" s="73" t="s">
        <v>403</v>
      </c>
      <c r="GV5" s="135">
        <v>44824</v>
      </c>
      <c r="GW5" s="86">
        <v>19029.2</v>
      </c>
      <c r="GX5" s="73">
        <v>21</v>
      </c>
      <c r="GY5" s="564">
        <v>19069.900000000001</v>
      </c>
      <c r="GZ5" s="138">
        <f>GW5-GY5</f>
        <v>-40.700000000000728</v>
      </c>
      <c r="HA5" s="408"/>
      <c r="HC5" s="1047" t="s">
        <v>130</v>
      </c>
      <c r="HD5" s="632" t="s">
        <v>131</v>
      </c>
      <c r="HE5" s="226" t="s">
        <v>404</v>
      </c>
      <c r="HF5" s="135">
        <v>44824</v>
      </c>
      <c r="HG5" s="86">
        <v>18670.46</v>
      </c>
      <c r="HH5" s="73">
        <v>21</v>
      </c>
      <c r="HI5" s="564">
        <v>18708.5</v>
      </c>
      <c r="HJ5" s="138">
        <f>HG5-HI5</f>
        <v>-38.040000000000873</v>
      </c>
      <c r="HK5" s="408"/>
      <c r="HM5" s="75" t="s">
        <v>350</v>
      </c>
      <c r="HN5" s="803" t="s">
        <v>299</v>
      </c>
      <c r="HO5" s="226" t="s">
        <v>405</v>
      </c>
      <c r="HP5" s="134">
        <v>44824</v>
      </c>
      <c r="HQ5" s="86">
        <v>18163.849999999999</v>
      </c>
      <c r="HR5" s="73">
        <v>20</v>
      </c>
      <c r="HS5" s="132">
        <v>18207.09</v>
      </c>
      <c r="HT5" s="138">
        <f>HQ5-HS5</f>
        <v>-43.240000000001601</v>
      </c>
      <c r="HU5" s="408"/>
      <c r="HW5" s="1044" t="s">
        <v>350</v>
      </c>
      <c r="HX5" s="803" t="s">
        <v>406</v>
      </c>
      <c r="HY5" s="226" t="s">
        <v>407</v>
      </c>
      <c r="HZ5" s="134">
        <v>44825</v>
      </c>
      <c r="IA5" s="86">
        <v>18296.439999999999</v>
      </c>
      <c r="IB5" s="73">
        <v>20</v>
      </c>
      <c r="IC5" s="564">
        <v>18329.09</v>
      </c>
      <c r="ID5" s="138">
        <f>IA5-IC5</f>
        <v>-32.650000000001455</v>
      </c>
      <c r="IE5" s="408"/>
      <c r="IG5" s="1044" t="s">
        <v>130</v>
      </c>
      <c r="IH5" s="632" t="s">
        <v>131</v>
      </c>
      <c r="II5" s="226" t="s">
        <v>408</v>
      </c>
      <c r="IJ5" s="134">
        <v>44826</v>
      </c>
      <c r="IK5" s="86">
        <v>19078.37</v>
      </c>
      <c r="IL5" s="73">
        <v>21</v>
      </c>
      <c r="IM5" s="564">
        <v>19098.400000000001</v>
      </c>
      <c r="IN5" s="138">
        <f>IK5-IM5</f>
        <v>-20.030000000002474</v>
      </c>
      <c r="IO5" s="408"/>
      <c r="IQ5" s="1044" t="s">
        <v>130</v>
      </c>
      <c r="IR5" s="846" t="s">
        <v>131</v>
      </c>
      <c r="IS5" s="128" t="s">
        <v>409</v>
      </c>
      <c r="IT5" s="135">
        <v>44826</v>
      </c>
      <c r="IU5" s="86">
        <v>18709.22</v>
      </c>
      <c r="IV5" s="73">
        <v>21</v>
      </c>
      <c r="IW5" s="564">
        <v>18727.599999999999</v>
      </c>
      <c r="IX5" s="138">
        <f>IU5-IW5</f>
        <v>-18.379999999997381</v>
      </c>
      <c r="IY5" s="408"/>
      <c r="JA5" s="75" t="s">
        <v>130</v>
      </c>
      <c r="JB5" s="632" t="s">
        <v>131</v>
      </c>
      <c r="JC5" s="128" t="s">
        <v>410</v>
      </c>
      <c r="JD5" s="134">
        <v>44827</v>
      </c>
      <c r="JE5" s="86">
        <v>18948.98</v>
      </c>
      <c r="JF5" s="73">
        <v>21</v>
      </c>
      <c r="JG5" s="564">
        <v>19005.7</v>
      </c>
      <c r="JH5" s="138">
        <f>JE5-JG5</f>
        <v>-56.720000000001164</v>
      </c>
      <c r="JI5" s="408"/>
      <c r="JK5" s="1046" t="s">
        <v>302</v>
      </c>
      <c r="JL5" s="881" t="s">
        <v>466</v>
      </c>
      <c r="JM5" s="226" t="s">
        <v>468</v>
      </c>
      <c r="JN5" s="134">
        <v>44831</v>
      </c>
      <c r="JO5" s="86">
        <v>18852.580000000002</v>
      </c>
      <c r="JP5" s="73">
        <v>20</v>
      </c>
      <c r="JQ5" s="615">
        <v>18908.36</v>
      </c>
      <c r="JR5" s="138">
        <f>JO5-JQ5</f>
        <v>-55.779999999998836</v>
      </c>
      <c r="JS5" s="408"/>
      <c r="JU5" s="227" t="s">
        <v>130</v>
      </c>
      <c r="JV5" s="632" t="s">
        <v>131</v>
      </c>
      <c r="JW5" s="128" t="s">
        <v>467</v>
      </c>
      <c r="JX5" s="134">
        <v>44832</v>
      </c>
      <c r="JY5" s="86">
        <v>19023.8</v>
      </c>
      <c r="JZ5" s="73">
        <v>21</v>
      </c>
      <c r="KA5" s="564">
        <v>19087.400000000001</v>
      </c>
      <c r="KB5" s="138">
        <f>JY5-KA5</f>
        <v>-63.600000000002183</v>
      </c>
      <c r="KC5" s="408"/>
      <c r="KE5" s="1052" t="s">
        <v>130</v>
      </c>
      <c r="KF5" s="632" t="s">
        <v>131</v>
      </c>
      <c r="KG5" s="128" t="s">
        <v>469</v>
      </c>
      <c r="KH5" s="134">
        <v>44833</v>
      </c>
      <c r="KI5" s="86">
        <v>18953.61</v>
      </c>
      <c r="KJ5" s="73">
        <v>21</v>
      </c>
      <c r="KK5" s="564">
        <v>19038</v>
      </c>
      <c r="KL5" s="138">
        <f>KI5-KK5</f>
        <v>-84.389999999999418</v>
      </c>
      <c r="KM5" s="408"/>
      <c r="KO5" s="227" t="s">
        <v>130</v>
      </c>
      <c r="KP5" s="632" t="s">
        <v>131</v>
      </c>
      <c r="KQ5" s="128" t="s">
        <v>470</v>
      </c>
      <c r="KR5" s="134">
        <v>44833</v>
      </c>
      <c r="KS5" s="86">
        <v>18809.29</v>
      </c>
      <c r="KT5" s="73">
        <v>21</v>
      </c>
      <c r="KU5" s="564">
        <v>18894.599999999999</v>
      </c>
      <c r="KV5" s="138">
        <f>KS5-KU5</f>
        <v>-85.309999999997672</v>
      </c>
      <c r="KW5" s="408"/>
      <c r="KY5" s="227" t="s">
        <v>350</v>
      </c>
      <c r="KZ5" s="803" t="s">
        <v>299</v>
      </c>
      <c r="LA5" s="128" t="s">
        <v>471</v>
      </c>
      <c r="LB5" s="135">
        <v>44834</v>
      </c>
      <c r="LC5" s="86">
        <v>18717.740000000002</v>
      </c>
      <c r="LD5" s="73">
        <v>20</v>
      </c>
      <c r="LE5" s="48">
        <v>18753.669999999998</v>
      </c>
      <c r="LF5" s="138">
        <f>LC5-LE5</f>
        <v>-35.929999999996653</v>
      </c>
      <c r="LG5" s="408"/>
      <c r="LH5" s="75" t="s">
        <v>41</v>
      </c>
      <c r="LI5" s="75" t="s">
        <v>130</v>
      </c>
      <c r="LJ5" s="632" t="s">
        <v>131</v>
      </c>
      <c r="LK5" s="226" t="s">
        <v>472</v>
      </c>
      <c r="LL5" s="134">
        <v>44834</v>
      </c>
      <c r="LM5" s="86">
        <v>18895.86</v>
      </c>
      <c r="LN5" s="73">
        <v>21</v>
      </c>
      <c r="LO5" s="564">
        <v>18950.900000000001</v>
      </c>
      <c r="LP5" s="138">
        <f>LM5-LO5</f>
        <v>-55.040000000000873</v>
      </c>
      <c r="LQ5" s="408"/>
      <c r="LS5" s="75" t="s">
        <v>130</v>
      </c>
      <c r="LT5" s="632" t="s">
        <v>131</v>
      </c>
      <c r="LU5" s="102" t="s">
        <v>473</v>
      </c>
      <c r="LV5" s="134">
        <v>44834</v>
      </c>
      <c r="LW5" s="86">
        <v>18787.43</v>
      </c>
      <c r="LX5" s="73">
        <v>21</v>
      </c>
      <c r="LY5" s="564">
        <v>18860.2</v>
      </c>
      <c r="LZ5" s="138">
        <f>LW5-LY5</f>
        <v>-72.770000000000437</v>
      </c>
      <c r="MA5" s="408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86601371</v>
      </c>
      <c r="E6" s="135">
        <f t="shared" si="2"/>
        <v>44803</v>
      </c>
      <c r="F6" s="86">
        <f t="shared" si="2"/>
        <v>19151.18</v>
      </c>
      <c r="G6" s="73">
        <f t="shared" si="2"/>
        <v>21</v>
      </c>
      <c r="H6" s="48">
        <f t="shared" si="2"/>
        <v>19228.599999999999</v>
      </c>
      <c r="I6" s="105">
        <f>AL5</f>
        <v>-77.419999999998254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1044"/>
      <c r="BJ6" s="571"/>
      <c r="BO6" s="73"/>
      <c r="BQ6" s="245"/>
      <c r="BS6" s="1047"/>
      <c r="BT6" s="229"/>
      <c r="BY6" s="73"/>
      <c r="CA6" s="245"/>
      <c r="CB6" s="245"/>
      <c r="CC6" s="227"/>
      <c r="CD6" s="229"/>
      <c r="CI6" s="73"/>
      <c r="CK6" s="245"/>
      <c r="CL6" s="245"/>
      <c r="CM6" s="1044"/>
      <c r="CN6" s="430"/>
      <c r="CS6" s="73"/>
      <c r="CU6" s="245"/>
      <c r="CW6" s="227"/>
      <c r="CX6" s="229"/>
      <c r="DC6" s="73"/>
      <c r="DE6" s="245"/>
      <c r="DG6" s="62"/>
      <c r="DH6" s="229"/>
      <c r="DM6" s="73"/>
      <c r="DO6" s="245"/>
      <c r="DQ6" s="1046"/>
      <c r="DR6" s="229"/>
      <c r="DW6" s="73"/>
      <c r="DY6" s="245"/>
      <c r="EB6" s="229"/>
      <c r="EG6" s="73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1010"/>
      <c r="GJ6" s="229"/>
      <c r="GO6" s="73"/>
      <c r="GQ6" s="245"/>
      <c r="GS6" s="1044"/>
      <c r="GT6" s="228"/>
      <c r="GY6" s="73"/>
      <c r="HA6" s="245"/>
      <c r="HC6" s="1047"/>
      <c r="HD6" s="229"/>
      <c r="HI6" s="73"/>
      <c r="HK6" s="245"/>
      <c r="HM6" s="177"/>
      <c r="HN6" s="229"/>
      <c r="HS6" s="73"/>
      <c r="HU6" s="245"/>
      <c r="HW6" s="1044"/>
      <c r="IC6" s="73"/>
      <c r="IE6" s="245"/>
      <c r="IG6" s="1044"/>
      <c r="IM6" s="73"/>
      <c r="IO6" s="245"/>
      <c r="IQ6" s="1044"/>
      <c r="IR6" s="229"/>
      <c r="IW6" s="73"/>
      <c r="IY6" s="245"/>
      <c r="JG6" s="73"/>
      <c r="JI6" s="245"/>
      <c r="JK6" s="1046"/>
      <c r="JL6" s="229"/>
      <c r="JQ6" s="73"/>
      <c r="JS6" s="245"/>
      <c r="JU6" s="227"/>
      <c r="JV6" s="229"/>
      <c r="KA6" s="73"/>
      <c r="KC6" s="245"/>
      <c r="KE6" s="1052"/>
      <c r="KF6" s="229"/>
      <c r="KK6" s="73"/>
      <c r="KM6" s="245"/>
      <c r="KO6" s="227"/>
      <c r="KP6" s="229"/>
      <c r="KU6" s="73"/>
      <c r="KW6" s="245"/>
      <c r="KY6" s="227"/>
      <c r="KZ6" s="281"/>
      <c r="LE6" s="73"/>
      <c r="LG6" s="245"/>
      <c r="LJ6" s="229"/>
      <c r="LO6" s="73"/>
      <c r="LT6" s="229"/>
      <c r="LY6" s="73"/>
      <c r="MA6" s="405"/>
      <c r="MB6" s="405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SAM  FARMS</v>
      </c>
      <c r="C7" s="75" t="str">
        <f t="shared" ref="C7:I7" si="3">AP5</f>
        <v xml:space="preserve">I B P </v>
      </c>
      <c r="D7" s="102" t="str">
        <f t="shared" si="3"/>
        <v>PED. 86601425</v>
      </c>
      <c r="E7" s="135">
        <f t="shared" si="3"/>
        <v>44803</v>
      </c>
      <c r="F7" s="86">
        <f t="shared" si="3"/>
        <v>18675.16</v>
      </c>
      <c r="G7" s="73">
        <f t="shared" si="3"/>
        <v>20</v>
      </c>
      <c r="H7" s="48">
        <f t="shared" si="3"/>
        <v>18731.419999999998</v>
      </c>
      <c r="I7" s="105">
        <f t="shared" si="3"/>
        <v>-56.259999999998399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09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09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09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09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09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09"/>
      <c r="BR7" s="405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09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09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09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09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09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09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09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09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09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09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09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09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09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09"/>
      <c r="IG7" s="404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09"/>
      <c r="IQ7" s="404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09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09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09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09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09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09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09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09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09"/>
      <c r="MB7" s="409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>I B P</v>
      </c>
      <c r="D8" s="102" t="str">
        <f t="shared" si="4"/>
        <v>PED. 86601363</v>
      </c>
      <c r="E8" s="135">
        <f t="shared" si="4"/>
        <v>44803</v>
      </c>
      <c r="F8" s="86">
        <f t="shared" si="4"/>
        <v>18558.53</v>
      </c>
      <c r="G8" s="73">
        <f t="shared" si="4"/>
        <v>20</v>
      </c>
      <c r="H8" s="48">
        <f t="shared" si="4"/>
        <v>18747.34</v>
      </c>
      <c r="I8" s="105">
        <f t="shared" si="4"/>
        <v>-188.81000000000131</v>
      </c>
      <c r="K8" s="61"/>
      <c r="L8" s="106"/>
      <c r="M8" s="15">
        <v>1</v>
      </c>
      <c r="N8" s="92">
        <v>892.7</v>
      </c>
      <c r="O8" s="254">
        <v>44803</v>
      </c>
      <c r="P8" s="92">
        <v>892.7</v>
      </c>
      <c r="Q8" s="70" t="s">
        <v>506</v>
      </c>
      <c r="R8" s="71">
        <v>53</v>
      </c>
      <c r="S8" s="405">
        <f>R8*P8</f>
        <v>47313.100000000006</v>
      </c>
      <c r="U8" s="61"/>
      <c r="V8" s="106"/>
      <c r="W8" s="15">
        <v>1</v>
      </c>
      <c r="X8" s="92">
        <v>916</v>
      </c>
      <c r="Y8" s="254">
        <v>44806</v>
      </c>
      <c r="Z8" s="92">
        <v>916</v>
      </c>
      <c r="AA8" s="70" t="s">
        <v>548</v>
      </c>
      <c r="AB8" s="71">
        <v>51</v>
      </c>
      <c r="AC8" s="405">
        <f>AB8*Z8</f>
        <v>46716</v>
      </c>
      <c r="AE8" s="61"/>
      <c r="AF8" s="106"/>
      <c r="AG8" s="15">
        <v>1</v>
      </c>
      <c r="AH8" s="92">
        <v>912.2</v>
      </c>
      <c r="AI8" s="246">
        <v>44805</v>
      </c>
      <c r="AJ8" s="92">
        <v>912.2</v>
      </c>
      <c r="AK8" s="95" t="s">
        <v>534</v>
      </c>
      <c r="AL8" s="71">
        <v>49</v>
      </c>
      <c r="AM8" s="405">
        <f>AL8*AJ8</f>
        <v>44697.8</v>
      </c>
      <c r="AO8" s="61"/>
      <c r="AP8" s="106"/>
      <c r="AQ8" s="15">
        <v>1</v>
      </c>
      <c r="AR8" s="92">
        <v>938.93</v>
      </c>
      <c r="AS8" s="246">
        <v>44803</v>
      </c>
      <c r="AT8" s="92">
        <v>938.93</v>
      </c>
      <c r="AU8" s="95" t="s">
        <v>515</v>
      </c>
      <c r="AV8" s="71">
        <v>53</v>
      </c>
      <c r="AW8" s="405">
        <f>AV8*AT8</f>
        <v>49763.29</v>
      </c>
      <c r="AY8" s="61"/>
      <c r="AZ8" s="106"/>
      <c r="BA8" s="15">
        <v>1</v>
      </c>
      <c r="BB8" s="92">
        <v>936.21</v>
      </c>
      <c r="BC8" s="246">
        <v>44805</v>
      </c>
      <c r="BD8" s="92">
        <v>936.21</v>
      </c>
      <c r="BE8" s="95" t="s">
        <v>528</v>
      </c>
      <c r="BF8" s="71">
        <v>49</v>
      </c>
      <c r="BG8" s="405">
        <f>BF8*BD8</f>
        <v>45874.29</v>
      </c>
      <c r="BI8" s="61"/>
      <c r="BJ8" s="106"/>
      <c r="BK8" s="15">
        <v>1</v>
      </c>
      <c r="BL8" s="92">
        <v>916.3</v>
      </c>
      <c r="BM8" s="135">
        <v>44807</v>
      </c>
      <c r="BN8" s="92">
        <v>916.3</v>
      </c>
      <c r="BO8" s="95" t="s">
        <v>562</v>
      </c>
      <c r="BP8" s="290">
        <v>51</v>
      </c>
      <c r="BQ8" s="496">
        <f>BP8*BN8</f>
        <v>46731.299999999996</v>
      </c>
      <c r="BR8" s="405"/>
      <c r="BS8" s="61"/>
      <c r="BT8" s="106"/>
      <c r="BU8" s="15">
        <v>1</v>
      </c>
      <c r="BV8" s="92">
        <v>886.3</v>
      </c>
      <c r="BW8" s="291">
        <v>44809</v>
      </c>
      <c r="BX8" s="92">
        <v>886.3</v>
      </c>
      <c r="BY8" s="621" t="s">
        <v>567</v>
      </c>
      <c r="BZ8" s="292">
        <v>51</v>
      </c>
      <c r="CA8" s="405">
        <f>BZ8*BX8</f>
        <v>45201.299999999996</v>
      </c>
      <c r="CC8" s="61"/>
      <c r="CD8" s="214"/>
      <c r="CE8" s="15">
        <v>1</v>
      </c>
      <c r="CF8" s="92">
        <v>888.1</v>
      </c>
      <c r="CG8" s="291">
        <v>44811</v>
      </c>
      <c r="CH8" s="92">
        <v>888.1</v>
      </c>
      <c r="CI8" s="293" t="s">
        <v>575</v>
      </c>
      <c r="CJ8" s="292">
        <v>52</v>
      </c>
      <c r="CK8" s="405">
        <f>CJ8*CH8</f>
        <v>46181.200000000004</v>
      </c>
      <c r="CM8" s="61"/>
      <c r="CN8" s="94"/>
      <c r="CO8" s="15">
        <v>1</v>
      </c>
      <c r="CP8" s="92">
        <v>938</v>
      </c>
      <c r="CQ8" s="291">
        <v>44811</v>
      </c>
      <c r="CR8" s="92">
        <v>938</v>
      </c>
      <c r="CS8" s="293" t="s">
        <v>554</v>
      </c>
      <c r="CT8" s="292">
        <v>51</v>
      </c>
      <c r="CU8" s="410">
        <f>CT8*CR8</f>
        <v>47838</v>
      </c>
      <c r="CW8" s="61"/>
      <c r="CX8" s="106"/>
      <c r="CY8" s="15">
        <v>1</v>
      </c>
      <c r="CZ8" s="92">
        <v>922.6</v>
      </c>
      <c r="DA8" s="246">
        <v>44812</v>
      </c>
      <c r="DB8" s="92">
        <v>922.6</v>
      </c>
      <c r="DC8" s="95" t="s">
        <v>582</v>
      </c>
      <c r="DD8" s="71">
        <v>53</v>
      </c>
      <c r="DE8" s="405">
        <f>DD8*DB8</f>
        <v>48897.8</v>
      </c>
      <c r="DG8" s="61"/>
      <c r="DH8" s="106"/>
      <c r="DI8" s="15">
        <v>1</v>
      </c>
      <c r="DJ8" s="92">
        <v>909.9</v>
      </c>
      <c r="DK8" s="291">
        <v>44817</v>
      </c>
      <c r="DL8" s="918">
        <v>909.9</v>
      </c>
      <c r="DM8" s="919" t="s">
        <v>619</v>
      </c>
      <c r="DN8" s="292">
        <v>55</v>
      </c>
      <c r="DO8" s="410">
        <f>DN8*DL8</f>
        <v>50044.5</v>
      </c>
      <c r="DQ8" s="61"/>
      <c r="DR8" s="106"/>
      <c r="DS8" s="15">
        <v>1</v>
      </c>
      <c r="DT8" s="92">
        <v>889.5</v>
      </c>
      <c r="DU8" s="291">
        <v>44814</v>
      </c>
      <c r="DV8" s="92">
        <v>889.5</v>
      </c>
      <c r="DW8" s="293" t="s">
        <v>592</v>
      </c>
      <c r="DX8" s="292">
        <v>53</v>
      </c>
      <c r="DY8" s="405">
        <f>DX8*DV8</f>
        <v>47143.5</v>
      </c>
      <c r="EA8" s="61"/>
      <c r="EB8" s="106"/>
      <c r="EC8" s="15">
        <v>1</v>
      </c>
      <c r="ED8" s="92">
        <v>914.89</v>
      </c>
      <c r="EE8" s="254">
        <v>44814</v>
      </c>
      <c r="EF8" s="92">
        <v>914.89</v>
      </c>
      <c r="EG8" s="70" t="s">
        <v>594</v>
      </c>
      <c r="EH8" s="71">
        <v>53</v>
      </c>
      <c r="EI8" s="405">
        <f>EH8*EF8</f>
        <v>48489.17</v>
      </c>
      <c r="EK8" s="61"/>
      <c r="EL8" s="106"/>
      <c r="EM8" s="15">
        <v>1</v>
      </c>
      <c r="EN8" s="92">
        <v>890.9</v>
      </c>
      <c r="EO8" s="254">
        <v>44817</v>
      </c>
      <c r="EP8" s="92">
        <v>890.9</v>
      </c>
      <c r="EQ8" s="70" t="s">
        <v>621</v>
      </c>
      <c r="ER8" s="71">
        <v>55</v>
      </c>
      <c r="ES8" s="405">
        <f>ER8*EP8</f>
        <v>48999.5</v>
      </c>
      <c r="EU8" s="61"/>
      <c r="EV8" s="333"/>
      <c r="EW8" s="15">
        <v>1</v>
      </c>
      <c r="EX8" s="92">
        <v>881.8</v>
      </c>
      <c r="EY8" s="246">
        <v>44817</v>
      </c>
      <c r="EZ8" s="92">
        <v>881.8</v>
      </c>
      <c r="FA8" s="70" t="s">
        <v>624</v>
      </c>
      <c r="FB8" s="71">
        <v>55</v>
      </c>
      <c r="FC8" s="405">
        <f>FB8*EZ8</f>
        <v>48499</v>
      </c>
      <c r="FE8" s="61"/>
      <c r="FF8" s="333"/>
      <c r="FG8" s="15">
        <v>1</v>
      </c>
      <c r="FH8" s="92">
        <v>949.36</v>
      </c>
      <c r="FI8" s="246">
        <v>44817</v>
      </c>
      <c r="FJ8" s="92">
        <v>949.36</v>
      </c>
      <c r="FK8" s="70" t="s">
        <v>626</v>
      </c>
      <c r="FL8" s="71">
        <v>55</v>
      </c>
      <c r="FM8" s="245">
        <f>FL8*FJ8</f>
        <v>52214.8</v>
      </c>
      <c r="FO8" s="61"/>
      <c r="FP8" s="106"/>
      <c r="FQ8" s="15">
        <v>1</v>
      </c>
      <c r="FR8" s="92">
        <v>908.99</v>
      </c>
      <c r="FS8" s="246">
        <v>44819</v>
      </c>
      <c r="FT8" s="92">
        <v>908.99</v>
      </c>
      <c r="FU8" s="70" t="s">
        <v>649</v>
      </c>
      <c r="FV8" s="71">
        <v>57</v>
      </c>
      <c r="FW8" s="405">
        <f>FV8*FT8</f>
        <v>51812.43</v>
      </c>
      <c r="FY8" s="61"/>
      <c r="FZ8" s="106"/>
      <c r="GA8" s="15">
        <v>1</v>
      </c>
      <c r="GB8" s="92">
        <v>908.1</v>
      </c>
      <c r="GC8" s="254">
        <v>44821</v>
      </c>
      <c r="GD8" s="92">
        <v>908.1</v>
      </c>
      <c r="GE8" s="70" t="s">
        <v>669</v>
      </c>
      <c r="GF8" s="71">
        <v>57</v>
      </c>
      <c r="GG8" s="245">
        <f>GF8*GD8</f>
        <v>51761.700000000004</v>
      </c>
      <c r="GI8" s="61"/>
      <c r="GJ8" s="106"/>
      <c r="GK8" s="15">
        <v>1</v>
      </c>
      <c r="GL8" s="358">
        <v>922.6</v>
      </c>
      <c r="GM8" s="246">
        <v>44820</v>
      </c>
      <c r="GN8" s="358">
        <v>922.6</v>
      </c>
      <c r="GO8" s="95" t="s">
        <v>659</v>
      </c>
      <c r="GP8" s="71">
        <v>57</v>
      </c>
      <c r="GQ8" s="405">
        <f>GP8*GN8</f>
        <v>52588.200000000004</v>
      </c>
      <c r="GS8" s="61"/>
      <c r="GT8" s="106"/>
      <c r="GU8" s="15">
        <v>1</v>
      </c>
      <c r="GV8" s="92">
        <v>936.2</v>
      </c>
      <c r="GW8" s="246">
        <v>44824</v>
      </c>
      <c r="GX8" s="92">
        <v>936.2</v>
      </c>
      <c r="GY8" s="95" t="s">
        <v>680</v>
      </c>
      <c r="GZ8" s="71">
        <v>57</v>
      </c>
      <c r="HA8" s="405">
        <f>GZ8*GX8</f>
        <v>53363.4</v>
      </c>
      <c r="HC8" s="61"/>
      <c r="HD8" s="106"/>
      <c r="HE8" s="15">
        <v>1</v>
      </c>
      <c r="HF8" s="92">
        <v>930.8</v>
      </c>
      <c r="HG8" s="246">
        <v>44824</v>
      </c>
      <c r="HH8" s="92">
        <v>930.8</v>
      </c>
      <c r="HI8" s="95" t="s">
        <v>690</v>
      </c>
      <c r="HJ8" s="71">
        <v>57</v>
      </c>
      <c r="HK8" s="405">
        <f>HJ8*HH8</f>
        <v>53055.6</v>
      </c>
      <c r="HM8" s="61"/>
      <c r="HN8" s="106"/>
      <c r="HO8" s="15">
        <v>1</v>
      </c>
      <c r="HP8" s="92">
        <v>899.47</v>
      </c>
      <c r="HQ8" s="246">
        <v>44824</v>
      </c>
      <c r="HR8" s="92">
        <v>899.47</v>
      </c>
      <c r="HS8" s="294" t="s">
        <v>691</v>
      </c>
      <c r="HT8" s="71">
        <v>57</v>
      </c>
      <c r="HU8" s="405">
        <f>HT8*HR8</f>
        <v>51269.79</v>
      </c>
      <c r="HW8" s="61"/>
      <c r="HX8" s="106"/>
      <c r="HY8" s="15">
        <v>1</v>
      </c>
      <c r="HZ8" s="92">
        <v>894.48</v>
      </c>
      <c r="IA8" s="254">
        <v>44825</v>
      </c>
      <c r="IB8" s="92">
        <v>894.48</v>
      </c>
      <c r="IC8" s="70" t="s">
        <v>697</v>
      </c>
      <c r="ID8" s="71">
        <v>57</v>
      </c>
      <c r="IE8" s="405">
        <f t="shared" ref="IE8:IE28" si="5">ID8*IB8</f>
        <v>50985.36</v>
      </c>
      <c r="IG8" s="61"/>
      <c r="IH8" s="106"/>
      <c r="II8" s="15">
        <v>1</v>
      </c>
      <c r="IJ8" s="92">
        <v>939.8</v>
      </c>
      <c r="IK8" s="254">
        <v>44826</v>
      </c>
      <c r="IL8" s="92">
        <v>939.8</v>
      </c>
      <c r="IM8" s="70" t="s">
        <v>702</v>
      </c>
      <c r="IN8" s="71">
        <v>57</v>
      </c>
      <c r="IO8" s="405">
        <f>IN8*IL8</f>
        <v>53568.6</v>
      </c>
      <c r="IQ8" s="501"/>
      <c r="IR8" s="106"/>
      <c r="IS8" s="15">
        <v>1</v>
      </c>
      <c r="IT8" s="92">
        <v>886.3</v>
      </c>
      <c r="IU8" s="135">
        <v>44828</v>
      </c>
      <c r="IV8" s="92">
        <v>886.3</v>
      </c>
      <c r="IW8" s="370" t="s">
        <v>717</v>
      </c>
      <c r="IX8" s="71">
        <v>57</v>
      </c>
      <c r="IY8" s="245">
        <f>IX8*IV8</f>
        <v>50519.1</v>
      </c>
      <c r="IZ8" s="92"/>
      <c r="JA8" s="61"/>
      <c r="JB8" s="106"/>
      <c r="JC8" s="15">
        <v>1</v>
      </c>
      <c r="JD8" s="92">
        <v>921.2</v>
      </c>
      <c r="JE8" s="254">
        <v>44827</v>
      </c>
      <c r="JF8" s="92">
        <v>921.2</v>
      </c>
      <c r="JG8" s="70" t="s">
        <v>710</v>
      </c>
      <c r="JH8" s="71">
        <v>57</v>
      </c>
      <c r="JI8" s="405">
        <f>JH8*JF8</f>
        <v>52508.4</v>
      </c>
      <c r="JJ8" s="69"/>
      <c r="JK8" s="61"/>
      <c r="JL8" s="295"/>
      <c r="JM8" s="15">
        <v>1</v>
      </c>
      <c r="JN8" s="92">
        <v>959.8</v>
      </c>
      <c r="JO8" s="246">
        <v>44831</v>
      </c>
      <c r="JP8" s="92">
        <v>959.8</v>
      </c>
      <c r="JQ8" s="70" t="s">
        <v>728</v>
      </c>
      <c r="JR8" s="71">
        <v>57</v>
      </c>
      <c r="JS8" s="405">
        <f>JR8*JP8</f>
        <v>54708.6</v>
      </c>
      <c r="JU8" s="61"/>
      <c r="JV8" s="106"/>
      <c r="JW8" s="15">
        <v>1</v>
      </c>
      <c r="JX8" s="92">
        <v>890.9</v>
      </c>
      <c r="JY8" s="254">
        <v>44832</v>
      </c>
      <c r="JZ8" s="92">
        <v>890.9</v>
      </c>
      <c r="KA8" s="70" t="s">
        <v>731</v>
      </c>
      <c r="KB8" s="71">
        <v>57</v>
      </c>
      <c r="KC8" s="405">
        <f>KB8*JZ8</f>
        <v>50781.299999999996</v>
      </c>
      <c r="KE8" s="61"/>
      <c r="KF8" s="106"/>
      <c r="KG8" s="15">
        <v>1</v>
      </c>
      <c r="KH8" s="92">
        <v>934.4</v>
      </c>
      <c r="KI8" s="254">
        <v>44833</v>
      </c>
      <c r="KJ8" s="92">
        <v>934.4</v>
      </c>
      <c r="KK8" s="70" t="s">
        <v>734</v>
      </c>
      <c r="KL8" s="71">
        <v>57</v>
      </c>
      <c r="KM8" s="405">
        <f>KL8*KJ8</f>
        <v>53260.799999999996</v>
      </c>
      <c r="KO8" s="61"/>
      <c r="KP8" s="106"/>
      <c r="KQ8" s="15">
        <v>1</v>
      </c>
      <c r="KR8" s="92">
        <v>882.7</v>
      </c>
      <c r="KS8" s="254">
        <v>44834</v>
      </c>
      <c r="KT8" s="931">
        <v>882.7</v>
      </c>
      <c r="KU8" s="932" t="s">
        <v>743</v>
      </c>
      <c r="KV8" s="933">
        <v>57</v>
      </c>
      <c r="KW8" s="405">
        <f>KV8*KT8</f>
        <v>50313.9</v>
      </c>
      <c r="KY8" s="61"/>
      <c r="KZ8" s="106"/>
      <c r="LA8" s="15">
        <v>1</v>
      </c>
      <c r="LB8" s="92">
        <v>943.01</v>
      </c>
      <c r="LC8" s="246">
        <v>44834</v>
      </c>
      <c r="LD8" s="92">
        <v>943.01</v>
      </c>
      <c r="LE8" s="95" t="s">
        <v>747</v>
      </c>
      <c r="LF8" s="71">
        <v>57</v>
      </c>
      <c r="LG8" s="405">
        <f>LF8*LD8</f>
        <v>53751.57</v>
      </c>
      <c r="LI8" s="61"/>
      <c r="LJ8" s="106"/>
      <c r="LK8" s="15">
        <v>1</v>
      </c>
      <c r="LL8" s="92">
        <v>912.6</v>
      </c>
      <c r="LM8" s="246">
        <v>44834</v>
      </c>
      <c r="LN8" s="92">
        <v>912.6</v>
      </c>
      <c r="LO8" s="95" t="s">
        <v>739</v>
      </c>
      <c r="LP8" s="71">
        <v>57</v>
      </c>
      <c r="LQ8" s="405">
        <f>LP8*LN8</f>
        <v>52018.200000000004</v>
      </c>
      <c r="LS8" s="61"/>
      <c r="LT8" s="106"/>
      <c r="LU8" s="15">
        <v>1</v>
      </c>
      <c r="LV8" s="92">
        <v>901.7</v>
      </c>
      <c r="LW8" s="246">
        <v>44835</v>
      </c>
      <c r="LX8" s="92">
        <v>901.7</v>
      </c>
      <c r="LY8" s="95" t="s">
        <v>752</v>
      </c>
      <c r="LZ8" s="71">
        <v>57</v>
      </c>
      <c r="MA8" s="405">
        <f>LZ8*LX8</f>
        <v>51396.9</v>
      </c>
      <c r="MB8" s="405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86601368</v>
      </c>
      <c r="E9" s="135">
        <f t="shared" si="6"/>
        <v>44804</v>
      </c>
      <c r="F9" s="86">
        <f t="shared" si="6"/>
        <v>19088.099999999999</v>
      </c>
      <c r="G9" s="73">
        <f t="shared" si="6"/>
        <v>21</v>
      </c>
      <c r="H9" s="48">
        <f t="shared" si="6"/>
        <v>19032.7</v>
      </c>
      <c r="I9" s="105">
        <f>BP5</f>
        <v>55.399999999997817</v>
      </c>
      <c r="L9" s="106"/>
      <c r="M9" s="15">
        <v>2</v>
      </c>
      <c r="N9" s="69">
        <v>919</v>
      </c>
      <c r="O9" s="254">
        <v>44803</v>
      </c>
      <c r="P9" s="69">
        <v>919</v>
      </c>
      <c r="Q9" s="70" t="s">
        <v>512</v>
      </c>
      <c r="R9" s="71">
        <v>53</v>
      </c>
      <c r="S9" s="405">
        <f t="shared" ref="S9:S28" si="7">R9*P9</f>
        <v>48707</v>
      </c>
      <c r="V9" s="106"/>
      <c r="W9" s="15">
        <v>2</v>
      </c>
      <c r="X9" s="69">
        <v>883.6</v>
      </c>
      <c r="Y9" s="254">
        <v>44806</v>
      </c>
      <c r="Z9" s="69">
        <v>883.6</v>
      </c>
      <c r="AA9" s="70" t="s">
        <v>548</v>
      </c>
      <c r="AB9" s="71">
        <v>51</v>
      </c>
      <c r="AC9" s="405">
        <f t="shared" ref="AC9:AC28" si="8">AB9*Z9</f>
        <v>45063.6</v>
      </c>
      <c r="AF9" s="94"/>
      <c r="AG9" s="15">
        <v>2</v>
      </c>
      <c r="AH9" s="92">
        <v>880</v>
      </c>
      <c r="AI9" s="246">
        <v>44805</v>
      </c>
      <c r="AJ9" s="92">
        <v>880</v>
      </c>
      <c r="AK9" s="95" t="s">
        <v>534</v>
      </c>
      <c r="AL9" s="71">
        <v>49</v>
      </c>
      <c r="AM9" s="405">
        <f t="shared" ref="AM9:AM28" si="9">AL9*AJ9</f>
        <v>43120</v>
      </c>
      <c r="AP9" s="94"/>
      <c r="AQ9" s="15">
        <v>2</v>
      </c>
      <c r="AR9" s="92">
        <v>923.51</v>
      </c>
      <c r="AS9" s="246">
        <v>44803</v>
      </c>
      <c r="AT9" s="92">
        <v>923.51</v>
      </c>
      <c r="AU9" s="95" t="s">
        <v>515</v>
      </c>
      <c r="AV9" s="71">
        <v>53</v>
      </c>
      <c r="AW9" s="405">
        <f t="shared" ref="AW9:AW29" si="10">AV9*AT9</f>
        <v>48946.03</v>
      </c>
      <c r="AZ9" s="94"/>
      <c r="BA9" s="15">
        <v>2</v>
      </c>
      <c r="BB9" s="92">
        <v>975.22</v>
      </c>
      <c r="BC9" s="246">
        <v>44804</v>
      </c>
      <c r="BD9" s="92">
        <v>975.22</v>
      </c>
      <c r="BE9" s="95" t="s">
        <v>524</v>
      </c>
      <c r="BF9" s="71">
        <v>49</v>
      </c>
      <c r="BG9" s="405">
        <f t="shared" ref="BG9:BG29" si="11">BF9*BD9</f>
        <v>47785.78</v>
      </c>
      <c r="BJ9" s="106"/>
      <c r="BK9" s="15">
        <v>2</v>
      </c>
      <c r="BL9" s="92">
        <v>915.3</v>
      </c>
      <c r="BM9" s="135">
        <v>44807</v>
      </c>
      <c r="BN9" s="92">
        <v>915.3</v>
      </c>
      <c r="BO9" s="95" t="s">
        <v>552</v>
      </c>
      <c r="BP9" s="290">
        <v>51</v>
      </c>
      <c r="BQ9" s="496">
        <f t="shared" ref="BQ9:BQ29" si="12">BP9*BN9</f>
        <v>46680.299999999996</v>
      </c>
      <c r="BR9" s="405"/>
      <c r="BT9" s="106"/>
      <c r="BU9" s="15">
        <v>2</v>
      </c>
      <c r="BV9" s="92">
        <v>892.7</v>
      </c>
      <c r="BW9" s="291">
        <v>44809</v>
      </c>
      <c r="BX9" s="92">
        <v>892.7</v>
      </c>
      <c r="BY9" s="621" t="s">
        <v>567</v>
      </c>
      <c r="BZ9" s="292">
        <v>51</v>
      </c>
      <c r="CA9" s="405">
        <f t="shared" ref="CA9:CA28" si="13">BZ9*BX9</f>
        <v>45527.700000000004</v>
      </c>
      <c r="CD9" s="214"/>
      <c r="CE9" s="15">
        <v>2</v>
      </c>
      <c r="CF9" s="92">
        <v>900.8</v>
      </c>
      <c r="CG9" s="291">
        <v>44813</v>
      </c>
      <c r="CH9" s="92">
        <v>900.8</v>
      </c>
      <c r="CI9" s="293" t="s">
        <v>591</v>
      </c>
      <c r="CJ9" s="292">
        <v>53</v>
      </c>
      <c r="CK9" s="405">
        <f t="shared" ref="CK9:CK29" si="14">CJ9*CH9</f>
        <v>47742.399999999994</v>
      </c>
      <c r="CN9" s="94"/>
      <c r="CO9" s="15">
        <v>2</v>
      </c>
      <c r="CP9" s="92">
        <v>922.6</v>
      </c>
      <c r="CQ9" s="291">
        <v>44811</v>
      </c>
      <c r="CR9" s="92">
        <v>922.6</v>
      </c>
      <c r="CS9" s="293" t="s">
        <v>554</v>
      </c>
      <c r="CT9" s="292">
        <v>51</v>
      </c>
      <c r="CU9" s="410">
        <f>CT9*CR9</f>
        <v>47052.6</v>
      </c>
      <c r="CX9" s="94"/>
      <c r="CY9" s="15">
        <v>2</v>
      </c>
      <c r="CZ9" s="92">
        <v>879.1</v>
      </c>
      <c r="DA9" s="246">
        <v>44812</v>
      </c>
      <c r="DB9" s="92">
        <v>879.1</v>
      </c>
      <c r="DC9" s="95" t="s">
        <v>582</v>
      </c>
      <c r="DD9" s="71">
        <v>53</v>
      </c>
      <c r="DE9" s="405">
        <f t="shared" ref="DE9:DE29" si="15">DD9*DB9</f>
        <v>46592.3</v>
      </c>
      <c r="DH9" s="94"/>
      <c r="DI9" s="15">
        <v>2</v>
      </c>
      <c r="DJ9" s="92">
        <v>892.2</v>
      </c>
      <c r="DK9" s="291">
        <v>44816</v>
      </c>
      <c r="DL9" s="918">
        <v>892.2</v>
      </c>
      <c r="DM9" s="919" t="s">
        <v>614</v>
      </c>
      <c r="DN9" s="292">
        <v>54</v>
      </c>
      <c r="DO9" s="410">
        <f t="shared" ref="DO9:DO29" si="16">DN9*DL9</f>
        <v>48178.8</v>
      </c>
      <c r="DR9" s="94"/>
      <c r="DS9" s="15">
        <v>2</v>
      </c>
      <c r="DT9" s="92">
        <v>913.5</v>
      </c>
      <c r="DU9" s="291">
        <v>44814</v>
      </c>
      <c r="DV9" s="92">
        <v>913.5</v>
      </c>
      <c r="DW9" s="293" t="s">
        <v>592</v>
      </c>
      <c r="DX9" s="292">
        <v>53</v>
      </c>
      <c r="DY9" s="405">
        <f t="shared" ref="DY9:DY29" si="17">DX9*DV9</f>
        <v>48415.5</v>
      </c>
      <c r="EB9" s="94"/>
      <c r="EC9" s="15">
        <v>2</v>
      </c>
      <c r="ED9" s="69">
        <v>921.24</v>
      </c>
      <c r="EE9" s="254">
        <v>44814</v>
      </c>
      <c r="EF9" s="69">
        <v>921.24</v>
      </c>
      <c r="EG9" s="70" t="s">
        <v>598</v>
      </c>
      <c r="EH9" s="71">
        <v>53</v>
      </c>
      <c r="EI9" s="405">
        <f t="shared" ref="EI9:EI28" si="18">EH9*EF9</f>
        <v>48825.72</v>
      </c>
      <c r="EL9" s="94"/>
      <c r="EM9" s="15">
        <v>2</v>
      </c>
      <c r="EN9" s="69">
        <v>918.1</v>
      </c>
      <c r="EO9" s="254">
        <v>44817</v>
      </c>
      <c r="EP9" s="69">
        <v>918.1</v>
      </c>
      <c r="EQ9" s="70" t="s">
        <v>621</v>
      </c>
      <c r="ER9" s="71">
        <v>55</v>
      </c>
      <c r="ES9" s="405">
        <f t="shared" ref="ES9:ES28" si="19">ER9*EP9</f>
        <v>50495.5</v>
      </c>
      <c r="EV9" s="333"/>
      <c r="EW9" s="15">
        <v>2</v>
      </c>
      <c r="EX9" s="92">
        <v>902.6</v>
      </c>
      <c r="EY9" s="246">
        <v>44817</v>
      </c>
      <c r="EZ9" s="92">
        <v>902.6</v>
      </c>
      <c r="FA9" s="70" t="s">
        <v>624</v>
      </c>
      <c r="FB9" s="71">
        <v>55</v>
      </c>
      <c r="FC9" s="405">
        <f t="shared" ref="FC9:FC29" si="20">FB9*EZ9</f>
        <v>49643</v>
      </c>
      <c r="FF9" s="333"/>
      <c r="FG9" s="15">
        <v>2</v>
      </c>
      <c r="FH9" s="92">
        <v>945.74</v>
      </c>
      <c r="FI9" s="246">
        <v>44817</v>
      </c>
      <c r="FJ9" s="92">
        <v>945.74</v>
      </c>
      <c r="FK9" s="70" t="s">
        <v>626</v>
      </c>
      <c r="FL9" s="71">
        <v>55</v>
      </c>
      <c r="FM9" s="245">
        <f t="shared" ref="FM9:FM29" si="21">FL9*FJ9</f>
        <v>52015.7</v>
      </c>
      <c r="FP9" s="94" t="s">
        <v>41</v>
      </c>
      <c r="FQ9" s="15">
        <v>2</v>
      </c>
      <c r="FR9" s="92">
        <v>960.7</v>
      </c>
      <c r="FS9" s="246">
        <v>44819</v>
      </c>
      <c r="FT9" s="92">
        <v>960.7</v>
      </c>
      <c r="FU9" s="70" t="s">
        <v>649</v>
      </c>
      <c r="FV9" s="71">
        <v>57</v>
      </c>
      <c r="FW9" s="405">
        <f t="shared" ref="FW9:FW29" si="22">FV9*FT9</f>
        <v>54759.9</v>
      </c>
      <c r="FZ9" s="94"/>
      <c r="GA9" s="15">
        <v>2</v>
      </c>
      <c r="GB9" s="69">
        <v>916.3</v>
      </c>
      <c r="GC9" s="254">
        <v>44821</v>
      </c>
      <c r="GD9" s="69">
        <v>916.3</v>
      </c>
      <c r="GE9" s="70" t="s">
        <v>669</v>
      </c>
      <c r="GF9" s="71">
        <v>57</v>
      </c>
      <c r="GG9" s="245">
        <f t="shared" ref="GG9:GG29" si="23">GF9*GD9</f>
        <v>52229.1</v>
      </c>
      <c r="GJ9" s="94"/>
      <c r="GK9" s="15">
        <v>2</v>
      </c>
      <c r="GL9" s="359">
        <v>931.7</v>
      </c>
      <c r="GM9" s="246">
        <v>44820</v>
      </c>
      <c r="GN9" s="359">
        <v>931.7</v>
      </c>
      <c r="GO9" s="95" t="s">
        <v>659</v>
      </c>
      <c r="GP9" s="71">
        <v>57</v>
      </c>
      <c r="GQ9" s="405">
        <f t="shared" ref="GQ9:GQ29" si="24">GP9*GN9</f>
        <v>53106.9</v>
      </c>
      <c r="GT9" s="94"/>
      <c r="GU9" s="15">
        <v>2</v>
      </c>
      <c r="GV9" s="105">
        <v>916.3</v>
      </c>
      <c r="GW9" s="246">
        <v>44824</v>
      </c>
      <c r="GX9" s="105">
        <v>916.3</v>
      </c>
      <c r="GY9" s="95" t="s">
        <v>680</v>
      </c>
      <c r="GZ9" s="71">
        <v>57</v>
      </c>
      <c r="HA9" s="405">
        <f t="shared" ref="HA9:HA28" si="25">GZ9*GX9</f>
        <v>52229.1</v>
      </c>
      <c r="HD9" s="94"/>
      <c r="HE9" s="15">
        <v>2</v>
      </c>
      <c r="HF9" s="92">
        <v>878.2</v>
      </c>
      <c r="HG9" s="246">
        <v>44824</v>
      </c>
      <c r="HH9" s="92">
        <v>878.2</v>
      </c>
      <c r="HI9" s="95" t="s">
        <v>690</v>
      </c>
      <c r="HJ9" s="71">
        <v>57</v>
      </c>
      <c r="HK9" s="405">
        <f t="shared" ref="HK9:HK28" si="26">HJ9*HH9</f>
        <v>50057.4</v>
      </c>
      <c r="HN9" s="94"/>
      <c r="HO9" s="15">
        <v>2</v>
      </c>
      <c r="HP9" s="92">
        <v>880.87</v>
      </c>
      <c r="HQ9" s="246">
        <v>44824</v>
      </c>
      <c r="HR9" s="92">
        <v>880.87</v>
      </c>
      <c r="HS9" s="294" t="s">
        <v>691</v>
      </c>
      <c r="HT9" s="71">
        <v>57</v>
      </c>
      <c r="HU9" s="405">
        <f t="shared" ref="HU9:HU29" si="27">HT9*HR9</f>
        <v>50209.590000000004</v>
      </c>
      <c r="HX9" s="106"/>
      <c r="HY9" s="15">
        <v>2</v>
      </c>
      <c r="HZ9" s="69">
        <v>933.03</v>
      </c>
      <c r="IA9" s="254">
        <v>44825</v>
      </c>
      <c r="IB9" s="69">
        <v>933.03</v>
      </c>
      <c r="IC9" s="70" t="s">
        <v>697</v>
      </c>
      <c r="ID9" s="71">
        <v>57</v>
      </c>
      <c r="IE9" s="405">
        <f t="shared" si="5"/>
        <v>53182.71</v>
      </c>
      <c r="IH9" s="106"/>
      <c r="II9" s="15">
        <v>2</v>
      </c>
      <c r="IJ9" s="69">
        <v>918.1</v>
      </c>
      <c r="IK9" s="254">
        <v>44826</v>
      </c>
      <c r="IL9" s="69">
        <v>918.1</v>
      </c>
      <c r="IM9" s="70" t="s">
        <v>702</v>
      </c>
      <c r="IN9" s="71">
        <v>57</v>
      </c>
      <c r="IO9" s="405">
        <f t="shared" ref="IO9:IO29" si="28">IN9*IL9</f>
        <v>52331.700000000004</v>
      </c>
      <c r="IQ9" s="502"/>
      <c r="IR9" s="94"/>
      <c r="IS9" s="15">
        <v>2</v>
      </c>
      <c r="IT9" s="92">
        <v>919</v>
      </c>
      <c r="IU9" s="135">
        <v>44828</v>
      </c>
      <c r="IV9" s="92">
        <v>919</v>
      </c>
      <c r="IW9" s="370" t="s">
        <v>717</v>
      </c>
      <c r="IX9" s="71">
        <v>57</v>
      </c>
      <c r="IY9" s="245">
        <f t="shared" ref="IY9:IY29" si="29">IX9*IV9</f>
        <v>52383</v>
      </c>
      <c r="IZ9" s="92"/>
      <c r="JA9" s="92"/>
      <c r="JB9" s="94"/>
      <c r="JC9" s="15">
        <v>2</v>
      </c>
      <c r="JD9" s="92">
        <v>886.8</v>
      </c>
      <c r="JE9" s="254">
        <v>44827</v>
      </c>
      <c r="JF9" s="92">
        <v>886.8</v>
      </c>
      <c r="JG9" s="70" t="s">
        <v>710</v>
      </c>
      <c r="JH9" s="71">
        <v>57</v>
      </c>
      <c r="JI9" s="405">
        <f t="shared" ref="JI9:JI29" si="30">JH9*JF9</f>
        <v>50547.6</v>
      </c>
      <c r="JJ9" s="69"/>
      <c r="JL9" s="94"/>
      <c r="JM9" s="15">
        <v>2</v>
      </c>
      <c r="JN9" s="92">
        <v>957.07</v>
      </c>
      <c r="JO9" s="246">
        <v>44831</v>
      </c>
      <c r="JP9" s="92">
        <v>957.07</v>
      </c>
      <c r="JQ9" s="70" t="s">
        <v>728</v>
      </c>
      <c r="JR9" s="71">
        <v>57</v>
      </c>
      <c r="JS9" s="405">
        <f t="shared" ref="JS9:JS27" si="31">JR9*JP9</f>
        <v>54552.990000000005</v>
      </c>
      <c r="JV9" s="106"/>
      <c r="JW9" s="15">
        <v>2</v>
      </c>
      <c r="JX9" s="69">
        <v>925.3</v>
      </c>
      <c r="JY9" s="254">
        <v>44832</v>
      </c>
      <c r="JZ9" s="69">
        <v>925.3</v>
      </c>
      <c r="KA9" s="70" t="s">
        <v>731</v>
      </c>
      <c r="KB9" s="71">
        <v>57</v>
      </c>
      <c r="KC9" s="405">
        <f t="shared" ref="KC9:KC28" si="32">KB9*JZ9</f>
        <v>52742.1</v>
      </c>
      <c r="KF9" s="106"/>
      <c r="KG9" s="15">
        <v>2</v>
      </c>
      <c r="KH9" s="69">
        <v>909</v>
      </c>
      <c r="KI9" s="254">
        <v>44833</v>
      </c>
      <c r="KJ9" s="69">
        <v>909</v>
      </c>
      <c r="KK9" s="70" t="s">
        <v>734</v>
      </c>
      <c r="KL9" s="71">
        <v>57</v>
      </c>
      <c r="KM9" s="405">
        <f t="shared" ref="KM9:KM28" si="33">KL9*KJ9</f>
        <v>51813</v>
      </c>
      <c r="KP9" s="106"/>
      <c r="KQ9" s="15">
        <v>2</v>
      </c>
      <c r="KR9" s="69">
        <v>876.3</v>
      </c>
      <c r="KS9" s="254">
        <v>44834</v>
      </c>
      <c r="KT9" s="934">
        <v>876.3</v>
      </c>
      <c r="KU9" s="932" t="s">
        <v>745</v>
      </c>
      <c r="KV9" s="933">
        <v>57</v>
      </c>
      <c r="KW9" s="405">
        <f t="shared" ref="KW9:KW28" si="34">KV9*KT9</f>
        <v>49949.1</v>
      </c>
      <c r="KZ9" s="94"/>
      <c r="LA9" s="15">
        <v>2</v>
      </c>
      <c r="LB9" s="92">
        <v>972.95</v>
      </c>
      <c r="LC9" s="246">
        <v>44835</v>
      </c>
      <c r="LD9" s="92">
        <v>972.95</v>
      </c>
      <c r="LE9" s="95" t="s">
        <v>751</v>
      </c>
      <c r="LF9" s="71">
        <v>57</v>
      </c>
      <c r="LG9" s="405">
        <f t="shared" ref="LG9:LG28" si="35">LF9*LD9</f>
        <v>55458.15</v>
      </c>
      <c r="LJ9" s="94"/>
      <c r="LK9" s="15">
        <v>2</v>
      </c>
      <c r="LL9" s="92">
        <v>889</v>
      </c>
      <c r="LM9" s="246">
        <v>44834</v>
      </c>
      <c r="LN9" s="92">
        <v>889</v>
      </c>
      <c r="LO9" s="95" t="s">
        <v>739</v>
      </c>
      <c r="LP9" s="71">
        <v>57</v>
      </c>
      <c r="LQ9" s="405">
        <f t="shared" ref="LQ9:LQ29" si="36">LP9*LN9</f>
        <v>50673</v>
      </c>
      <c r="LT9" s="94"/>
      <c r="LU9" s="15">
        <v>2</v>
      </c>
      <c r="LV9" s="92">
        <v>929.9</v>
      </c>
      <c r="LW9" s="246">
        <v>44835</v>
      </c>
      <c r="LX9" s="92">
        <v>929.9</v>
      </c>
      <c r="LY9" s="95" t="s">
        <v>752</v>
      </c>
      <c r="LZ9" s="71">
        <v>57</v>
      </c>
      <c r="MA9" s="405">
        <f t="shared" ref="MA9:MA29" si="37">LZ9*LX9</f>
        <v>53004.299999999996</v>
      </c>
      <c r="MB9" s="405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86729669</v>
      </c>
      <c r="E10" s="135">
        <f t="shared" si="47"/>
        <v>44806</v>
      </c>
      <c r="F10" s="86">
        <f t="shared" si="47"/>
        <v>19139.939999999999</v>
      </c>
      <c r="G10" s="73">
        <f t="shared" si="47"/>
        <v>21</v>
      </c>
      <c r="H10" s="48">
        <f t="shared" si="47"/>
        <v>19155.2</v>
      </c>
      <c r="I10" s="105">
        <f t="shared" si="47"/>
        <v>-15.260000000002037</v>
      </c>
      <c r="L10" s="106"/>
      <c r="M10" s="15">
        <v>3</v>
      </c>
      <c r="N10" s="69">
        <v>908.1</v>
      </c>
      <c r="O10" s="254">
        <v>44802</v>
      </c>
      <c r="P10" s="69">
        <v>908.1</v>
      </c>
      <c r="Q10" s="70" t="s">
        <v>509</v>
      </c>
      <c r="R10" s="71">
        <v>53</v>
      </c>
      <c r="S10" s="405">
        <f t="shared" si="7"/>
        <v>48129.3</v>
      </c>
      <c r="V10" s="106"/>
      <c r="W10" s="15">
        <v>3</v>
      </c>
      <c r="X10" s="69">
        <v>888.1</v>
      </c>
      <c r="Y10" s="254">
        <v>44806</v>
      </c>
      <c r="Z10" s="69">
        <v>888.1</v>
      </c>
      <c r="AA10" s="70" t="s">
        <v>538</v>
      </c>
      <c r="AB10" s="71">
        <v>52</v>
      </c>
      <c r="AC10" s="405">
        <f t="shared" si="8"/>
        <v>46181.200000000004</v>
      </c>
      <c r="AF10" s="94"/>
      <c r="AG10" s="15">
        <v>3</v>
      </c>
      <c r="AH10" s="92">
        <v>918.5</v>
      </c>
      <c r="AI10" s="246">
        <v>44805</v>
      </c>
      <c r="AJ10" s="92">
        <v>918.5</v>
      </c>
      <c r="AK10" s="95" t="s">
        <v>534</v>
      </c>
      <c r="AL10" s="71">
        <v>49</v>
      </c>
      <c r="AM10" s="405">
        <f t="shared" si="9"/>
        <v>45006.5</v>
      </c>
      <c r="AP10" s="94"/>
      <c r="AQ10" s="15">
        <v>3</v>
      </c>
      <c r="AR10" s="92">
        <v>972.04</v>
      </c>
      <c r="AS10" s="246">
        <v>44803</v>
      </c>
      <c r="AT10" s="92">
        <v>972.04</v>
      </c>
      <c r="AU10" s="95" t="s">
        <v>515</v>
      </c>
      <c r="AV10" s="71">
        <v>53</v>
      </c>
      <c r="AW10" s="405">
        <f t="shared" si="10"/>
        <v>51518.119999999995</v>
      </c>
      <c r="AZ10" s="94"/>
      <c r="BA10" s="15">
        <v>3</v>
      </c>
      <c r="BB10" s="92">
        <v>969.78</v>
      </c>
      <c r="BC10" s="246">
        <v>44805</v>
      </c>
      <c r="BD10" s="92">
        <v>969.78</v>
      </c>
      <c r="BE10" s="95" t="s">
        <v>532</v>
      </c>
      <c r="BF10" s="71">
        <v>49</v>
      </c>
      <c r="BG10" s="405">
        <f t="shared" si="11"/>
        <v>47519.22</v>
      </c>
      <c r="BJ10" s="106"/>
      <c r="BK10" s="15">
        <v>3</v>
      </c>
      <c r="BL10" s="92">
        <v>899</v>
      </c>
      <c r="BM10" s="135">
        <v>44807</v>
      </c>
      <c r="BN10" s="92">
        <v>899</v>
      </c>
      <c r="BO10" s="95" t="s">
        <v>552</v>
      </c>
      <c r="BP10" s="290">
        <v>51</v>
      </c>
      <c r="BQ10" s="496">
        <f t="shared" si="12"/>
        <v>45849</v>
      </c>
      <c r="BR10" s="405"/>
      <c r="BT10" s="106"/>
      <c r="BU10" s="15">
        <v>3</v>
      </c>
      <c r="BV10" s="92">
        <v>908.1</v>
      </c>
      <c r="BW10" s="291">
        <v>44810</v>
      </c>
      <c r="BX10" s="92">
        <v>908.1</v>
      </c>
      <c r="BY10" s="621" t="s">
        <v>571</v>
      </c>
      <c r="BZ10" s="292">
        <v>51</v>
      </c>
      <c r="CA10" s="405">
        <f t="shared" si="13"/>
        <v>46313.1</v>
      </c>
      <c r="CD10" s="214"/>
      <c r="CE10" s="15">
        <v>3</v>
      </c>
      <c r="CF10" s="92">
        <v>901.7</v>
      </c>
      <c r="CG10" s="291">
        <v>44813</v>
      </c>
      <c r="CH10" s="92">
        <v>901.7</v>
      </c>
      <c r="CI10" s="293" t="s">
        <v>591</v>
      </c>
      <c r="CJ10" s="292">
        <v>53</v>
      </c>
      <c r="CK10" s="405">
        <f t="shared" si="14"/>
        <v>47790.100000000006</v>
      </c>
      <c r="CN10" s="94"/>
      <c r="CO10" s="15">
        <v>3</v>
      </c>
      <c r="CP10" s="92">
        <v>940.7</v>
      </c>
      <c r="CQ10" s="291">
        <v>44811</v>
      </c>
      <c r="CR10" s="92">
        <v>940.7</v>
      </c>
      <c r="CS10" s="293" t="s">
        <v>554</v>
      </c>
      <c r="CT10" s="292">
        <v>51</v>
      </c>
      <c r="CU10" s="410">
        <f t="shared" ref="CU10:CU30" si="48">CT10*CR10</f>
        <v>47975.700000000004</v>
      </c>
      <c r="CX10" s="94"/>
      <c r="CY10" s="15">
        <v>3</v>
      </c>
      <c r="CZ10" s="92">
        <v>920.8</v>
      </c>
      <c r="DA10" s="246">
        <v>44812</v>
      </c>
      <c r="DB10" s="92">
        <v>920.8</v>
      </c>
      <c r="DC10" s="95" t="s">
        <v>582</v>
      </c>
      <c r="DD10" s="71">
        <v>53</v>
      </c>
      <c r="DE10" s="405">
        <f t="shared" si="15"/>
        <v>48802.399999999994</v>
      </c>
      <c r="DH10" s="94"/>
      <c r="DI10" s="15">
        <v>3</v>
      </c>
      <c r="DJ10" s="92">
        <v>939.8</v>
      </c>
      <c r="DK10" s="291">
        <v>44816</v>
      </c>
      <c r="DL10" s="918">
        <v>939.8</v>
      </c>
      <c r="DM10" s="919" t="s">
        <v>617</v>
      </c>
      <c r="DN10" s="292">
        <v>54</v>
      </c>
      <c r="DO10" s="410">
        <f t="shared" si="16"/>
        <v>50749.2</v>
      </c>
      <c r="DR10" s="94"/>
      <c r="DS10" s="15">
        <v>3</v>
      </c>
      <c r="DT10" s="92">
        <v>893.6</v>
      </c>
      <c r="DU10" s="291">
        <v>44814</v>
      </c>
      <c r="DV10" s="92">
        <v>893.6</v>
      </c>
      <c r="DW10" s="293" t="s">
        <v>592</v>
      </c>
      <c r="DX10" s="292">
        <v>53</v>
      </c>
      <c r="DY10" s="405">
        <f t="shared" si="17"/>
        <v>47360.800000000003</v>
      </c>
      <c r="EB10" s="94"/>
      <c r="EC10" s="15">
        <v>3</v>
      </c>
      <c r="ED10" s="69">
        <v>900.83</v>
      </c>
      <c r="EE10" s="254">
        <v>44814</v>
      </c>
      <c r="EF10" s="69">
        <v>900.83</v>
      </c>
      <c r="EG10" s="70" t="s">
        <v>598</v>
      </c>
      <c r="EH10" s="71">
        <v>53</v>
      </c>
      <c r="EI10" s="405">
        <f t="shared" si="18"/>
        <v>47743.990000000005</v>
      </c>
      <c r="EL10" s="94"/>
      <c r="EM10" s="15">
        <v>3</v>
      </c>
      <c r="EN10" s="69">
        <v>936.2</v>
      </c>
      <c r="EO10" s="254">
        <v>44817</v>
      </c>
      <c r="EP10" s="69">
        <v>936.2</v>
      </c>
      <c r="EQ10" s="70" t="s">
        <v>621</v>
      </c>
      <c r="ER10" s="71">
        <v>55</v>
      </c>
      <c r="ES10" s="405">
        <f t="shared" si="19"/>
        <v>51491</v>
      </c>
      <c r="EV10" s="333"/>
      <c r="EW10" s="15">
        <v>3</v>
      </c>
      <c r="EX10" s="92">
        <v>879.1</v>
      </c>
      <c r="EY10" s="246">
        <v>44817</v>
      </c>
      <c r="EZ10" s="92">
        <v>879.1</v>
      </c>
      <c r="FA10" s="70" t="s">
        <v>624</v>
      </c>
      <c r="FB10" s="71">
        <v>55</v>
      </c>
      <c r="FC10" s="405">
        <f t="shared" si="20"/>
        <v>48350.5</v>
      </c>
      <c r="FF10" s="333"/>
      <c r="FG10" s="15">
        <v>3</v>
      </c>
      <c r="FH10" s="92">
        <v>957.53</v>
      </c>
      <c r="FI10" s="246">
        <v>44817</v>
      </c>
      <c r="FJ10" s="92">
        <v>957.53</v>
      </c>
      <c r="FK10" s="70" t="s">
        <v>626</v>
      </c>
      <c r="FL10" s="71">
        <v>55</v>
      </c>
      <c r="FM10" s="245">
        <f t="shared" si="21"/>
        <v>52664.15</v>
      </c>
      <c r="FP10" s="94"/>
      <c r="FQ10" s="15">
        <v>3</v>
      </c>
      <c r="FR10" s="92">
        <v>961.61</v>
      </c>
      <c r="FS10" s="246">
        <v>44819</v>
      </c>
      <c r="FT10" s="92">
        <v>961.61</v>
      </c>
      <c r="FU10" s="70" t="s">
        <v>649</v>
      </c>
      <c r="FV10" s="71">
        <v>57</v>
      </c>
      <c r="FW10" s="405">
        <f t="shared" si="22"/>
        <v>54811.770000000004</v>
      </c>
      <c r="FZ10" s="94"/>
      <c r="GA10" s="15">
        <v>3</v>
      </c>
      <c r="GB10" s="69">
        <v>894.5</v>
      </c>
      <c r="GC10" s="254">
        <v>44821</v>
      </c>
      <c r="GD10" s="69">
        <v>894.5</v>
      </c>
      <c r="GE10" s="70" t="s">
        <v>672</v>
      </c>
      <c r="GF10" s="71">
        <v>57</v>
      </c>
      <c r="GG10" s="245">
        <f t="shared" si="23"/>
        <v>50986.5</v>
      </c>
      <c r="GJ10" s="94"/>
      <c r="GK10" s="15">
        <v>3</v>
      </c>
      <c r="GL10" s="359">
        <v>931.7</v>
      </c>
      <c r="GM10" s="246">
        <v>44820</v>
      </c>
      <c r="GN10" s="359">
        <v>931.7</v>
      </c>
      <c r="GO10" s="95" t="s">
        <v>659</v>
      </c>
      <c r="GP10" s="71">
        <v>57</v>
      </c>
      <c r="GQ10" s="405">
        <f t="shared" si="24"/>
        <v>53106.9</v>
      </c>
      <c r="GT10" s="94"/>
      <c r="GU10" s="15">
        <v>3</v>
      </c>
      <c r="GV10" s="92">
        <v>909</v>
      </c>
      <c r="GW10" s="246">
        <v>44824</v>
      </c>
      <c r="GX10" s="92">
        <v>909</v>
      </c>
      <c r="GY10" s="95" t="s">
        <v>680</v>
      </c>
      <c r="GZ10" s="71">
        <v>57</v>
      </c>
      <c r="HA10" s="405">
        <f t="shared" si="25"/>
        <v>51813</v>
      </c>
      <c r="HD10" s="94"/>
      <c r="HE10" s="15">
        <v>3</v>
      </c>
      <c r="HF10" s="92">
        <v>876.3</v>
      </c>
      <c r="HG10" s="246">
        <v>44824</v>
      </c>
      <c r="HH10" s="92">
        <v>876.3</v>
      </c>
      <c r="HI10" s="95" t="s">
        <v>690</v>
      </c>
      <c r="HJ10" s="71">
        <v>57</v>
      </c>
      <c r="HK10" s="405">
        <f t="shared" si="26"/>
        <v>49949.1</v>
      </c>
      <c r="HN10" s="94"/>
      <c r="HO10" s="15">
        <v>3</v>
      </c>
      <c r="HP10" s="92">
        <v>887.68</v>
      </c>
      <c r="HQ10" s="246">
        <v>44824</v>
      </c>
      <c r="HR10" s="92">
        <v>887.68</v>
      </c>
      <c r="HS10" s="294" t="s">
        <v>691</v>
      </c>
      <c r="HT10" s="71">
        <v>57</v>
      </c>
      <c r="HU10" s="405">
        <f t="shared" si="27"/>
        <v>50597.759999999995</v>
      </c>
      <c r="HX10" s="106"/>
      <c r="HY10" s="15">
        <v>3</v>
      </c>
      <c r="HZ10" s="69">
        <v>912.17</v>
      </c>
      <c r="IA10" s="254">
        <v>44825</v>
      </c>
      <c r="IB10" s="69">
        <v>912.17</v>
      </c>
      <c r="IC10" s="70" t="s">
        <v>697</v>
      </c>
      <c r="ID10" s="71">
        <v>57</v>
      </c>
      <c r="IE10" s="405">
        <f t="shared" si="5"/>
        <v>51993.689999999995</v>
      </c>
      <c r="IH10" s="106"/>
      <c r="II10" s="15">
        <v>3</v>
      </c>
      <c r="IJ10" s="69">
        <v>912.6</v>
      </c>
      <c r="IK10" s="254">
        <v>44826</v>
      </c>
      <c r="IL10" s="69">
        <v>912.6</v>
      </c>
      <c r="IM10" s="70" t="s">
        <v>702</v>
      </c>
      <c r="IN10" s="71">
        <v>57</v>
      </c>
      <c r="IO10" s="405">
        <f t="shared" si="28"/>
        <v>52018.200000000004</v>
      </c>
      <c r="IQ10" s="503"/>
      <c r="IR10" s="94"/>
      <c r="IS10" s="15">
        <v>3</v>
      </c>
      <c r="IT10" s="92">
        <v>898.1</v>
      </c>
      <c r="IU10" s="135">
        <v>44828</v>
      </c>
      <c r="IV10" s="92">
        <v>898.1</v>
      </c>
      <c r="IW10" s="370" t="s">
        <v>717</v>
      </c>
      <c r="IX10" s="71">
        <v>57</v>
      </c>
      <c r="IY10" s="245">
        <f t="shared" si="29"/>
        <v>51191.700000000004</v>
      </c>
      <c r="IZ10" s="92"/>
      <c r="JA10" s="69"/>
      <c r="JB10" s="94"/>
      <c r="JC10" s="15">
        <v>3</v>
      </c>
      <c r="JD10" s="92">
        <v>914</v>
      </c>
      <c r="JE10" s="254">
        <v>44827</v>
      </c>
      <c r="JF10" s="92">
        <v>914</v>
      </c>
      <c r="JG10" s="70" t="s">
        <v>710</v>
      </c>
      <c r="JH10" s="71">
        <v>57</v>
      </c>
      <c r="JI10" s="405">
        <f t="shared" si="30"/>
        <v>52098</v>
      </c>
      <c r="JJ10" s="69"/>
      <c r="JL10" s="94"/>
      <c r="JM10" s="15">
        <v>3</v>
      </c>
      <c r="JN10" s="92">
        <v>955.26</v>
      </c>
      <c r="JO10" s="246">
        <v>44831</v>
      </c>
      <c r="JP10" s="92">
        <v>955.26</v>
      </c>
      <c r="JQ10" s="70" t="s">
        <v>728</v>
      </c>
      <c r="JR10" s="71">
        <v>57</v>
      </c>
      <c r="JS10" s="405">
        <f t="shared" si="31"/>
        <v>54449.82</v>
      </c>
      <c r="JV10" s="106"/>
      <c r="JW10" s="15">
        <v>3</v>
      </c>
      <c r="JX10" s="69">
        <v>919</v>
      </c>
      <c r="JY10" s="254">
        <v>44832</v>
      </c>
      <c r="JZ10" s="69">
        <v>919</v>
      </c>
      <c r="KA10" s="70" t="s">
        <v>731</v>
      </c>
      <c r="KB10" s="71">
        <v>57</v>
      </c>
      <c r="KC10" s="405">
        <f t="shared" si="32"/>
        <v>52383</v>
      </c>
      <c r="KF10" s="106"/>
      <c r="KG10" s="15">
        <v>3</v>
      </c>
      <c r="KH10" s="69">
        <v>888.1</v>
      </c>
      <c r="KI10" s="254">
        <v>44833</v>
      </c>
      <c r="KJ10" s="69">
        <v>888.1</v>
      </c>
      <c r="KK10" s="70" t="s">
        <v>734</v>
      </c>
      <c r="KL10" s="71">
        <v>57</v>
      </c>
      <c r="KM10" s="405">
        <f t="shared" si="33"/>
        <v>50621.700000000004</v>
      </c>
      <c r="KP10" s="106"/>
      <c r="KQ10" s="15">
        <v>3</v>
      </c>
      <c r="KR10" s="69">
        <v>907.2</v>
      </c>
      <c r="KS10" s="254">
        <v>44834</v>
      </c>
      <c r="KT10" s="934">
        <v>907.2</v>
      </c>
      <c r="KU10" s="932" t="s">
        <v>744</v>
      </c>
      <c r="KV10" s="933">
        <v>57</v>
      </c>
      <c r="KW10" s="405">
        <f t="shared" si="34"/>
        <v>51710.400000000001</v>
      </c>
      <c r="KZ10" s="94"/>
      <c r="LA10" s="15">
        <v>3</v>
      </c>
      <c r="LB10" s="92">
        <v>942.56</v>
      </c>
      <c r="LC10" s="246">
        <v>44835</v>
      </c>
      <c r="LD10" s="92">
        <v>942.56</v>
      </c>
      <c r="LE10" s="95" t="s">
        <v>751</v>
      </c>
      <c r="LF10" s="71">
        <v>57</v>
      </c>
      <c r="LG10" s="405">
        <f t="shared" si="35"/>
        <v>53725.919999999998</v>
      </c>
      <c r="LJ10" s="94"/>
      <c r="LK10" s="15">
        <v>3</v>
      </c>
      <c r="LL10" s="92">
        <v>922.6</v>
      </c>
      <c r="LM10" s="246">
        <v>44834</v>
      </c>
      <c r="LN10" s="92">
        <v>922.6</v>
      </c>
      <c r="LO10" s="95" t="s">
        <v>739</v>
      </c>
      <c r="LP10" s="71">
        <v>57</v>
      </c>
      <c r="LQ10" s="405">
        <f t="shared" si="36"/>
        <v>52588.200000000004</v>
      </c>
      <c r="LT10" s="94"/>
      <c r="LU10" s="15">
        <v>3</v>
      </c>
      <c r="LV10" s="92">
        <v>886.3</v>
      </c>
      <c r="LW10" s="246">
        <v>44835</v>
      </c>
      <c r="LX10" s="92">
        <v>886.3</v>
      </c>
      <c r="LY10" s="95" t="s">
        <v>752</v>
      </c>
      <c r="LZ10" s="71">
        <v>57</v>
      </c>
      <c r="MA10" s="405">
        <f t="shared" si="37"/>
        <v>50519.1</v>
      </c>
      <c r="MB10" s="405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86904471</v>
      </c>
      <c r="E11" s="135">
        <f t="shared" si="49"/>
        <v>44811</v>
      </c>
      <c r="F11" s="86">
        <f t="shared" si="49"/>
        <v>18888.43</v>
      </c>
      <c r="G11" s="73">
        <f t="shared" si="49"/>
        <v>21</v>
      </c>
      <c r="H11" s="48">
        <f t="shared" si="49"/>
        <v>18972.599999999999</v>
      </c>
      <c r="I11" s="105">
        <f t="shared" si="49"/>
        <v>-84.169999999998254</v>
      </c>
      <c r="K11" s="61"/>
      <c r="L11" s="106"/>
      <c r="M11" s="15">
        <v>4</v>
      </c>
      <c r="N11" s="69">
        <v>887.2</v>
      </c>
      <c r="O11" s="254">
        <v>44803</v>
      </c>
      <c r="P11" s="69">
        <v>887.2</v>
      </c>
      <c r="Q11" s="70" t="s">
        <v>508</v>
      </c>
      <c r="R11" s="71">
        <v>53</v>
      </c>
      <c r="S11" s="405">
        <f t="shared" si="7"/>
        <v>47021.600000000006</v>
      </c>
      <c r="U11" s="61"/>
      <c r="V11" s="106"/>
      <c r="W11" s="15">
        <v>4</v>
      </c>
      <c r="X11" s="69">
        <v>925.3</v>
      </c>
      <c r="Y11" s="254">
        <v>44806</v>
      </c>
      <c r="Z11" s="69">
        <v>925.3</v>
      </c>
      <c r="AA11" s="70" t="s">
        <v>538</v>
      </c>
      <c r="AB11" s="71">
        <v>52</v>
      </c>
      <c r="AC11" s="405">
        <f t="shared" si="8"/>
        <v>48115.6</v>
      </c>
      <c r="AE11" s="61"/>
      <c r="AF11" s="106"/>
      <c r="AG11" s="15">
        <v>4</v>
      </c>
      <c r="AH11" s="92">
        <v>939.4</v>
      </c>
      <c r="AI11" s="246">
        <v>44805</v>
      </c>
      <c r="AJ11" s="92">
        <v>939.4</v>
      </c>
      <c r="AK11" s="95" t="s">
        <v>534</v>
      </c>
      <c r="AL11" s="71">
        <v>49</v>
      </c>
      <c r="AM11" s="405">
        <f t="shared" si="9"/>
        <v>46030.6</v>
      </c>
      <c r="AO11" s="61"/>
      <c r="AP11" s="106"/>
      <c r="AQ11" s="15">
        <v>4</v>
      </c>
      <c r="AR11" s="92">
        <v>931.67</v>
      </c>
      <c r="AS11" s="246">
        <v>44803</v>
      </c>
      <c r="AT11" s="92">
        <v>931.67</v>
      </c>
      <c r="AU11" s="95" t="s">
        <v>515</v>
      </c>
      <c r="AV11" s="71">
        <v>53</v>
      </c>
      <c r="AW11" s="405">
        <f t="shared" si="10"/>
        <v>49378.509999999995</v>
      </c>
      <c r="AY11" s="61"/>
      <c r="AZ11" s="106"/>
      <c r="BA11" s="15">
        <v>4</v>
      </c>
      <c r="BB11" s="92">
        <v>915.34</v>
      </c>
      <c r="BC11" s="246">
        <v>44805</v>
      </c>
      <c r="BD11" s="92">
        <v>915.34</v>
      </c>
      <c r="BE11" s="95" t="s">
        <v>532</v>
      </c>
      <c r="BF11" s="71">
        <v>49</v>
      </c>
      <c r="BG11" s="405">
        <f t="shared" si="11"/>
        <v>44851.66</v>
      </c>
      <c r="BI11" s="61"/>
      <c r="BJ11" s="106"/>
      <c r="BK11" s="15">
        <v>4</v>
      </c>
      <c r="BL11" s="92">
        <v>897.2</v>
      </c>
      <c r="BM11" s="135">
        <v>44807</v>
      </c>
      <c r="BN11" s="92">
        <v>897.2</v>
      </c>
      <c r="BO11" s="95" t="s">
        <v>552</v>
      </c>
      <c r="BP11" s="290">
        <v>51</v>
      </c>
      <c r="BQ11" s="496">
        <f t="shared" si="12"/>
        <v>45757.200000000004</v>
      </c>
      <c r="BR11" s="405"/>
      <c r="BS11" s="61"/>
      <c r="BT11" s="106"/>
      <c r="BU11" s="15">
        <v>4</v>
      </c>
      <c r="BV11" s="92">
        <v>922.6</v>
      </c>
      <c r="BW11" s="291">
        <v>44809</v>
      </c>
      <c r="BX11" s="92">
        <v>922.6</v>
      </c>
      <c r="BY11" s="621" t="s">
        <v>569</v>
      </c>
      <c r="BZ11" s="292">
        <v>51</v>
      </c>
      <c r="CA11" s="405">
        <f t="shared" si="13"/>
        <v>47052.6</v>
      </c>
      <c r="CC11" s="61"/>
      <c r="CD11" s="214"/>
      <c r="CE11" s="15">
        <v>4</v>
      </c>
      <c r="CF11" s="92">
        <v>878.2</v>
      </c>
      <c r="CG11" s="291">
        <v>44813</v>
      </c>
      <c r="CH11" s="92">
        <v>878.2</v>
      </c>
      <c r="CI11" s="293" t="s">
        <v>585</v>
      </c>
      <c r="CJ11" s="292">
        <v>53</v>
      </c>
      <c r="CK11" s="405">
        <f t="shared" si="14"/>
        <v>46544.600000000006</v>
      </c>
      <c r="CM11" s="61"/>
      <c r="CN11" s="94"/>
      <c r="CO11" s="15">
        <v>4</v>
      </c>
      <c r="CP11" s="92">
        <v>923.5</v>
      </c>
      <c r="CQ11" s="291">
        <v>44811</v>
      </c>
      <c r="CR11" s="92">
        <v>923.5</v>
      </c>
      <c r="CS11" s="293" t="s">
        <v>554</v>
      </c>
      <c r="CT11" s="292">
        <v>51</v>
      </c>
      <c r="CU11" s="410">
        <f t="shared" si="48"/>
        <v>47098.5</v>
      </c>
      <c r="CW11" s="61"/>
      <c r="CX11" s="106"/>
      <c r="CY11" s="15">
        <v>4</v>
      </c>
      <c r="CZ11" s="92">
        <v>909.9</v>
      </c>
      <c r="DA11" s="246">
        <v>44812</v>
      </c>
      <c r="DB11" s="92">
        <v>909.9</v>
      </c>
      <c r="DC11" s="95" t="s">
        <v>582</v>
      </c>
      <c r="DD11" s="71">
        <v>53</v>
      </c>
      <c r="DE11" s="405">
        <f t="shared" si="15"/>
        <v>48224.7</v>
      </c>
      <c r="DG11" s="61"/>
      <c r="DH11" s="106"/>
      <c r="DI11" s="15">
        <v>4</v>
      </c>
      <c r="DJ11" s="92">
        <v>929.9</v>
      </c>
      <c r="DK11" s="291">
        <v>44816</v>
      </c>
      <c r="DL11" s="918">
        <v>929.9</v>
      </c>
      <c r="DM11" s="919" t="s">
        <v>611</v>
      </c>
      <c r="DN11" s="292">
        <v>54</v>
      </c>
      <c r="DO11" s="410">
        <f t="shared" si="16"/>
        <v>50214.6</v>
      </c>
      <c r="DQ11" s="61"/>
      <c r="DR11" s="106"/>
      <c r="DS11" s="15">
        <v>4</v>
      </c>
      <c r="DT11" s="92">
        <v>908.1</v>
      </c>
      <c r="DU11" s="291">
        <v>44814</v>
      </c>
      <c r="DV11" s="92">
        <v>908.1</v>
      </c>
      <c r="DW11" s="293" t="s">
        <v>592</v>
      </c>
      <c r="DX11" s="292">
        <v>53</v>
      </c>
      <c r="DY11" s="405">
        <f t="shared" si="17"/>
        <v>48129.3</v>
      </c>
      <c r="EA11" s="61"/>
      <c r="EB11" s="106"/>
      <c r="EC11" s="15">
        <v>4</v>
      </c>
      <c r="ED11" s="69">
        <v>889.49</v>
      </c>
      <c r="EE11" s="254">
        <v>44814</v>
      </c>
      <c r="EF11" s="69">
        <v>889.49</v>
      </c>
      <c r="EG11" s="70" t="s">
        <v>599</v>
      </c>
      <c r="EH11" s="71">
        <v>53</v>
      </c>
      <c r="EI11" s="405">
        <f t="shared" si="18"/>
        <v>47142.97</v>
      </c>
      <c r="EK11" s="61"/>
      <c r="EL11" s="106"/>
      <c r="EM11" s="15">
        <v>4</v>
      </c>
      <c r="EN11" s="69">
        <v>907.2</v>
      </c>
      <c r="EO11" s="254">
        <v>44817</v>
      </c>
      <c r="EP11" s="69">
        <v>907.2</v>
      </c>
      <c r="EQ11" s="70" t="s">
        <v>621</v>
      </c>
      <c r="ER11" s="71">
        <v>55</v>
      </c>
      <c r="ES11" s="405">
        <f t="shared" si="19"/>
        <v>49896</v>
      </c>
      <c r="EU11" s="518"/>
      <c r="EV11" s="333"/>
      <c r="EW11" s="15">
        <v>4</v>
      </c>
      <c r="EX11" s="92">
        <v>919.9</v>
      </c>
      <c r="EY11" s="246">
        <v>44817</v>
      </c>
      <c r="EZ11" s="92">
        <v>919.9</v>
      </c>
      <c r="FA11" s="70" t="s">
        <v>624</v>
      </c>
      <c r="FB11" s="71">
        <v>55</v>
      </c>
      <c r="FC11" s="405">
        <f t="shared" si="20"/>
        <v>50594.5</v>
      </c>
      <c r="FE11" s="61"/>
      <c r="FF11" s="333"/>
      <c r="FG11" s="15">
        <v>4</v>
      </c>
      <c r="FH11" s="92">
        <v>918.07</v>
      </c>
      <c r="FI11" s="246">
        <v>44817</v>
      </c>
      <c r="FJ11" s="92">
        <v>918.07</v>
      </c>
      <c r="FK11" s="70" t="s">
        <v>626</v>
      </c>
      <c r="FL11" s="71">
        <v>55</v>
      </c>
      <c r="FM11" s="245">
        <f t="shared" si="21"/>
        <v>50493.850000000006</v>
      </c>
      <c r="FO11" s="61"/>
      <c r="FP11" s="106"/>
      <c r="FQ11" s="15">
        <v>4</v>
      </c>
      <c r="FR11" s="92">
        <v>941.65</v>
      </c>
      <c r="FS11" s="246">
        <v>44819</v>
      </c>
      <c r="FT11" s="92">
        <v>941.65</v>
      </c>
      <c r="FU11" s="70" t="s">
        <v>649</v>
      </c>
      <c r="FV11" s="71">
        <v>57</v>
      </c>
      <c r="FW11" s="405">
        <f t="shared" si="22"/>
        <v>53674.049999999996</v>
      </c>
      <c r="FY11" s="61"/>
      <c r="FZ11" s="106"/>
      <c r="GA11" s="15">
        <v>4</v>
      </c>
      <c r="GB11" s="69">
        <v>893.6</v>
      </c>
      <c r="GC11" s="254">
        <v>44821</v>
      </c>
      <c r="GD11" s="69">
        <v>893.6</v>
      </c>
      <c r="GE11" s="70" t="s">
        <v>669</v>
      </c>
      <c r="GF11" s="71">
        <v>57</v>
      </c>
      <c r="GG11" s="245">
        <f t="shared" si="23"/>
        <v>50935.200000000004</v>
      </c>
      <c r="GI11" s="61"/>
      <c r="GJ11" s="106"/>
      <c r="GK11" s="15">
        <v>4</v>
      </c>
      <c r="GL11" s="359">
        <v>909.9</v>
      </c>
      <c r="GM11" s="246">
        <v>44820</v>
      </c>
      <c r="GN11" s="359">
        <v>909.9</v>
      </c>
      <c r="GO11" s="95" t="s">
        <v>659</v>
      </c>
      <c r="GP11" s="71">
        <v>57</v>
      </c>
      <c r="GQ11" s="405">
        <f t="shared" si="24"/>
        <v>51864.299999999996</v>
      </c>
      <c r="GS11" s="61"/>
      <c r="GT11" s="106"/>
      <c r="GU11" s="15">
        <v>4</v>
      </c>
      <c r="GV11" s="92">
        <v>888.1</v>
      </c>
      <c r="GW11" s="246">
        <v>44824</v>
      </c>
      <c r="GX11" s="92">
        <v>888.1</v>
      </c>
      <c r="GY11" s="95" t="s">
        <v>680</v>
      </c>
      <c r="GZ11" s="71">
        <v>57</v>
      </c>
      <c r="HA11" s="405">
        <f t="shared" si="25"/>
        <v>50621.700000000004</v>
      </c>
      <c r="HC11" s="61"/>
      <c r="HD11" s="106"/>
      <c r="HE11" s="15">
        <v>4</v>
      </c>
      <c r="HF11" s="92">
        <v>903.6</v>
      </c>
      <c r="HG11" s="246">
        <v>44824</v>
      </c>
      <c r="HH11" s="92">
        <v>903.6</v>
      </c>
      <c r="HI11" s="95" t="s">
        <v>690</v>
      </c>
      <c r="HJ11" s="71">
        <v>57</v>
      </c>
      <c r="HK11" s="405">
        <f t="shared" si="26"/>
        <v>51505.200000000004</v>
      </c>
      <c r="HM11" s="61"/>
      <c r="HN11" s="106"/>
      <c r="HO11" s="15">
        <v>4</v>
      </c>
      <c r="HP11" s="92">
        <v>882.23</v>
      </c>
      <c r="HQ11" s="246">
        <v>44824</v>
      </c>
      <c r="HR11" s="92">
        <v>882.23</v>
      </c>
      <c r="HS11" s="294" t="s">
        <v>691</v>
      </c>
      <c r="HT11" s="71">
        <v>57</v>
      </c>
      <c r="HU11" s="405">
        <f t="shared" si="27"/>
        <v>50287.11</v>
      </c>
      <c r="HW11" s="61"/>
      <c r="HX11" s="106"/>
      <c r="HY11" s="15">
        <v>4</v>
      </c>
      <c r="HZ11" s="69">
        <v>910.35</v>
      </c>
      <c r="IA11" s="254">
        <v>44825</v>
      </c>
      <c r="IB11" s="69">
        <v>910.35</v>
      </c>
      <c r="IC11" s="70" t="s">
        <v>697</v>
      </c>
      <c r="ID11" s="71">
        <v>57</v>
      </c>
      <c r="IE11" s="405">
        <f t="shared" si="5"/>
        <v>51889.950000000004</v>
      </c>
      <c r="IG11" s="61"/>
      <c r="IH11" s="106"/>
      <c r="II11" s="15">
        <v>4</v>
      </c>
      <c r="IJ11" s="69">
        <v>923.5</v>
      </c>
      <c r="IK11" s="254">
        <v>44826</v>
      </c>
      <c r="IL11" s="69">
        <v>923.5</v>
      </c>
      <c r="IM11" s="70" t="s">
        <v>702</v>
      </c>
      <c r="IN11" s="71">
        <v>57</v>
      </c>
      <c r="IO11" s="405">
        <f t="shared" si="28"/>
        <v>52639.5</v>
      </c>
      <c r="IQ11" s="176"/>
      <c r="IR11" s="106"/>
      <c r="IS11" s="15">
        <v>4</v>
      </c>
      <c r="IT11" s="92">
        <v>866.4</v>
      </c>
      <c r="IU11" s="135">
        <v>44828</v>
      </c>
      <c r="IV11" s="92">
        <v>866.4</v>
      </c>
      <c r="IW11" s="370" t="s">
        <v>717</v>
      </c>
      <c r="IX11" s="71">
        <v>57</v>
      </c>
      <c r="IY11" s="245">
        <f t="shared" si="29"/>
        <v>49384.799999999996</v>
      </c>
      <c r="IZ11" s="92"/>
      <c r="JA11" s="69"/>
      <c r="JB11" s="106"/>
      <c r="JC11" s="15">
        <v>4</v>
      </c>
      <c r="JD11" s="92">
        <v>923.1</v>
      </c>
      <c r="JE11" s="254">
        <v>44827</v>
      </c>
      <c r="JF11" s="92">
        <v>923.1</v>
      </c>
      <c r="JG11" s="70" t="s">
        <v>709</v>
      </c>
      <c r="JH11" s="71">
        <v>57</v>
      </c>
      <c r="JI11" s="405">
        <f t="shared" si="30"/>
        <v>52616.700000000004</v>
      </c>
      <c r="JJ11" s="69"/>
      <c r="JK11" s="61"/>
      <c r="JL11" s="106"/>
      <c r="JM11" s="15">
        <v>4</v>
      </c>
      <c r="JN11" s="92">
        <v>969.78</v>
      </c>
      <c r="JO11" s="246">
        <v>44831</v>
      </c>
      <c r="JP11" s="92">
        <v>969.78</v>
      </c>
      <c r="JQ11" s="70" t="s">
        <v>728</v>
      </c>
      <c r="JR11" s="71">
        <v>57</v>
      </c>
      <c r="JS11" s="405">
        <f t="shared" si="31"/>
        <v>55277.46</v>
      </c>
      <c r="JU11" s="61"/>
      <c r="JV11" s="106"/>
      <c r="JW11" s="15">
        <v>4</v>
      </c>
      <c r="JX11" s="69">
        <v>913.5</v>
      </c>
      <c r="JY11" s="254">
        <v>44832</v>
      </c>
      <c r="JZ11" s="69">
        <v>913.5</v>
      </c>
      <c r="KA11" s="70" t="s">
        <v>731</v>
      </c>
      <c r="KB11" s="71">
        <v>57</v>
      </c>
      <c r="KC11" s="405">
        <f t="shared" si="32"/>
        <v>52069.5</v>
      </c>
      <c r="KE11" s="61"/>
      <c r="KF11" s="106"/>
      <c r="KG11" s="15">
        <v>4</v>
      </c>
      <c r="KH11" s="69">
        <v>906.3</v>
      </c>
      <c r="KI11" s="254">
        <v>44833</v>
      </c>
      <c r="KJ11" s="69">
        <v>906.3</v>
      </c>
      <c r="KK11" s="70" t="s">
        <v>734</v>
      </c>
      <c r="KL11" s="71">
        <v>57</v>
      </c>
      <c r="KM11" s="405">
        <f t="shared" si="33"/>
        <v>51659.1</v>
      </c>
      <c r="KO11" s="61"/>
      <c r="KP11" s="106"/>
      <c r="KQ11" s="15">
        <v>4</v>
      </c>
      <c r="KR11" s="69">
        <v>864.5</v>
      </c>
      <c r="KS11" s="254">
        <v>44834</v>
      </c>
      <c r="KT11" s="934">
        <v>864.5</v>
      </c>
      <c r="KU11" s="932" t="s">
        <v>742</v>
      </c>
      <c r="KV11" s="933">
        <v>57</v>
      </c>
      <c r="KW11" s="405">
        <f t="shared" si="34"/>
        <v>49276.5</v>
      </c>
      <c r="KY11" s="61"/>
      <c r="KZ11" s="106"/>
      <c r="LA11" s="15">
        <v>4</v>
      </c>
      <c r="LB11" s="92">
        <v>964.33</v>
      </c>
      <c r="LC11" s="246">
        <v>44835</v>
      </c>
      <c r="LD11" s="92">
        <v>964.33</v>
      </c>
      <c r="LE11" s="95" t="s">
        <v>749</v>
      </c>
      <c r="LF11" s="71">
        <v>57</v>
      </c>
      <c r="LG11" s="405">
        <f t="shared" si="35"/>
        <v>54966.810000000005</v>
      </c>
      <c r="LI11" s="61"/>
      <c r="LJ11" s="106"/>
      <c r="LK11" s="15">
        <v>4</v>
      </c>
      <c r="LL11" s="92">
        <v>909.9</v>
      </c>
      <c r="LM11" s="246">
        <v>44834</v>
      </c>
      <c r="LN11" s="92">
        <v>909.9</v>
      </c>
      <c r="LO11" s="95" t="s">
        <v>739</v>
      </c>
      <c r="LP11" s="71">
        <v>57</v>
      </c>
      <c r="LQ11" s="405">
        <f t="shared" si="36"/>
        <v>51864.299999999996</v>
      </c>
      <c r="LS11" s="61"/>
      <c r="LT11" s="106"/>
      <c r="LU11" s="15">
        <v>4</v>
      </c>
      <c r="LV11" s="92">
        <v>922.6</v>
      </c>
      <c r="LW11" s="246">
        <v>44835</v>
      </c>
      <c r="LX11" s="92">
        <v>922.6</v>
      </c>
      <c r="LY11" s="95" t="s">
        <v>752</v>
      </c>
      <c r="LZ11" s="71">
        <v>57</v>
      </c>
      <c r="MA11" s="405">
        <f t="shared" si="37"/>
        <v>52588.200000000004</v>
      </c>
      <c r="MB11" s="405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86904007</v>
      </c>
      <c r="E12" s="135">
        <f t="shared" si="50"/>
        <v>44811</v>
      </c>
      <c r="F12" s="86">
        <f t="shared" si="50"/>
        <v>19117.32</v>
      </c>
      <c r="G12" s="73">
        <f t="shared" si="50"/>
        <v>21</v>
      </c>
      <c r="H12" s="48">
        <f t="shared" si="50"/>
        <v>19111.5</v>
      </c>
      <c r="I12" s="105">
        <f t="shared" si="50"/>
        <v>5.819999999999709</v>
      </c>
      <c r="L12" s="106"/>
      <c r="M12" s="15">
        <v>5</v>
      </c>
      <c r="N12" s="69">
        <v>909.9</v>
      </c>
      <c r="O12" s="254">
        <v>44803</v>
      </c>
      <c r="P12" s="69">
        <v>909.9</v>
      </c>
      <c r="Q12" s="70" t="s">
        <v>508</v>
      </c>
      <c r="R12" s="71">
        <v>53</v>
      </c>
      <c r="S12" s="405">
        <f t="shared" si="7"/>
        <v>48224.7</v>
      </c>
      <c r="V12" s="106"/>
      <c r="W12" s="15">
        <v>5</v>
      </c>
      <c r="X12" s="69">
        <v>918.1</v>
      </c>
      <c r="Y12" s="254">
        <v>44806</v>
      </c>
      <c r="Z12" s="69">
        <v>918.1</v>
      </c>
      <c r="AA12" s="70" t="s">
        <v>547</v>
      </c>
      <c r="AB12" s="71">
        <v>51</v>
      </c>
      <c r="AC12" s="405">
        <f t="shared" si="8"/>
        <v>46823.1</v>
      </c>
      <c r="AF12" s="106"/>
      <c r="AG12" s="15">
        <v>5</v>
      </c>
      <c r="AH12" s="92">
        <v>910.4</v>
      </c>
      <c r="AI12" s="246">
        <v>44805</v>
      </c>
      <c r="AJ12" s="92">
        <v>910.4</v>
      </c>
      <c r="AK12" s="95" t="s">
        <v>534</v>
      </c>
      <c r="AL12" s="71">
        <v>49</v>
      </c>
      <c r="AM12" s="405">
        <f t="shared" si="9"/>
        <v>44609.599999999999</v>
      </c>
      <c r="AP12" s="106"/>
      <c r="AQ12" s="15">
        <v>5</v>
      </c>
      <c r="AR12" s="92">
        <v>957.07</v>
      </c>
      <c r="AS12" s="246">
        <v>44803</v>
      </c>
      <c r="AT12" s="92">
        <v>957.07</v>
      </c>
      <c r="AU12" s="95" t="s">
        <v>515</v>
      </c>
      <c r="AV12" s="71">
        <v>53</v>
      </c>
      <c r="AW12" s="405">
        <f t="shared" si="10"/>
        <v>50724.71</v>
      </c>
      <c r="AZ12" s="106"/>
      <c r="BA12" s="15">
        <v>5</v>
      </c>
      <c r="BB12" s="92">
        <v>928.5</v>
      </c>
      <c r="BC12" s="246">
        <v>44805</v>
      </c>
      <c r="BD12" s="92">
        <v>928.5</v>
      </c>
      <c r="BE12" s="95" t="s">
        <v>532</v>
      </c>
      <c r="BF12" s="71">
        <v>49</v>
      </c>
      <c r="BG12" s="405">
        <f t="shared" si="11"/>
        <v>45496.5</v>
      </c>
      <c r="BJ12" s="106"/>
      <c r="BK12" s="15">
        <v>5</v>
      </c>
      <c r="BL12" s="92">
        <v>883.6</v>
      </c>
      <c r="BM12" s="135">
        <v>44807</v>
      </c>
      <c r="BN12" s="92">
        <v>883.6</v>
      </c>
      <c r="BO12" s="95" t="s">
        <v>558</v>
      </c>
      <c r="BP12" s="290">
        <v>51</v>
      </c>
      <c r="BQ12" s="496">
        <f t="shared" si="12"/>
        <v>45063.6</v>
      </c>
      <c r="BR12" s="405"/>
      <c r="BT12" s="106"/>
      <c r="BU12" s="15">
        <v>5</v>
      </c>
      <c r="BV12" s="92">
        <v>929</v>
      </c>
      <c r="BW12" s="291">
        <v>44810</v>
      </c>
      <c r="BX12" s="92">
        <v>929</v>
      </c>
      <c r="BY12" s="621" t="s">
        <v>572</v>
      </c>
      <c r="BZ12" s="292">
        <v>51</v>
      </c>
      <c r="CA12" s="405">
        <f t="shared" si="13"/>
        <v>47379</v>
      </c>
      <c r="CD12" s="214"/>
      <c r="CE12" s="15">
        <v>5</v>
      </c>
      <c r="CF12" s="92">
        <v>861.8</v>
      </c>
      <c r="CG12" s="291">
        <v>44812</v>
      </c>
      <c r="CH12" s="92">
        <v>861.8</v>
      </c>
      <c r="CI12" s="293" t="s">
        <v>579</v>
      </c>
      <c r="CJ12" s="292">
        <v>53</v>
      </c>
      <c r="CK12" s="405">
        <f t="shared" si="14"/>
        <v>45675.399999999994</v>
      </c>
      <c r="CN12" s="94"/>
      <c r="CO12" s="15">
        <v>5</v>
      </c>
      <c r="CP12" s="92">
        <v>935.3</v>
      </c>
      <c r="CQ12" s="291">
        <v>44811</v>
      </c>
      <c r="CR12" s="92">
        <v>935.3</v>
      </c>
      <c r="CS12" s="293" t="s">
        <v>554</v>
      </c>
      <c r="CT12" s="292">
        <v>51</v>
      </c>
      <c r="CU12" s="410">
        <f t="shared" si="48"/>
        <v>47700.299999999996</v>
      </c>
      <c r="CX12" s="106"/>
      <c r="CY12" s="15">
        <v>5</v>
      </c>
      <c r="CZ12" s="92">
        <v>873.6</v>
      </c>
      <c r="DA12" s="246">
        <v>44812</v>
      </c>
      <c r="DB12" s="92">
        <v>873.6</v>
      </c>
      <c r="DC12" s="95" t="s">
        <v>582</v>
      </c>
      <c r="DD12" s="71">
        <v>53</v>
      </c>
      <c r="DE12" s="405">
        <f t="shared" si="15"/>
        <v>46300.800000000003</v>
      </c>
      <c r="DH12" s="106"/>
      <c r="DI12" s="15">
        <v>5</v>
      </c>
      <c r="DJ12" s="92">
        <v>935.8</v>
      </c>
      <c r="DK12" s="291">
        <v>44816</v>
      </c>
      <c r="DL12" s="918">
        <v>935.8</v>
      </c>
      <c r="DM12" s="919" t="s">
        <v>607</v>
      </c>
      <c r="DN12" s="292">
        <v>54</v>
      </c>
      <c r="DO12" s="410">
        <f t="shared" si="16"/>
        <v>50533.2</v>
      </c>
      <c r="DR12" s="106"/>
      <c r="DS12" s="15">
        <v>5</v>
      </c>
      <c r="DT12" s="92">
        <v>923.1</v>
      </c>
      <c r="DU12" s="291">
        <v>44814</v>
      </c>
      <c r="DV12" s="92">
        <v>923.1</v>
      </c>
      <c r="DW12" s="293" t="s">
        <v>592</v>
      </c>
      <c r="DX12" s="292">
        <v>53</v>
      </c>
      <c r="DY12" s="405">
        <f t="shared" si="17"/>
        <v>48924.3</v>
      </c>
      <c r="EB12" s="106"/>
      <c r="EC12" s="15">
        <v>5</v>
      </c>
      <c r="ED12" s="69">
        <v>939.84</v>
      </c>
      <c r="EE12" s="254">
        <v>44814</v>
      </c>
      <c r="EF12" s="69">
        <v>939.84</v>
      </c>
      <c r="EG12" s="70" t="s">
        <v>599</v>
      </c>
      <c r="EH12" s="71">
        <v>53</v>
      </c>
      <c r="EI12" s="405">
        <f t="shared" si="18"/>
        <v>49811.520000000004</v>
      </c>
      <c r="EL12" s="106"/>
      <c r="EM12" s="15">
        <v>5</v>
      </c>
      <c r="EN12" s="69">
        <v>920.8</v>
      </c>
      <c r="EO12" s="254">
        <v>44817</v>
      </c>
      <c r="EP12" s="69">
        <v>920.8</v>
      </c>
      <c r="EQ12" s="70" t="s">
        <v>621</v>
      </c>
      <c r="ER12" s="71">
        <v>55</v>
      </c>
      <c r="ES12" s="405">
        <f t="shared" si="19"/>
        <v>50644</v>
      </c>
      <c r="EV12" s="333"/>
      <c r="EW12" s="15">
        <v>5</v>
      </c>
      <c r="EX12" s="92">
        <v>928</v>
      </c>
      <c r="EY12" s="246">
        <v>44818</v>
      </c>
      <c r="EZ12" s="92">
        <v>928</v>
      </c>
      <c r="FA12" s="70" t="s">
        <v>631</v>
      </c>
      <c r="FB12" s="71">
        <v>55</v>
      </c>
      <c r="FC12" s="405">
        <f t="shared" si="20"/>
        <v>51040</v>
      </c>
      <c r="FF12" s="333"/>
      <c r="FG12" s="15">
        <v>5</v>
      </c>
      <c r="FH12" s="92">
        <v>962.52</v>
      </c>
      <c r="FI12" s="246">
        <v>44817</v>
      </c>
      <c r="FJ12" s="92">
        <v>962.52</v>
      </c>
      <c r="FK12" s="70" t="s">
        <v>626</v>
      </c>
      <c r="FL12" s="71">
        <v>55</v>
      </c>
      <c r="FM12" s="245">
        <f t="shared" si="21"/>
        <v>52938.6</v>
      </c>
      <c r="FN12" s="75" t="s">
        <v>41</v>
      </c>
      <c r="FP12" s="106"/>
      <c r="FQ12" s="15">
        <v>5</v>
      </c>
      <c r="FR12" s="92">
        <v>911.72</v>
      </c>
      <c r="FS12" s="246">
        <v>44819</v>
      </c>
      <c r="FT12" s="92">
        <v>911.72</v>
      </c>
      <c r="FU12" s="70" t="s">
        <v>649</v>
      </c>
      <c r="FV12" s="71">
        <v>57</v>
      </c>
      <c r="FW12" s="405">
        <f t="shared" si="22"/>
        <v>51968.04</v>
      </c>
      <c r="FZ12" s="106"/>
      <c r="GA12" s="15">
        <v>5</v>
      </c>
      <c r="GB12" s="69">
        <v>876.8</v>
      </c>
      <c r="GC12" s="254">
        <v>44821</v>
      </c>
      <c r="GD12" s="69">
        <v>876.8</v>
      </c>
      <c r="GE12" s="70" t="s">
        <v>672</v>
      </c>
      <c r="GF12" s="71">
        <v>57</v>
      </c>
      <c r="GG12" s="245">
        <f t="shared" si="23"/>
        <v>49977.599999999999</v>
      </c>
      <c r="GJ12" s="106"/>
      <c r="GK12" s="15">
        <v>5</v>
      </c>
      <c r="GL12" s="359">
        <v>895.4</v>
      </c>
      <c r="GM12" s="246">
        <v>44820</v>
      </c>
      <c r="GN12" s="359">
        <v>895.4</v>
      </c>
      <c r="GO12" s="95" t="s">
        <v>659</v>
      </c>
      <c r="GP12" s="71">
        <v>57</v>
      </c>
      <c r="GQ12" s="405">
        <f t="shared" si="24"/>
        <v>51037.799999999996</v>
      </c>
      <c r="GT12" s="106"/>
      <c r="GU12" s="15">
        <v>5</v>
      </c>
      <c r="GV12" s="92">
        <v>915.3</v>
      </c>
      <c r="GW12" s="246">
        <v>44824</v>
      </c>
      <c r="GX12" s="92">
        <v>915.3</v>
      </c>
      <c r="GY12" s="95" t="s">
        <v>680</v>
      </c>
      <c r="GZ12" s="71">
        <v>57</v>
      </c>
      <c r="HA12" s="405">
        <f t="shared" si="25"/>
        <v>52172.1</v>
      </c>
      <c r="HD12" s="106"/>
      <c r="HE12" s="15">
        <v>5</v>
      </c>
      <c r="HF12" s="92">
        <v>862.7</v>
      </c>
      <c r="HG12" s="246">
        <v>44824</v>
      </c>
      <c r="HH12" s="92">
        <v>862.7</v>
      </c>
      <c r="HI12" s="95" t="s">
        <v>690</v>
      </c>
      <c r="HJ12" s="71">
        <v>57</v>
      </c>
      <c r="HK12" s="405">
        <f t="shared" si="26"/>
        <v>49173.9</v>
      </c>
      <c r="HN12" s="106"/>
      <c r="HO12" s="15">
        <v>5</v>
      </c>
      <c r="HP12" s="92">
        <v>908.99</v>
      </c>
      <c r="HQ12" s="246">
        <v>44824</v>
      </c>
      <c r="HR12" s="92">
        <v>908.99</v>
      </c>
      <c r="HS12" s="294" t="s">
        <v>691</v>
      </c>
      <c r="HT12" s="71">
        <v>57</v>
      </c>
      <c r="HU12" s="405">
        <f t="shared" si="27"/>
        <v>51812.43</v>
      </c>
      <c r="HX12" s="106"/>
      <c r="HY12" s="15">
        <v>5</v>
      </c>
      <c r="HZ12" s="69">
        <v>921.69</v>
      </c>
      <c r="IA12" s="254">
        <v>44825</v>
      </c>
      <c r="IB12" s="69">
        <v>921.69</v>
      </c>
      <c r="IC12" s="70" t="s">
        <v>697</v>
      </c>
      <c r="ID12" s="71">
        <v>57</v>
      </c>
      <c r="IE12" s="405">
        <f t="shared" si="5"/>
        <v>52536.33</v>
      </c>
      <c r="IH12" s="106"/>
      <c r="II12" s="15">
        <v>5</v>
      </c>
      <c r="IJ12" s="69">
        <v>921.7</v>
      </c>
      <c r="IK12" s="254">
        <v>44826</v>
      </c>
      <c r="IL12" s="69">
        <v>921.7</v>
      </c>
      <c r="IM12" s="70" t="s">
        <v>702</v>
      </c>
      <c r="IN12" s="71">
        <v>57</v>
      </c>
      <c r="IO12" s="405">
        <f t="shared" si="28"/>
        <v>52536.9</v>
      </c>
      <c r="IQ12" s="503"/>
      <c r="IR12" s="106"/>
      <c r="IS12" s="15">
        <v>5</v>
      </c>
      <c r="IT12" s="92">
        <v>882.7</v>
      </c>
      <c r="IU12" s="135">
        <v>44828</v>
      </c>
      <c r="IV12" s="92">
        <v>882.7</v>
      </c>
      <c r="IW12" s="370" t="s">
        <v>717</v>
      </c>
      <c r="IX12" s="71">
        <v>57</v>
      </c>
      <c r="IY12" s="245">
        <f t="shared" si="29"/>
        <v>50313.9</v>
      </c>
      <c r="IZ12" s="92"/>
      <c r="JA12" s="69"/>
      <c r="JB12" s="106"/>
      <c r="JC12" s="15">
        <v>5</v>
      </c>
      <c r="JD12" s="92">
        <v>906.7</v>
      </c>
      <c r="JE12" s="254">
        <v>44827</v>
      </c>
      <c r="JF12" s="92">
        <v>906.7</v>
      </c>
      <c r="JG12" s="70" t="s">
        <v>710</v>
      </c>
      <c r="JH12" s="71">
        <v>57</v>
      </c>
      <c r="JI12" s="405">
        <f t="shared" si="30"/>
        <v>51681.9</v>
      </c>
      <c r="JJ12" s="69"/>
      <c r="JL12" s="106"/>
      <c r="JM12" s="15">
        <v>5</v>
      </c>
      <c r="JN12" s="92">
        <v>930.77</v>
      </c>
      <c r="JO12" s="246">
        <v>44831</v>
      </c>
      <c r="JP12" s="92">
        <v>930.77</v>
      </c>
      <c r="JQ12" s="70" t="s">
        <v>728</v>
      </c>
      <c r="JR12" s="71">
        <v>57</v>
      </c>
      <c r="JS12" s="405">
        <f t="shared" si="31"/>
        <v>53053.89</v>
      </c>
      <c r="JV12" s="106"/>
      <c r="JW12" s="15">
        <v>5</v>
      </c>
      <c r="JX12" s="69">
        <v>882.7</v>
      </c>
      <c r="JY12" s="254">
        <v>44832</v>
      </c>
      <c r="JZ12" s="69">
        <v>882.7</v>
      </c>
      <c r="KA12" s="70" t="s">
        <v>731</v>
      </c>
      <c r="KB12" s="71">
        <v>57</v>
      </c>
      <c r="KC12" s="405">
        <f t="shared" si="32"/>
        <v>50313.9</v>
      </c>
      <c r="KF12" s="106"/>
      <c r="KG12" s="15">
        <v>5</v>
      </c>
      <c r="KH12" s="69">
        <v>895.4</v>
      </c>
      <c r="KI12" s="254">
        <v>44833</v>
      </c>
      <c r="KJ12" s="69">
        <v>895.4</v>
      </c>
      <c r="KK12" s="70" t="s">
        <v>734</v>
      </c>
      <c r="KL12" s="71">
        <v>57</v>
      </c>
      <c r="KM12" s="405">
        <f t="shared" si="33"/>
        <v>51037.799999999996</v>
      </c>
      <c r="KP12" s="106"/>
      <c r="KQ12" s="15">
        <v>5</v>
      </c>
      <c r="KR12" s="69">
        <v>902.6</v>
      </c>
      <c r="KS12" s="254">
        <v>44834</v>
      </c>
      <c r="KT12" s="934">
        <v>902.6</v>
      </c>
      <c r="KU12" s="932" t="s">
        <v>743</v>
      </c>
      <c r="KV12" s="933">
        <v>57</v>
      </c>
      <c r="KW12" s="405">
        <f t="shared" si="34"/>
        <v>51448.200000000004</v>
      </c>
      <c r="KZ12" s="106"/>
      <c r="LA12" s="15">
        <v>5</v>
      </c>
      <c r="LB12" s="92">
        <v>919.43</v>
      </c>
      <c r="LC12" s="246">
        <v>44835</v>
      </c>
      <c r="LD12" s="92">
        <v>919.43</v>
      </c>
      <c r="LE12" s="95" t="s">
        <v>751</v>
      </c>
      <c r="LF12" s="71">
        <v>57</v>
      </c>
      <c r="LG12" s="405">
        <f t="shared" si="35"/>
        <v>52407.509999999995</v>
      </c>
      <c r="LJ12" s="106"/>
      <c r="LK12" s="15">
        <v>5</v>
      </c>
      <c r="LL12" s="92">
        <v>889</v>
      </c>
      <c r="LM12" s="246">
        <v>44834</v>
      </c>
      <c r="LN12" s="92">
        <v>889</v>
      </c>
      <c r="LO12" s="95" t="s">
        <v>739</v>
      </c>
      <c r="LP12" s="71">
        <v>57</v>
      </c>
      <c r="LQ12" s="405">
        <f t="shared" si="36"/>
        <v>50673</v>
      </c>
      <c r="LT12" s="106"/>
      <c r="LU12" s="15">
        <v>5</v>
      </c>
      <c r="LV12" s="92">
        <v>937.1</v>
      </c>
      <c r="LW12" s="246">
        <v>44835</v>
      </c>
      <c r="LX12" s="92">
        <v>937.1</v>
      </c>
      <c r="LY12" s="95" t="s">
        <v>753</v>
      </c>
      <c r="LZ12" s="71">
        <v>57</v>
      </c>
      <c r="MA12" s="405">
        <f t="shared" si="37"/>
        <v>53414.700000000004</v>
      </c>
      <c r="MB12" s="405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86966018</v>
      </c>
      <c r="E13" s="135">
        <f t="shared" si="51"/>
        <v>44812</v>
      </c>
      <c r="F13" s="86">
        <f t="shared" si="51"/>
        <v>19027.88</v>
      </c>
      <c r="G13" s="73">
        <f t="shared" si="51"/>
        <v>21</v>
      </c>
      <c r="H13" s="48">
        <f t="shared" si="51"/>
        <v>18978.3</v>
      </c>
      <c r="I13" s="105">
        <f t="shared" si="51"/>
        <v>49.580000000001746</v>
      </c>
      <c r="L13" s="106"/>
      <c r="M13" s="15">
        <v>6</v>
      </c>
      <c r="N13" s="69">
        <v>938.9</v>
      </c>
      <c r="O13" s="254">
        <v>44803</v>
      </c>
      <c r="P13" s="69">
        <v>938.9</v>
      </c>
      <c r="Q13" s="70" t="s">
        <v>506</v>
      </c>
      <c r="R13" s="71">
        <v>53</v>
      </c>
      <c r="S13" s="405">
        <f t="shared" si="7"/>
        <v>49761.7</v>
      </c>
      <c r="V13" s="106"/>
      <c r="W13" s="15">
        <v>6</v>
      </c>
      <c r="X13" s="69">
        <v>940.7</v>
      </c>
      <c r="Y13" s="254">
        <v>44806</v>
      </c>
      <c r="Z13" s="69">
        <v>940.7</v>
      </c>
      <c r="AA13" s="70" t="s">
        <v>547</v>
      </c>
      <c r="AB13" s="71">
        <v>51</v>
      </c>
      <c r="AC13" s="405">
        <f t="shared" si="8"/>
        <v>47975.700000000004</v>
      </c>
      <c r="AF13" s="106"/>
      <c r="AG13" s="15">
        <v>6</v>
      </c>
      <c r="AH13" s="92">
        <v>890.4</v>
      </c>
      <c r="AI13" s="246">
        <v>44805</v>
      </c>
      <c r="AJ13" s="92">
        <v>890.4</v>
      </c>
      <c r="AK13" s="95" t="s">
        <v>534</v>
      </c>
      <c r="AL13" s="71">
        <v>49</v>
      </c>
      <c r="AM13" s="405">
        <f t="shared" si="9"/>
        <v>43629.599999999999</v>
      </c>
      <c r="AP13" s="106"/>
      <c r="AQ13" s="15">
        <v>6</v>
      </c>
      <c r="AR13" s="92">
        <v>951.63</v>
      </c>
      <c r="AS13" s="246">
        <v>44803</v>
      </c>
      <c r="AT13" s="92">
        <v>951.63</v>
      </c>
      <c r="AU13" s="95" t="s">
        <v>515</v>
      </c>
      <c r="AV13" s="71">
        <v>53</v>
      </c>
      <c r="AW13" s="405">
        <f t="shared" si="10"/>
        <v>50436.39</v>
      </c>
      <c r="AZ13" s="106"/>
      <c r="BA13" s="15">
        <v>6</v>
      </c>
      <c r="BB13" s="92">
        <v>935.3</v>
      </c>
      <c r="BC13" s="246">
        <v>44804</v>
      </c>
      <c r="BD13" s="92">
        <v>935.3</v>
      </c>
      <c r="BE13" s="95" t="s">
        <v>524</v>
      </c>
      <c r="BF13" s="71">
        <v>49</v>
      </c>
      <c r="BG13" s="405">
        <f t="shared" si="11"/>
        <v>45829.7</v>
      </c>
      <c r="BJ13" s="106"/>
      <c r="BK13" s="15">
        <v>6</v>
      </c>
      <c r="BL13" s="92">
        <v>919.9</v>
      </c>
      <c r="BM13" s="135">
        <v>44807</v>
      </c>
      <c r="BN13" s="92">
        <v>919.9</v>
      </c>
      <c r="BO13" s="95" t="s">
        <v>562</v>
      </c>
      <c r="BP13" s="290">
        <v>51</v>
      </c>
      <c r="BQ13" s="496">
        <f t="shared" si="12"/>
        <v>46914.9</v>
      </c>
      <c r="BR13" s="405"/>
      <c r="BT13" s="106"/>
      <c r="BU13" s="15">
        <v>6</v>
      </c>
      <c r="BV13" s="92">
        <v>909</v>
      </c>
      <c r="BW13" s="291">
        <v>44809</v>
      </c>
      <c r="BX13" s="92">
        <v>909</v>
      </c>
      <c r="BY13" s="621" t="s">
        <v>570</v>
      </c>
      <c r="BZ13" s="292">
        <v>51</v>
      </c>
      <c r="CA13" s="405">
        <f t="shared" si="13"/>
        <v>46359</v>
      </c>
      <c r="CD13" s="214"/>
      <c r="CE13" s="15">
        <v>6</v>
      </c>
      <c r="CF13" s="92">
        <v>877.2</v>
      </c>
      <c r="CG13" s="291">
        <v>44813</v>
      </c>
      <c r="CH13" s="92">
        <v>877.2</v>
      </c>
      <c r="CI13" s="293" t="s">
        <v>587</v>
      </c>
      <c r="CJ13" s="292">
        <v>53</v>
      </c>
      <c r="CK13" s="405">
        <f t="shared" si="14"/>
        <v>46491.600000000006</v>
      </c>
      <c r="CN13" s="94"/>
      <c r="CO13" s="15">
        <v>6</v>
      </c>
      <c r="CP13" s="92">
        <v>905.4</v>
      </c>
      <c r="CQ13" s="291">
        <v>44811</v>
      </c>
      <c r="CR13" s="92">
        <v>905.4</v>
      </c>
      <c r="CS13" s="293" t="s">
        <v>554</v>
      </c>
      <c r="CT13" s="292">
        <v>51</v>
      </c>
      <c r="CU13" s="410">
        <f t="shared" si="48"/>
        <v>46175.4</v>
      </c>
      <c r="CX13" s="106"/>
      <c r="CY13" s="15">
        <v>6</v>
      </c>
      <c r="CZ13" s="92">
        <v>898.1</v>
      </c>
      <c r="DA13" s="246">
        <v>44812</v>
      </c>
      <c r="DB13" s="92">
        <v>898.1</v>
      </c>
      <c r="DC13" s="95" t="s">
        <v>582</v>
      </c>
      <c r="DD13" s="71">
        <v>53</v>
      </c>
      <c r="DE13" s="405">
        <f t="shared" si="15"/>
        <v>47599.3</v>
      </c>
      <c r="DH13" s="106"/>
      <c r="DI13" s="15">
        <v>6</v>
      </c>
      <c r="DJ13" s="92">
        <v>911.7</v>
      </c>
      <c r="DK13" s="291">
        <v>44816</v>
      </c>
      <c r="DL13" s="918">
        <v>911.7</v>
      </c>
      <c r="DM13" s="919" t="s">
        <v>607</v>
      </c>
      <c r="DN13" s="292">
        <v>54</v>
      </c>
      <c r="DO13" s="410">
        <f t="shared" si="16"/>
        <v>49231.8</v>
      </c>
      <c r="DR13" s="106"/>
      <c r="DS13" s="15">
        <v>6</v>
      </c>
      <c r="DT13" s="92">
        <v>906.3</v>
      </c>
      <c r="DU13" s="291">
        <v>44814</v>
      </c>
      <c r="DV13" s="92">
        <v>906.3</v>
      </c>
      <c r="DW13" s="293" t="s">
        <v>592</v>
      </c>
      <c r="DX13" s="292">
        <v>53</v>
      </c>
      <c r="DY13" s="405">
        <f t="shared" si="17"/>
        <v>48033.899999999994</v>
      </c>
      <c r="EB13" s="106"/>
      <c r="EC13" s="15">
        <v>6</v>
      </c>
      <c r="ED13" s="69">
        <v>933.94</v>
      </c>
      <c r="EE13" s="254">
        <v>44814</v>
      </c>
      <c r="EF13" s="69">
        <v>933.94</v>
      </c>
      <c r="EG13" s="70" t="s">
        <v>604</v>
      </c>
      <c r="EH13" s="71">
        <v>54</v>
      </c>
      <c r="EI13" s="405">
        <f t="shared" si="18"/>
        <v>50432.76</v>
      </c>
      <c r="EL13" s="106"/>
      <c r="EM13" s="15">
        <v>6</v>
      </c>
      <c r="EN13" s="69">
        <v>925.3</v>
      </c>
      <c r="EO13" s="254">
        <v>44817</v>
      </c>
      <c r="EP13" s="69">
        <v>925.3</v>
      </c>
      <c r="EQ13" s="70" t="s">
        <v>621</v>
      </c>
      <c r="ER13" s="71">
        <v>55</v>
      </c>
      <c r="ES13" s="405">
        <f t="shared" si="19"/>
        <v>50891.5</v>
      </c>
      <c r="EV13" s="333"/>
      <c r="EW13" s="15">
        <v>6</v>
      </c>
      <c r="EX13" s="92">
        <v>930.8</v>
      </c>
      <c r="EY13" s="246">
        <v>44818</v>
      </c>
      <c r="EZ13" s="92">
        <v>930.8</v>
      </c>
      <c r="FA13" s="70" t="s">
        <v>631</v>
      </c>
      <c r="FB13" s="71">
        <v>55</v>
      </c>
      <c r="FC13" s="405">
        <f t="shared" si="20"/>
        <v>51194</v>
      </c>
      <c r="FF13" s="333"/>
      <c r="FG13" s="15">
        <v>6</v>
      </c>
      <c r="FH13" s="92">
        <v>925.78</v>
      </c>
      <c r="FI13" s="246">
        <v>44817</v>
      </c>
      <c r="FJ13" s="92">
        <v>925.78</v>
      </c>
      <c r="FK13" s="70" t="s">
        <v>626</v>
      </c>
      <c r="FL13" s="71">
        <v>55</v>
      </c>
      <c r="FM13" s="245">
        <f t="shared" si="21"/>
        <v>50917.9</v>
      </c>
      <c r="FP13" s="106"/>
      <c r="FQ13" s="15">
        <v>6</v>
      </c>
      <c r="FR13" s="92">
        <v>870.89</v>
      </c>
      <c r="FS13" s="246">
        <v>44819</v>
      </c>
      <c r="FT13" s="92">
        <v>870.89</v>
      </c>
      <c r="FU13" s="70" t="s">
        <v>649</v>
      </c>
      <c r="FV13" s="71">
        <v>57</v>
      </c>
      <c r="FW13" s="405">
        <f t="shared" si="22"/>
        <v>49640.729999999996</v>
      </c>
      <c r="FZ13" s="106"/>
      <c r="GA13" s="15">
        <v>6</v>
      </c>
      <c r="GB13" s="69">
        <v>892.7</v>
      </c>
      <c r="GC13" s="254">
        <v>44821</v>
      </c>
      <c r="GD13" s="69">
        <v>892.7</v>
      </c>
      <c r="GE13" s="70" t="s">
        <v>668</v>
      </c>
      <c r="GF13" s="71">
        <v>57</v>
      </c>
      <c r="GG13" s="245">
        <f t="shared" si="23"/>
        <v>50883.9</v>
      </c>
      <c r="GJ13" s="106"/>
      <c r="GK13" s="15">
        <v>6</v>
      </c>
      <c r="GL13" s="359">
        <v>886.3</v>
      </c>
      <c r="GM13" s="246">
        <v>44820</v>
      </c>
      <c r="GN13" s="359">
        <v>886.3</v>
      </c>
      <c r="GO13" s="95" t="s">
        <v>659</v>
      </c>
      <c r="GP13" s="71">
        <v>57</v>
      </c>
      <c r="GQ13" s="405">
        <f t="shared" si="24"/>
        <v>50519.1</v>
      </c>
      <c r="GT13" s="106"/>
      <c r="GU13" s="15">
        <v>6</v>
      </c>
      <c r="GV13" s="92">
        <v>893.6</v>
      </c>
      <c r="GW13" s="246">
        <v>44824</v>
      </c>
      <c r="GX13" s="92">
        <v>893.6</v>
      </c>
      <c r="GY13" s="95" t="s">
        <v>680</v>
      </c>
      <c r="GZ13" s="71">
        <v>57</v>
      </c>
      <c r="HA13" s="405">
        <f t="shared" si="25"/>
        <v>50935.200000000004</v>
      </c>
      <c r="HD13" s="106"/>
      <c r="HE13" s="15">
        <v>6</v>
      </c>
      <c r="HF13" s="92">
        <v>880.9</v>
      </c>
      <c r="HG13" s="246">
        <v>44824</v>
      </c>
      <c r="HH13" s="92">
        <v>880.9</v>
      </c>
      <c r="HI13" s="95" t="s">
        <v>690</v>
      </c>
      <c r="HJ13" s="71">
        <v>57</v>
      </c>
      <c r="HK13" s="405">
        <f t="shared" si="26"/>
        <v>50211.299999999996</v>
      </c>
      <c r="HN13" s="106"/>
      <c r="HO13" s="15">
        <v>6</v>
      </c>
      <c r="HP13" s="92">
        <v>930.31</v>
      </c>
      <c r="HQ13" s="246">
        <v>44824</v>
      </c>
      <c r="HR13" s="92">
        <v>930.31</v>
      </c>
      <c r="HS13" s="294" t="s">
        <v>691</v>
      </c>
      <c r="HT13" s="71">
        <v>57</v>
      </c>
      <c r="HU13" s="405">
        <f t="shared" si="27"/>
        <v>53027.67</v>
      </c>
      <c r="HX13" s="106"/>
      <c r="HY13" s="15">
        <v>6</v>
      </c>
      <c r="HZ13" s="69">
        <v>928.04</v>
      </c>
      <c r="IA13" s="254">
        <v>44825</v>
      </c>
      <c r="IB13" s="69">
        <v>928.04</v>
      </c>
      <c r="IC13" s="70" t="s">
        <v>697</v>
      </c>
      <c r="ID13" s="71">
        <v>57</v>
      </c>
      <c r="IE13" s="405">
        <f t="shared" si="5"/>
        <v>52898.28</v>
      </c>
      <c r="IH13" s="106"/>
      <c r="II13" s="15">
        <v>6</v>
      </c>
      <c r="IJ13" s="69">
        <v>912.6</v>
      </c>
      <c r="IK13" s="254">
        <v>44826</v>
      </c>
      <c r="IL13" s="69">
        <v>912.6</v>
      </c>
      <c r="IM13" s="70" t="s">
        <v>702</v>
      </c>
      <c r="IN13" s="71">
        <v>57</v>
      </c>
      <c r="IO13" s="405">
        <f t="shared" si="28"/>
        <v>52018.200000000004</v>
      </c>
      <c r="IQ13" s="503"/>
      <c r="IR13" s="106"/>
      <c r="IS13" s="15">
        <v>6</v>
      </c>
      <c r="IT13" s="92">
        <v>873.6</v>
      </c>
      <c r="IU13" s="135">
        <v>44828</v>
      </c>
      <c r="IV13" s="92">
        <v>873.6</v>
      </c>
      <c r="IW13" s="370" t="s">
        <v>717</v>
      </c>
      <c r="IX13" s="71">
        <v>57</v>
      </c>
      <c r="IY13" s="245">
        <f t="shared" si="29"/>
        <v>49795.200000000004</v>
      </c>
      <c r="IZ13" s="92"/>
      <c r="JA13" s="69"/>
      <c r="JB13" s="106"/>
      <c r="JC13" s="15">
        <v>6</v>
      </c>
      <c r="JD13" s="92">
        <v>919.4</v>
      </c>
      <c r="JE13" s="254">
        <v>44827</v>
      </c>
      <c r="JF13" s="92">
        <v>919.4</v>
      </c>
      <c r="JG13" s="70" t="s">
        <v>709</v>
      </c>
      <c r="JH13" s="71">
        <v>57</v>
      </c>
      <c r="JI13" s="405">
        <f t="shared" si="30"/>
        <v>52405.799999999996</v>
      </c>
      <c r="JJ13" s="69"/>
      <c r="JL13" s="106"/>
      <c r="JM13" s="15">
        <v>6</v>
      </c>
      <c r="JN13" s="92">
        <v>953.45</v>
      </c>
      <c r="JO13" s="246">
        <v>44831</v>
      </c>
      <c r="JP13" s="92">
        <v>953.45</v>
      </c>
      <c r="JQ13" s="70" t="s">
        <v>728</v>
      </c>
      <c r="JR13" s="71">
        <v>57</v>
      </c>
      <c r="JS13" s="405">
        <f t="shared" si="31"/>
        <v>54346.65</v>
      </c>
      <c r="JV13" s="106"/>
      <c r="JW13" s="15">
        <v>6</v>
      </c>
      <c r="JX13" s="69">
        <v>911.7</v>
      </c>
      <c r="JY13" s="254">
        <v>44832</v>
      </c>
      <c r="JZ13" s="69">
        <v>911.7</v>
      </c>
      <c r="KA13" s="70" t="s">
        <v>731</v>
      </c>
      <c r="KB13" s="71">
        <v>57</v>
      </c>
      <c r="KC13" s="405">
        <f t="shared" si="32"/>
        <v>51966.9</v>
      </c>
      <c r="KF13" s="106"/>
      <c r="KG13" s="15">
        <v>6</v>
      </c>
      <c r="KH13" s="69">
        <v>909</v>
      </c>
      <c r="KI13" s="254">
        <v>44833</v>
      </c>
      <c r="KJ13" s="69">
        <v>909</v>
      </c>
      <c r="KK13" s="70" t="s">
        <v>734</v>
      </c>
      <c r="KL13" s="71">
        <v>57</v>
      </c>
      <c r="KM13" s="405">
        <f t="shared" si="33"/>
        <v>51813</v>
      </c>
      <c r="KP13" s="106"/>
      <c r="KQ13" s="15">
        <v>6</v>
      </c>
      <c r="KR13" s="69">
        <v>909</v>
      </c>
      <c r="KS13" s="254">
        <v>44834</v>
      </c>
      <c r="KT13" s="934">
        <v>909</v>
      </c>
      <c r="KU13" s="932" t="s">
        <v>742</v>
      </c>
      <c r="KV13" s="933">
        <v>57</v>
      </c>
      <c r="KW13" s="405">
        <f t="shared" si="34"/>
        <v>51813</v>
      </c>
      <c r="KZ13" s="106"/>
      <c r="LA13" s="15">
        <v>6</v>
      </c>
      <c r="LB13" s="92">
        <v>954.81</v>
      </c>
      <c r="LC13" s="246">
        <v>44834</v>
      </c>
      <c r="LD13" s="92">
        <v>954.81</v>
      </c>
      <c r="LE13" s="95" t="s">
        <v>747</v>
      </c>
      <c r="LF13" s="71">
        <v>57</v>
      </c>
      <c r="LG13" s="405">
        <f t="shared" si="35"/>
        <v>54424.17</v>
      </c>
      <c r="LJ13" s="106"/>
      <c r="LK13" s="15">
        <v>6</v>
      </c>
      <c r="LL13" s="92">
        <v>907.2</v>
      </c>
      <c r="LM13" s="246">
        <v>44834</v>
      </c>
      <c r="LN13" s="92">
        <v>907.2</v>
      </c>
      <c r="LO13" s="95" t="s">
        <v>739</v>
      </c>
      <c r="LP13" s="71">
        <v>57</v>
      </c>
      <c r="LQ13" s="405">
        <f t="shared" si="36"/>
        <v>51710.400000000001</v>
      </c>
      <c r="LT13" s="106"/>
      <c r="LU13" s="15">
        <v>6</v>
      </c>
      <c r="LV13" s="92">
        <v>865.4</v>
      </c>
      <c r="LW13" s="246">
        <v>44835</v>
      </c>
      <c r="LX13" s="92">
        <v>865.4</v>
      </c>
      <c r="LY13" s="95" t="s">
        <v>753</v>
      </c>
      <c r="LZ13" s="71">
        <v>57</v>
      </c>
      <c r="MA13" s="405">
        <f t="shared" si="37"/>
        <v>49327.799999999996</v>
      </c>
      <c r="MB13" s="405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87074012</v>
      </c>
      <c r="E14" s="135">
        <f t="shared" si="52"/>
        <v>44814</v>
      </c>
      <c r="F14" s="86">
        <f t="shared" si="52"/>
        <v>19234.439999999999</v>
      </c>
      <c r="G14" s="73">
        <f t="shared" si="52"/>
        <v>21</v>
      </c>
      <c r="H14" s="48">
        <f t="shared" si="52"/>
        <v>19288.400000000001</v>
      </c>
      <c r="I14" s="105">
        <f t="shared" si="52"/>
        <v>-53.960000000002765</v>
      </c>
      <c r="L14" s="106"/>
      <c r="M14" s="15">
        <v>7</v>
      </c>
      <c r="N14" s="69">
        <v>901.7</v>
      </c>
      <c r="O14" s="254">
        <v>44802</v>
      </c>
      <c r="P14" s="69">
        <v>901.7</v>
      </c>
      <c r="Q14" s="70" t="s">
        <v>503</v>
      </c>
      <c r="R14" s="71">
        <v>53</v>
      </c>
      <c r="S14" s="405">
        <f t="shared" si="7"/>
        <v>47790.100000000006</v>
      </c>
      <c r="V14" s="106"/>
      <c r="W14" s="15">
        <v>7</v>
      </c>
      <c r="X14" s="69">
        <v>879.1</v>
      </c>
      <c r="Y14" s="254">
        <v>44806</v>
      </c>
      <c r="Z14" s="69">
        <v>879.1</v>
      </c>
      <c r="AA14" s="70" t="s">
        <v>548</v>
      </c>
      <c r="AB14" s="71">
        <v>51</v>
      </c>
      <c r="AC14" s="405">
        <f t="shared" si="8"/>
        <v>44834.1</v>
      </c>
      <c r="AF14" s="106"/>
      <c r="AG14" s="15">
        <v>7</v>
      </c>
      <c r="AH14" s="92">
        <v>902.6</v>
      </c>
      <c r="AI14" s="246">
        <v>44805</v>
      </c>
      <c r="AJ14" s="92">
        <v>902.6</v>
      </c>
      <c r="AK14" s="95" t="s">
        <v>534</v>
      </c>
      <c r="AL14" s="71">
        <v>49</v>
      </c>
      <c r="AM14" s="405">
        <f t="shared" si="9"/>
        <v>44227.4</v>
      </c>
      <c r="AP14" s="106"/>
      <c r="AQ14" s="15">
        <v>7</v>
      </c>
      <c r="AR14" s="92">
        <v>959.34</v>
      </c>
      <c r="AS14" s="246">
        <v>44803</v>
      </c>
      <c r="AT14" s="92">
        <v>959.34</v>
      </c>
      <c r="AU14" s="95" t="s">
        <v>513</v>
      </c>
      <c r="AV14" s="71">
        <v>53</v>
      </c>
      <c r="AW14" s="405">
        <f t="shared" si="10"/>
        <v>50845.020000000004</v>
      </c>
      <c r="AZ14" s="106"/>
      <c r="BA14" s="15">
        <v>7</v>
      </c>
      <c r="BB14" s="92">
        <v>928.04</v>
      </c>
      <c r="BC14" s="246">
        <v>44804</v>
      </c>
      <c r="BD14" s="92">
        <v>928.04</v>
      </c>
      <c r="BE14" s="95" t="s">
        <v>524</v>
      </c>
      <c r="BF14" s="71">
        <v>49</v>
      </c>
      <c r="BG14" s="405">
        <f t="shared" si="11"/>
        <v>45473.96</v>
      </c>
      <c r="BJ14" s="754"/>
      <c r="BK14" s="15">
        <v>7</v>
      </c>
      <c r="BL14" s="92">
        <v>876.3</v>
      </c>
      <c r="BM14" s="135">
        <v>44807</v>
      </c>
      <c r="BN14" s="92">
        <v>876.3</v>
      </c>
      <c r="BO14" s="95" t="s">
        <v>562</v>
      </c>
      <c r="BP14" s="290">
        <v>51</v>
      </c>
      <c r="BQ14" s="496">
        <f t="shared" si="12"/>
        <v>44691.299999999996</v>
      </c>
      <c r="BR14" s="405"/>
      <c r="BT14" s="106"/>
      <c r="BU14" s="15">
        <v>7</v>
      </c>
      <c r="BV14" s="92">
        <v>906.3</v>
      </c>
      <c r="BW14" s="246">
        <v>44809</v>
      </c>
      <c r="BX14" s="92">
        <v>906.3</v>
      </c>
      <c r="BY14" s="370" t="s">
        <v>569</v>
      </c>
      <c r="BZ14" s="71">
        <v>51</v>
      </c>
      <c r="CA14" s="405">
        <f t="shared" si="13"/>
        <v>46221.299999999996</v>
      </c>
      <c r="CD14" s="214"/>
      <c r="CE14" s="15">
        <v>7</v>
      </c>
      <c r="CF14" s="92">
        <v>922.6</v>
      </c>
      <c r="CG14" s="291">
        <v>44813</v>
      </c>
      <c r="CH14" s="92">
        <v>922.6</v>
      </c>
      <c r="CI14" s="293" t="s">
        <v>591</v>
      </c>
      <c r="CJ14" s="292">
        <v>53</v>
      </c>
      <c r="CK14" s="405">
        <f t="shared" si="14"/>
        <v>48897.8</v>
      </c>
      <c r="CN14" s="94"/>
      <c r="CO14" s="15">
        <v>7</v>
      </c>
      <c r="CP14" s="92">
        <v>927.1</v>
      </c>
      <c r="CQ14" s="291">
        <v>44811</v>
      </c>
      <c r="CR14" s="92">
        <v>927.1</v>
      </c>
      <c r="CS14" s="293" t="s">
        <v>554</v>
      </c>
      <c r="CT14" s="292">
        <v>51</v>
      </c>
      <c r="CU14" s="410">
        <f t="shared" si="48"/>
        <v>47282.1</v>
      </c>
      <c r="CX14" s="106"/>
      <c r="CY14" s="15">
        <v>7</v>
      </c>
      <c r="CZ14" s="92">
        <v>905.4</v>
      </c>
      <c r="DA14" s="246">
        <v>44812</v>
      </c>
      <c r="DB14" s="92">
        <v>905.4</v>
      </c>
      <c r="DC14" s="95" t="s">
        <v>582</v>
      </c>
      <c r="DD14" s="71">
        <v>53</v>
      </c>
      <c r="DE14" s="405">
        <f t="shared" si="15"/>
        <v>47986.2</v>
      </c>
      <c r="DH14" s="106"/>
      <c r="DI14" s="15">
        <v>7</v>
      </c>
      <c r="DJ14" s="92">
        <v>930.3</v>
      </c>
      <c r="DK14" s="291">
        <v>44816</v>
      </c>
      <c r="DL14" s="918">
        <v>930.3</v>
      </c>
      <c r="DM14" s="919" t="s">
        <v>615</v>
      </c>
      <c r="DN14" s="292">
        <v>54</v>
      </c>
      <c r="DO14" s="410">
        <f t="shared" si="16"/>
        <v>50236.2</v>
      </c>
      <c r="DR14" s="106"/>
      <c r="DS14" s="15">
        <v>7</v>
      </c>
      <c r="DT14" s="92">
        <v>870</v>
      </c>
      <c r="DU14" s="291">
        <v>44814</v>
      </c>
      <c r="DV14" s="92">
        <v>870</v>
      </c>
      <c r="DW14" s="293" t="s">
        <v>592</v>
      </c>
      <c r="DX14" s="292">
        <v>53</v>
      </c>
      <c r="DY14" s="405">
        <f t="shared" si="17"/>
        <v>46110</v>
      </c>
      <c r="EB14" s="106"/>
      <c r="EC14" s="15">
        <v>7</v>
      </c>
      <c r="ED14" s="69">
        <v>874.52</v>
      </c>
      <c r="EE14" s="254">
        <v>44814</v>
      </c>
      <c r="EF14" s="69">
        <v>874.52</v>
      </c>
      <c r="EG14" s="70" t="s">
        <v>604</v>
      </c>
      <c r="EH14" s="71">
        <v>53</v>
      </c>
      <c r="EI14" s="405">
        <f t="shared" si="18"/>
        <v>46349.56</v>
      </c>
      <c r="EL14" s="106"/>
      <c r="EM14" s="15">
        <v>7</v>
      </c>
      <c r="EN14" s="69">
        <v>904.5</v>
      </c>
      <c r="EO14" s="254">
        <v>44817</v>
      </c>
      <c r="EP14" s="69">
        <v>904.5</v>
      </c>
      <c r="EQ14" s="70" t="s">
        <v>621</v>
      </c>
      <c r="ER14" s="71">
        <v>55</v>
      </c>
      <c r="ES14" s="405">
        <f t="shared" si="19"/>
        <v>49747.5</v>
      </c>
      <c r="EV14" s="333"/>
      <c r="EW14" s="15">
        <v>7</v>
      </c>
      <c r="EX14" s="92">
        <v>879.1</v>
      </c>
      <c r="EY14" s="246">
        <v>44817</v>
      </c>
      <c r="EZ14" s="92">
        <v>879.1</v>
      </c>
      <c r="FA14" s="70" t="s">
        <v>628</v>
      </c>
      <c r="FB14" s="71">
        <v>55</v>
      </c>
      <c r="FC14" s="405">
        <f t="shared" si="20"/>
        <v>48350.5</v>
      </c>
      <c r="FF14" s="333"/>
      <c r="FG14" s="15">
        <v>7</v>
      </c>
      <c r="FH14" s="92">
        <v>942.56</v>
      </c>
      <c r="FI14" s="246">
        <v>44817</v>
      </c>
      <c r="FJ14" s="92">
        <v>942.56</v>
      </c>
      <c r="FK14" s="70" t="s">
        <v>626</v>
      </c>
      <c r="FL14" s="71">
        <v>55</v>
      </c>
      <c r="FM14" s="245">
        <f t="shared" si="21"/>
        <v>51840.799999999996</v>
      </c>
      <c r="FP14" s="106"/>
      <c r="FQ14" s="15">
        <v>7</v>
      </c>
      <c r="FR14" s="92">
        <v>942.56</v>
      </c>
      <c r="FS14" s="246">
        <v>44819</v>
      </c>
      <c r="FT14" s="92">
        <v>942.56</v>
      </c>
      <c r="FU14" s="70" t="s">
        <v>649</v>
      </c>
      <c r="FV14" s="71">
        <v>57</v>
      </c>
      <c r="FW14" s="405">
        <f t="shared" si="22"/>
        <v>53725.919999999998</v>
      </c>
      <c r="FZ14" s="106"/>
      <c r="GA14" s="15">
        <v>7</v>
      </c>
      <c r="GB14" s="69">
        <v>869.1</v>
      </c>
      <c r="GC14" s="254">
        <v>44821</v>
      </c>
      <c r="GD14" s="69">
        <v>869.1</v>
      </c>
      <c r="GE14" s="70" t="s">
        <v>670</v>
      </c>
      <c r="GF14" s="71">
        <v>57</v>
      </c>
      <c r="GG14" s="245">
        <f t="shared" si="23"/>
        <v>49538.700000000004</v>
      </c>
      <c r="GJ14" s="106"/>
      <c r="GK14" s="15">
        <v>7</v>
      </c>
      <c r="GL14" s="359">
        <v>929</v>
      </c>
      <c r="GM14" s="246">
        <v>44820</v>
      </c>
      <c r="GN14" s="359">
        <v>929</v>
      </c>
      <c r="GO14" s="95" t="s">
        <v>659</v>
      </c>
      <c r="GP14" s="71">
        <v>57</v>
      </c>
      <c r="GQ14" s="405">
        <f t="shared" si="24"/>
        <v>52953</v>
      </c>
      <c r="GT14" s="106"/>
      <c r="GU14" s="15">
        <v>7</v>
      </c>
      <c r="GV14" s="92">
        <v>910.8</v>
      </c>
      <c r="GW14" s="246">
        <v>44824</v>
      </c>
      <c r="GX14" s="92">
        <v>910.8</v>
      </c>
      <c r="GY14" s="95" t="s">
        <v>680</v>
      </c>
      <c r="GZ14" s="71">
        <v>57</v>
      </c>
      <c r="HA14" s="405">
        <f t="shared" si="25"/>
        <v>51915.6</v>
      </c>
      <c r="HD14" s="106"/>
      <c r="HE14" s="15">
        <v>7</v>
      </c>
      <c r="HF14" s="92">
        <v>870.9</v>
      </c>
      <c r="HG14" s="246">
        <v>44824</v>
      </c>
      <c r="HH14" s="92">
        <v>870.9</v>
      </c>
      <c r="HI14" s="95" t="s">
        <v>690</v>
      </c>
      <c r="HJ14" s="71">
        <v>57</v>
      </c>
      <c r="HK14" s="405">
        <f t="shared" si="26"/>
        <v>49641.299999999996</v>
      </c>
      <c r="HN14" s="106"/>
      <c r="HO14" s="15">
        <v>7</v>
      </c>
      <c r="HP14" s="92">
        <v>908.09</v>
      </c>
      <c r="HQ14" s="246">
        <v>44824</v>
      </c>
      <c r="HR14" s="92">
        <v>908.09</v>
      </c>
      <c r="HS14" s="294" t="s">
        <v>691</v>
      </c>
      <c r="HT14" s="71">
        <v>57</v>
      </c>
      <c r="HU14" s="405">
        <f t="shared" si="27"/>
        <v>51761.130000000005</v>
      </c>
      <c r="HX14" s="106"/>
      <c r="HY14" s="15">
        <v>7</v>
      </c>
      <c r="HZ14" s="69">
        <v>903.1</v>
      </c>
      <c r="IA14" s="254">
        <v>44825</v>
      </c>
      <c r="IB14" s="69">
        <v>903.1</v>
      </c>
      <c r="IC14" s="70" t="s">
        <v>697</v>
      </c>
      <c r="ID14" s="71">
        <v>57</v>
      </c>
      <c r="IE14" s="405">
        <f t="shared" si="5"/>
        <v>51476.700000000004</v>
      </c>
      <c r="IH14" s="106"/>
      <c r="II14" s="15">
        <v>7</v>
      </c>
      <c r="IJ14" s="69">
        <v>893.6</v>
      </c>
      <c r="IK14" s="254">
        <v>44826</v>
      </c>
      <c r="IL14" s="69">
        <v>893.6</v>
      </c>
      <c r="IM14" s="70" t="s">
        <v>702</v>
      </c>
      <c r="IN14" s="71">
        <v>57</v>
      </c>
      <c r="IO14" s="405">
        <f t="shared" si="28"/>
        <v>50935.200000000004</v>
      </c>
      <c r="IQ14" s="500"/>
      <c r="IR14" s="106"/>
      <c r="IS14" s="15">
        <v>7</v>
      </c>
      <c r="IT14" s="92">
        <v>902.6</v>
      </c>
      <c r="IU14" s="135">
        <v>44828</v>
      </c>
      <c r="IV14" s="92">
        <v>902.6</v>
      </c>
      <c r="IW14" s="370" t="s">
        <v>717</v>
      </c>
      <c r="IX14" s="71">
        <v>57</v>
      </c>
      <c r="IY14" s="245">
        <f t="shared" si="29"/>
        <v>51448.200000000004</v>
      </c>
      <c r="IZ14" s="92"/>
      <c r="JA14" s="69"/>
      <c r="JB14" s="106"/>
      <c r="JC14" s="15">
        <v>7</v>
      </c>
      <c r="JD14" s="92">
        <v>897.7</v>
      </c>
      <c r="JE14" s="254">
        <v>44827</v>
      </c>
      <c r="JF14" s="92">
        <v>897.7</v>
      </c>
      <c r="JG14" s="70" t="s">
        <v>710</v>
      </c>
      <c r="JH14" s="71">
        <v>57</v>
      </c>
      <c r="JI14" s="405">
        <f t="shared" si="30"/>
        <v>51168.9</v>
      </c>
      <c r="JJ14" s="69"/>
      <c r="JL14" s="106"/>
      <c r="JM14" s="15">
        <v>7</v>
      </c>
      <c r="JN14" s="92">
        <v>973.4</v>
      </c>
      <c r="JO14" s="246">
        <v>44831</v>
      </c>
      <c r="JP14" s="92">
        <v>973.4</v>
      </c>
      <c r="JQ14" s="70" t="s">
        <v>728</v>
      </c>
      <c r="JR14" s="71">
        <v>57</v>
      </c>
      <c r="JS14" s="405">
        <f t="shared" si="31"/>
        <v>55483.799999999996</v>
      </c>
      <c r="JV14" s="106"/>
      <c r="JW14" s="15">
        <v>7</v>
      </c>
      <c r="JX14" s="69">
        <v>933.5</v>
      </c>
      <c r="JY14" s="254">
        <v>44832</v>
      </c>
      <c r="JZ14" s="69">
        <v>933.5</v>
      </c>
      <c r="KA14" s="70" t="s">
        <v>731</v>
      </c>
      <c r="KB14" s="71">
        <v>57</v>
      </c>
      <c r="KC14" s="405">
        <f t="shared" si="32"/>
        <v>53209.5</v>
      </c>
      <c r="KF14" s="106"/>
      <c r="KG14" s="15">
        <v>7</v>
      </c>
      <c r="KH14" s="69">
        <v>939.8</v>
      </c>
      <c r="KI14" s="254">
        <v>44833</v>
      </c>
      <c r="KJ14" s="69">
        <v>939.8</v>
      </c>
      <c r="KK14" s="70" t="s">
        <v>734</v>
      </c>
      <c r="KL14" s="71">
        <v>57</v>
      </c>
      <c r="KM14" s="405">
        <f t="shared" si="33"/>
        <v>53568.6</v>
      </c>
      <c r="KP14" s="106"/>
      <c r="KQ14" s="15">
        <v>7</v>
      </c>
      <c r="KR14" s="69">
        <v>885.4</v>
      </c>
      <c r="KS14" s="254">
        <v>44834</v>
      </c>
      <c r="KT14" s="934">
        <v>885.4</v>
      </c>
      <c r="KU14" s="932" t="s">
        <v>742</v>
      </c>
      <c r="KV14" s="933">
        <v>57</v>
      </c>
      <c r="KW14" s="405">
        <f t="shared" si="34"/>
        <v>50467.799999999996</v>
      </c>
      <c r="KZ14" s="106"/>
      <c r="LA14" s="15">
        <v>7</v>
      </c>
      <c r="LB14" s="92">
        <v>920.33</v>
      </c>
      <c r="LC14" s="246">
        <v>44834</v>
      </c>
      <c r="LD14" s="92">
        <v>920.33</v>
      </c>
      <c r="LE14" s="95" t="s">
        <v>747</v>
      </c>
      <c r="LF14" s="71">
        <v>57</v>
      </c>
      <c r="LG14" s="405">
        <f t="shared" si="35"/>
        <v>52458.810000000005</v>
      </c>
      <c r="LJ14" s="106"/>
      <c r="LK14" s="15">
        <v>7</v>
      </c>
      <c r="LL14" s="92">
        <v>908.1</v>
      </c>
      <c r="LM14" s="246">
        <v>44834</v>
      </c>
      <c r="LN14" s="92">
        <v>908.1</v>
      </c>
      <c r="LO14" s="95" t="s">
        <v>739</v>
      </c>
      <c r="LP14" s="71">
        <v>57</v>
      </c>
      <c r="LQ14" s="405">
        <f t="shared" si="36"/>
        <v>51761.700000000004</v>
      </c>
      <c r="LT14" s="106"/>
      <c r="LU14" s="15">
        <v>7</v>
      </c>
      <c r="LV14" s="92">
        <v>886.3</v>
      </c>
      <c r="LW14" s="246">
        <v>44835</v>
      </c>
      <c r="LX14" s="92">
        <v>886.3</v>
      </c>
      <c r="LY14" s="95" t="s">
        <v>752</v>
      </c>
      <c r="LZ14" s="71">
        <v>57</v>
      </c>
      <c r="MA14" s="405">
        <f t="shared" si="37"/>
        <v>50519.1</v>
      </c>
      <c r="MB14" s="405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87073245</v>
      </c>
      <c r="E15" s="135">
        <f t="shared" si="53"/>
        <v>44814</v>
      </c>
      <c r="F15" s="86">
        <f t="shared" si="53"/>
        <v>18891.63</v>
      </c>
      <c r="G15" s="73">
        <f t="shared" si="53"/>
        <v>21</v>
      </c>
      <c r="H15" s="48">
        <f t="shared" si="53"/>
        <v>18933.8</v>
      </c>
      <c r="I15" s="105">
        <f t="shared" si="53"/>
        <v>-42.169999999998254</v>
      </c>
      <c r="L15" s="106"/>
      <c r="M15" s="15">
        <v>8</v>
      </c>
      <c r="N15" s="69">
        <v>925.3</v>
      </c>
      <c r="O15" s="254">
        <v>44803</v>
      </c>
      <c r="P15" s="69">
        <v>925.3</v>
      </c>
      <c r="Q15" s="70" t="s">
        <v>507</v>
      </c>
      <c r="R15" s="71">
        <v>53</v>
      </c>
      <c r="S15" s="405">
        <f t="shared" si="7"/>
        <v>49040.899999999994</v>
      </c>
      <c r="V15" s="106"/>
      <c r="W15" s="15">
        <v>8</v>
      </c>
      <c r="X15" s="69">
        <v>918.1</v>
      </c>
      <c r="Y15" s="254">
        <v>44806</v>
      </c>
      <c r="Z15" s="69">
        <v>918.1</v>
      </c>
      <c r="AA15" s="70" t="s">
        <v>551</v>
      </c>
      <c r="AB15" s="71">
        <v>51</v>
      </c>
      <c r="AC15" s="405">
        <f t="shared" si="8"/>
        <v>46823.1</v>
      </c>
      <c r="AF15" s="106"/>
      <c r="AG15" s="15">
        <v>8</v>
      </c>
      <c r="AH15" s="92">
        <v>911.3</v>
      </c>
      <c r="AI15" s="246">
        <v>44805</v>
      </c>
      <c r="AJ15" s="92">
        <v>911.3</v>
      </c>
      <c r="AK15" s="95" t="s">
        <v>533</v>
      </c>
      <c r="AL15" s="71">
        <v>49</v>
      </c>
      <c r="AM15" s="405">
        <f t="shared" si="9"/>
        <v>44653.7</v>
      </c>
      <c r="AP15" s="106"/>
      <c r="AQ15" s="15">
        <v>8</v>
      </c>
      <c r="AR15" s="92">
        <v>929.86</v>
      </c>
      <c r="AS15" s="246">
        <v>44803</v>
      </c>
      <c r="AT15" s="92">
        <v>929.86</v>
      </c>
      <c r="AU15" s="95" t="s">
        <v>515</v>
      </c>
      <c r="AV15" s="71">
        <v>53</v>
      </c>
      <c r="AW15" s="405">
        <f t="shared" si="10"/>
        <v>49282.58</v>
      </c>
      <c r="AZ15" s="106"/>
      <c r="BA15" s="15">
        <v>8</v>
      </c>
      <c r="BB15" s="92">
        <v>911.72</v>
      </c>
      <c r="BC15" s="246">
        <v>44805</v>
      </c>
      <c r="BD15" s="92">
        <v>911.72</v>
      </c>
      <c r="BE15" s="95" t="s">
        <v>532</v>
      </c>
      <c r="BF15" s="71">
        <v>49</v>
      </c>
      <c r="BG15" s="405">
        <f t="shared" si="11"/>
        <v>44674.28</v>
      </c>
      <c r="BJ15" s="754"/>
      <c r="BK15" s="15">
        <v>8</v>
      </c>
      <c r="BL15" s="92">
        <v>907.2</v>
      </c>
      <c r="BM15" s="135">
        <v>44807</v>
      </c>
      <c r="BN15" s="92">
        <v>907.2</v>
      </c>
      <c r="BO15" s="95" t="s">
        <v>562</v>
      </c>
      <c r="BP15" s="290">
        <v>51</v>
      </c>
      <c r="BQ15" s="496">
        <f t="shared" si="12"/>
        <v>46267.200000000004</v>
      </c>
      <c r="BR15" s="405"/>
      <c r="BT15" s="106"/>
      <c r="BU15" s="15">
        <v>8</v>
      </c>
      <c r="BV15" s="92">
        <v>925.3</v>
      </c>
      <c r="BW15" s="291">
        <v>44809</v>
      </c>
      <c r="BX15" s="92">
        <v>925.3</v>
      </c>
      <c r="BY15" s="621" t="s">
        <v>540</v>
      </c>
      <c r="BZ15" s="292">
        <v>51</v>
      </c>
      <c r="CA15" s="405">
        <f t="shared" si="13"/>
        <v>47190.299999999996</v>
      </c>
      <c r="CD15" s="214"/>
      <c r="CE15" s="15">
        <v>8</v>
      </c>
      <c r="CF15" s="92">
        <v>916.3</v>
      </c>
      <c r="CG15" s="291">
        <v>44813</v>
      </c>
      <c r="CH15" s="92">
        <v>916.3</v>
      </c>
      <c r="CI15" s="293" t="s">
        <v>585</v>
      </c>
      <c r="CJ15" s="292">
        <v>53</v>
      </c>
      <c r="CK15" s="405">
        <f t="shared" si="14"/>
        <v>48563.899999999994</v>
      </c>
      <c r="CN15" s="94"/>
      <c r="CO15" s="15">
        <v>8</v>
      </c>
      <c r="CP15" s="92">
        <v>900.8</v>
      </c>
      <c r="CQ15" s="291">
        <v>44811</v>
      </c>
      <c r="CR15" s="92">
        <v>900.8</v>
      </c>
      <c r="CS15" s="293" t="s">
        <v>554</v>
      </c>
      <c r="CT15" s="292">
        <v>51</v>
      </c>
      <c r="CU15" s="410">
        <f t="shared" si="48"/>
        <v>45940.799999999996</v>
      </c>
      <c r="CX15" s="106"/>
      <c r="CY15" s="15">
        <v>8</v>
      </c>
      <c r="CZ15" s="92">
        <v>923.5</v>
      </c>
      <c r="DA15" s="246">
        <v>44812</v>
      </c>
      <c r="DB15" s="92">
        <v>923.5</v>
      </c>
      <c r="DC15" s="95" t="s">
        <v>582</v>
      </c>
      <c r="DD15" s="71">
        <v>53</v>
      </c>
      <c r="DE15" s="405">
        <f t="shared" si="15"/>
        <v>48945.5</v>
      </c>
      <c r="DH15" s="106"/>
      <c r="DI15" s="15">
        <v>8</v>
      </c>
      <c r="DJ15" s="92">
        <v>906.7</v>
      </c>
      <c r="DK15" s="291">
        <v>44816</v>
      </c>
      <c r="DL15" s="918">
        <v>906.7</v>
      </c>
      <c r="DM15" s="919" t="s">
        <v>611</v>
      </c>
      <c r="DN15" s="292">
        <v>54</v>
      </c>
      <c r="DO15" s="410">
        <f t="shared" si="16"/>
        <v>48961.8</v>
      </c>
      <c r="DR15" s="106"/>
      <c r="DS15" s="15">
        <v>8</v>
      </c>
      <c r="DT15" s="92">
        <v>891.3</v>
      </c>
      <c r="DU15" s="291">
        <v>44814</v>
      </c>
      <c r="DV15" s="92">
        <v>891.3</v>
      </c>
      <c r="DW15" s="293" t="s">
        <v>592</v>
      </c>
      <c r="DX15" s="292">
        <v>53</v>
      </c>
      <c r="DY15" s="405">
        <f t="shared" si="17"/>
        <v>47238.899999999994</v>
      </c>
      <c r="EB15" s="106"/>
      <c r="EC15" s="15">
        <v>8</v>
      </c>
      <c r="ED15" s="69">
        <v>933.03</v>
      </c>
      <c r="EE15" s="254">
        <v>44814</v>
      </c>
      <c r="EF15" s="69">
        <v>933.03</v>
      </c>
      <c r="EG15" s="70" t="s">
        <v>604</v>
      </c>
      <c r="EH15" s="71">
        <v>54</v>
      </c>
      <c r="EI15" s="405">
        <f t="shared" si="18"/>
        <v>50383.619999999995</v>
      </c>
      <c r="EL15" s="106"/>
      <c r="EM15" s="15">
        <v>8</v>
      </c>
      <c r="EN15" s="69">
        <v>868.2</v>
      </c>
      <c r="EO15" s="254">
        <v>44817</v>
      </c>
      <c r="EP15" s="69">
        <v>868.2</v>
      </c>
      <c r="EQ15" s="70" t="s">
        <v>621</v>
      </c>
      <c r="ER15" s="71">
        <v>55</v>
      </c>
      <c r="ES15" s="405">
        <f t="shared" si="19"/>
        <v>47751</v>
      </c>
      <c r="EV15" s="333"/>
      <c r="EW15" s="15">
        <v>8</v>
      </c>
      <c r="EX15" s="92">
        <v>929.9</v>
      </c>
      <c r="EY15" s="246">
        <v>44817</v>
      </c>
      <c r="EZ15" s="92">
        <v>929.9</v>
      </c>
      <c r="FA15" s="70" t="s">
        <v>628</v>
      </c>
      <c r="FB15" s="71">
        <v>55</v>
      </c>
      <c r="FC15" s="405">
        <f t="shared" si="20"/>
        <v>51144.5</v>
      </c>
      <c r="FF15" s="333"/>
      <c r="FG15" s="15">
        <v>8</v>
      </c>
      <c r="FH15" s="92">
        <v>931.22</v>
      </c>
      <c r="FI15" s="246">
        <v>44817</v>
      </c>
      <c r="FJ15" s="92">
        <v>931.22</v>
      </c>
      <c r="FK15" s="70" t="s">
        <v>626</v>
      </c>
      <c r="FL15" s="71">
        <v>55</v>
      </c>
      <c r="FM15" s="245">
        <f t="shared" si="21"/>
        <v>51217.1</v>
      </c>
      <c r="FP15" s="106"/>
      <c r="FQ15" s="15">
        <v>8</v>
      </c>
      <c r="FR15" s="92">
        <v>918.97</v>
      </c>
      <c r="FS15" s="246">
        <v>44819</v>
      </c>
      <c r="FT15" s="92">
        <v>918.97</v>
      </c>
      <c r="FU15" s="70" t="s">
        <v>649</v>
      </c>
      <c r="FV15" s="71">
        <v>57</v>
      </c>
      <c r="FW15" s="405">
        <f t="shared" si="22"/>
        <v>52381.29</v>
      </c>
      <c r="FZ15" s="106"/>
      <c r="GA15" s="15">
        <v>8</v>
      </c>
      <c r="GB15" s="69">
        <v>912.6</v>
      </c>
      <c r="GC15" s="254">
        <v>44821</v>
      </c>
      <c r="GD15" s="69">
        <v>912.6</v>
      </c>
      <c r="GE15" s="70" t="s">
        <v>668</v>
      </c>
      <c r="GF15" s="71">
        <v>57</v>
      </c>
      <c r="GG15" s="245">
        <f t="shared" si="23"/>
        <v>52018.200000000004</v>
      </c>
      <c r="GJ15" s="106"/>
      <c r="GK15" s="15">
        <v>8</v>
      </c>
      <c r="GL15" s="359">
        <v>876.3</v>
      </c>
      <c r="GM15" s="246">
        <v>44820</v>
      </c>
      <c r="GN15" s="359">
        <v>876.3</v>
      </c>
      <c r="GO15" s="95" t="s">
        <v>659</v>
      </c>
      <c r="GP15" s="71">
        <v>57</v>
      </c>
      <c r="GQ15" s="405">
        <f t="shared" si="24"/>
        <v>49949.1</v>
      </c>
      <c r="GT15" s="106"/>
      <c r="GU15" s="15">
        <v>8</v>
      </c>
      <c r="GV15" s="92">
        <v>918.1</v>
      </c>
      <c r="GW15" s="246">
        <v>44824</v>
      </c>
      <c r="GX15" s="92">
        <v>918.1</v>
      </c>
      <c r="GY15" s="95" t="s">
        <v>680</v>
      </c>
      <c r="GZ15" s="71">
        <v>57</v>
      </c>
      <c r="HA15" s="405">
        <f t="shared" si="25"/>
        <v>52331.700000000004</v>
      </c>
      <c r="HD15" s="106"/>
      <c r="HE15" s="15">
        <v>8</v>
      </c>
      <c r="HF15" s="92">
        <v>880</v>
      </c>
      <c r="HG15" s="246">
        <v>44824</v>
      </c>
      <c r="HH15" s="92">
        <v>880</v>
      </c>
      <c r="HI15" s="95" t="s">
        <v>690</v>
      </c>
      <c r="HJ15" s="71">
        <v>57</v>
      </c>
      <c r="HK15" s="405">
        <f t="shared" si="26"/>
        <v>50160</v>
      </c>
      <c r="HN15" s="106"/>
      <c r="HO15" s="15">
        <v>8</v>
      </c>
      <c r="HP15" s="92">
        <v>910.35</v>
      </c>
      <c r="HQ15" s="246">
        <v>44824</v>
      </c>
      <c r="HR15" s="92">
        <v>910.35</v>
      </c>
      <c r="HS15" s="294" t="s">
        <v>691</v>
      </c>
      <c r="HT15" s="71">
        <v>57</v>
      </c>
      <c r="HU15" s="405">
        <f t="shared" si="27"/>
        <v>51889.950000000004</v>
      </c>
      <c r="HX15" s="94"/>
      <c r="HY15" s="15">
        <v>8</v>
      </c>
      <c r="HZ15" s="69">
        <v>899.47</v>
      </c>
      <c r="IA15" s="254">
        <v>44825</v>
      </c>
      <c r="IB15" s="69">
        <v>899.47</v>
      </c>
      <c r="IC15" s="70" t="s">
        <v>697</v>
      </c>
      <c r="ID15" s="71">
        <v>57</v>
      </c>
      <c r="IE15" s="405">
        <f t="shared" si="5"/>
        <v>51269.79</v>
      </c>
      <c r="IH15" s="94"/>
      <c r="II15" s="15">
        <v>8</v>
      </c>
      <c r="IJ15" s="69">
        <v>899</v>
      </c>
      <c r="IK15" s="254">
        <v>44826</v>
      </c>
      <c r="IL15" s="69">
        <v>899</v>
      </c>
      <c r="IM15" s="70" t="s">
        <v>702</v>
      </c>
      <c r="IN15" s="71">
        <v>57</v>
      </c>
      <c r="IO15" s="405">
        <f t="shared" si="28"/>
        <v>51243</v>
      </c>
      <c r="IR15" s="106"/>
      <c r="IS15" s="15">
        <v>8</v>
      </c>
      <c r="IT15" s="92">
        <v>880</v>
      </c>
      <c r="IU15" s="135">
        <v>44828</v>
      </c>
      <c r="IV15" s="92">
        <v>880</v>
      </c>
      <c r="IW15" s="370" t="s">
        <v>716</v>
      </c>
      <c r="IX15" s="71">
        <v>57</v>
      </c>
      <c r="IY15" s="245">
        <f t="shared" si="29"/>
        <v>50160</v>
      </c>
      <c r="IZ15" s="92"/>
      <c r="JA15" s="69"/>
      <c r="JB15" s="106"/>
      <c r="JC15" s="15">
        <v>8</v>
      </c>
      <c r="JD15" s="92">
        <v>922.1</v>
      </c>
      <c r="JE15" s="254">
        <v>44827</v>
      </c>
      <c r="JF15" s="92">
        <v>922.1</v>
      </c>
      <c r="JG15" s="70" t="s">
        <v>710</v>
      </c>
      <c r="JH15" s="71">
        <v>57</v>
      </c>
      <c r="JI15" s="405">
        <f t="shared" si="30"/>
        <v>52559.700000000004</v>
      </c>
      <c r="JJ15" s="69"/>
      <c r="JL15" s="106"/>
      <c r="JM15" s="15">
        <v>8</v>
      </c>
      <c r="JN15" s="92">
        <v>940.75</v>
      </c>
      <c r="JO15" s="246">
        <v>44831</v>
      </c>
      <c r="JP15" s="92">
        <v>940.75</v>
      </c>
      <c r="JQ15" s="70" t="s">
        <v>728</v>
      </c>
      <c r="JR15" s="71">
        <v>57</v>
      </c>
      <c r="JS15" s="405">
        <f t="shared" si="31"/>
        <v>53622.75</v>
      </c>
      <c r="JV15" s="106"/>
      <c r="JW15" s="15">
        <v>8</v>
      </c>
      <c r="JX15" s="69">
        <v>889</v>
      </c>
      <c r="JY15" s="254">
        <v>44832</v>
      </c>
      <c r="JZ15" s="69">
        <v>889</v>
      </c>
      <c r="KA15" s="70" t="s">
        <v>731</v>
      </c>
      <c r="KB15" s="71">
        <v>57</v>
      </c>
      <c r="KC15" s="405">
        <f t="shared" si="32"/>
        <v>50673</v>
      </c>
      <c r="KF15" s="106"/>
      <c r="KG15" s="15">
        <v>8</v>
      </c>
      <c r="KH15" s="69">
        <v>884.5</v>
      </c>
      <c r="KI15" s="254">
        <v>44833</v>
      </c>
      <c r="KJ15" s="69">
        <v>884.5</v>
      </c>
      <c r="KK15" s="70" t="s">
        <v>734</v>
      </c>
      <c r="KL15" s="71">
        <v>57</v>
      </c>
      <c r="KM15" s="405">
        <f t="shared" si="33"/>
        <v>50416.5</v>
      </c>
      <c r="KP15" s="106"/>
      <c r="KQ15" s="15">
        <v>8</v>
      </c>
      <c r="KR15" s="69">
        <v>924.4</v>
      </c>
      <c r="KS15" s="254">
        <v>44834</v>
      </c>
      <c r="KT15" s="934">
        <v>924.4</v>
      </c>
      <c r="KU15" s="932" t="s">
        <v>742</v>
      </c>
      <c r="KV15" s="933">
        <v>57</v>
      </c>
      <c r="KW15" s="405">
        <f t="shared" si="34"/>
        <v>52690.799999999996</v>
      </c>
      <c r="KZ15" s="106"/>
      <c r="LA15" s="15">
        <v>8</v>
      </c>
      <c r="LB15" s="92">
        <v>948.46</v>
      </c>
      <c r="LC15" s="246">
        <v>44834</v>
      </c>
      <c r="LD15" s="92">
        <v>948.46</v>
      </c>
      <c r="LE15" s="95" t="s">
        <v>746</v>
      </c>
      <c r="LF15" s="71">
        <v>57</v>
      </c>
      <c r="LG15" s="405">
        <f t="shared" si="35"/>
        <v>54062.22</v>
      </c>
      <c r="LJ15" s="106"/>
      <c r="LK15" s="15">
        <v>8</v>
      </c>
      <c r="LL15" s="92">
        <v>864.5</v>
      </c>
      <c r="LM15" s="246">
        <v>44834</v>
      </c>
      <c r="LN15" s="92">
        <v>864.5</v>
      </c>
      <c r="LO15" s="95" t="s">
        <v>739</v>
      </c>
      <c r="LP15" s="71">
        <v>57</v>
      </c>
      <c r="LQ15" s="405">
        <f t="shared" si="36"/>
        <v>49276.5</v>
      </c>
      <c r="LT15" s="106"/>
      <c r="LU15" s="15">
        <v>8</v>
      </c>
      <c r="LV15" s="92">
        <v>880.9</v>
      </c>
      <c r="LW15" s="246">
        <v>44835</v>
      </c>
      <c r="LX15" s="92">
        <v>880.9</v>
      </c>
      <c r="LY15" s="95" t="s">
        <v>753</v>
      </c>
      <c r="LZ15" s="71">
        <v>57</v>
      </c>
      <c r="MA15" s="405">
        <f t="shared" si="37"/>
        <v>50211.299999999996</v>
      </c>
      <c r="MB15" s="405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87074015</v>
      </c>
      <c r="E16" s="135">
        <f t="shared" si="54"/>
        <v>44814</v>
      </c>
      <c r="F16" s="86">
        <f t="shared" si="54"/>
        <v>18155.939999999999</v>
      </c>
      <c r="G16" s="73">
        <f t="shared" si="54"/>
        <v>20</v>
      </c>
      <c r="H16" s="48">
        <f t="shared" si="54"/>
        <v>18314.13</v>
      </c>
      <c r="I16" s="105">
        <f t="shared" si="54"/>
        <v>-158.19000000000233</v>
      </c>
      <c r="L16" s="106"/>
      <c r="M16" s="15">
        <v>9</v>
      </c>
      <c r="N16" s="69">
        <v>899</v>
      </c>
      <c r="O16" s="254">
        <v>44803</v>
      </c>
      <c r="P16" s="69">
        <v>899</v>
      </c>
      <c r="Q16" s="70" t="s">
        <v>506</v>
      </c>
      <c r="R16" s="71">
        <v>53</v>
      </c>
      <c r="S16" s="405">
        <f t="shared" si="7"/>
        <v>47647</v>
      </c>
      <c r="V16" s="106"/>
      <c r="W16" s="15">
        <v>9</v>
      </c>
      <c r="X16" s="69">
        <v>937.1</v>
      </c>
      <c r="Y16" s="254">
        <v>44806</v>
      </c>
      <c r="Z16" s="69">
        <v>937.1</v>
      </c>
      <c r="AA16" s="70" t="s">
        <v>548</v>
      </c>
      <c r="AB16" s="71">
        <v>51</v>
      </c>
      <c r="AC16" s="405">
        <f t="shared" si="8"/>
        <v>47792.1</v>
      </c>
      <c r="AF16" s="106"/>
      <c r="AG16" s="15">
        <v>9</v>
      </c>
      <c r="AH16" s="92">
        <v>923.5</v>
      </c>
      <c r="AI16" s="246">
        <v>44805</v>
      </c>
      <c r="AJ16" s="92">
        <v>923.5</v>
      </c>
      <c r="AK16" s="95" t="s">
        <v>533</v>
      </c>
      <c r="AL16" s="71">
        <v>49</v>
      </c>
      <c r="AM16" s="405">
        <f t="shared" si="9"/>
        <v>45251.5</v>
      </c>
      <c r="AP16" s="106"/>
      <c r="AQ16" s="15">
        <v>9</v>
      </c>
      <c r="AR16" s="92">
        <v>922.15</v>
      </c>
      <c r="AS16" s="246">
        <v>44803</v>
      </c>
      <c r="AT16" s="92">
        <v>922.15</v>
      </c>
      <c r="AU16" s="95" t="s">
        <v>513</v>
      </c>
      <c r="AV16" s="71">
        <v>53</v>
      </c>
      <c r="AW16" s="405">
        <f t="shared" si="10"/>
        <v>48873.95</v>
      </c>
      <c r="AZ16" s="106"/>
      <c r="BA16" s="15">
        <v>9</v>
      </c>
      <c r="BB16" s="92">
        <v>931.22</v>
      </c>
      <c r="BC16" s="246">
        <v>44805</v>
      </c>
      <c r="BD16" s="92">
        <v>931.22</v>
      </c>
      <c r="BE16" s="95" t="s">
        <v>525</v>
      </c>
      <c r="BF16" s="71">
        <v>49</v>
      </c>
      <c r="BG16" s="405">
        <f t="shared" si="11"/>
        <v>45629.78</v>
      </c>
      <c r="BJ16" s="754"/>
      <c r="BK16" s="15">
        <v>9</v>
      </c>
      <c r="BL16" s="92">
        <v>870</v>
      </c>
      <c r="BM16" s="135">
        <v>44807</v>
      </c>
      <c r="BN16" s="92">
        <v>870</v>
      </c>
      <c r="BO16" s="95" t="s">
        <v>558</v>
      </c>
      <c r="BP16" s="290">
        <v>51</v>
      </c>
      <c r="BQ16" s="496">
        <f t="shared" si="12"/>
        <v>44370</v>
      </c>
      <c r="BR16" s="405"/>
      <c r="BT16" s="106"/>
      <c r="BU16" s="15">
        <v>9</v>
      </c>
      <c r="BV16" s="92">
        <v>907.2</v>
      </c>
      <c r="BW16" s="291">
        <v>44809</v>
      </c>
      <c r="BX16" s="92">
        <v>907.2</v>
      </c>
      <c r="BY16" s="621" t="s">
        <v>553</v>
      </c>
      <c r="BZ16" s="292">
        <v>51</v>
      </c>
      <c r="CA16" s="405">
        <f t="shared" si="13"/>
        <v>46267.200000000004</v>
      </c>
      <c r="CD16" s="214"/>
      <c r="CE16" s="15">
        <v>9</v>
      </c>
      <c r="CF16" s="92">
        <v>935.3</v>
      </c>
      <c r="CG16" s="291">
        <v>44813</v>
      </c>
      <c r="CH16" s="92">
        <v>935.3</v>
      </c>
      <c r="CI16" s="293" t="s">
        <v>591</v>
      </c>
      <c r="CJ16" s="292">
        <v>53</v>
      </c>
      <c r="CK16" s="405">
        <f t="shared" si="14"/>
        <v>49570.899999999994</v>
      </c>
      <c r="CN16" s="94"/>
      <c r="CO16" s="15">
        <v>9</v>
      </c>
      <c r="CP16" s="92">
        <v>899.9</v>
      </c>
      <c r="CQ16" s="291">
        <v>44811</v>
      </c>
      <c r="CR16" s="92">
        <v>899.9</v>
      </c>
      <c r="CS16" s="293" t="s">
        <v>554</v>
      </c>
      <c r="CT16" s="292">
        <v>51</v>
      </c>
      <c r="CU16" s="410">
        <f t="shared" si="48"/>
        <v>45894.9</v>
      </c>
      <c r="CX16" s="106"/>
      <c r="CY16" s="15">
        <v>9</v>
      </c>
      <c r="CZ16" s="92">
        <v>879.1</v>
      </c>
      <c r="DA16" s="246">
        <v>44812</v>
      </c>
      <c r="DB16" s="92">
        <v>879.1</v>
      </c>
      <c r="DC16" s="95" t="s">
        <v>582</v>
      </c>
      <c r="DD16" s="71">
        <v>53</v>
      </c>
      <c r="DE16" s="405">
        <f t="shared" si="15"/>
        <v>46592.3</v>
      </c>
      <c r="DH16" s="106"/>
      <c r="DI16" s="15">
        <v>9</v>
      </c>
      <c r="DJ16" s="92">
        <v>933.5</v>
      </c>
      <c r="DK16" s="291">
        <v>44816</v>
      </c>
      <c r="DL16" s="918">
        <v>933.5</v>
      </c>
      <c r="DM16" s="919" t="s">
        <v>606</v>
      </c>
      <c r="DN16" s="292">
        <v>54</v>
      </c>
      <c r="DO16" s="410">
        <f t="shared" si="16"/>
        <v>50409</v>
      </c>
      <c r="DR16" s="106"/>
      <c r="DS16" s="15">
        <v>9</v>
      </c>
      <c r="DT16" s="92">
        <v>885.9</v>
      </c>
      <c r="DU16" s="291">
        <v>44814</v>
      </c>
      <c r="DV16" s="92">
        <v>885.9</v>
      </c>
      <c r="DW16" s="293" t="s">
        <v>592</v>
      </c>
      <c r="DX16" s="292">
        <v>53</v>
      </c>
      <c r="DY16" s="405">
        <f t="shared" si="17"/>
        <v>46952.7</v>
      </c>
      <c r="EB16" s="106"/>
      <c r="EC16" s="15">
        <v>9</v>
      </c>
      <c r="ED16" s="69">
        <v>904.91</v>
      </c>
      <c r="EE16" s="254">
        <v>44814</v>
      </c>
      <c r="EF16" s="69">
        <v>904.91</v>
      </c>
      <c r="EG16" s="70" t="s">
        <v>601</v>
      </c>
      <c r="EH16" s="71">
        <v>53</v>
      </c>
      <c r="EI16" s="405">
        <f t="shared" si="18"/>
        <v>47960.229999999996</v>
      </c>
      <c r="EL16" s="106"/>
      <c r="EM16" s="15">
        <v>9</v>
      </c>
      <c r="EN16" s="69">
        <v>909</v>
      </c>
      <c r="EO16" s="254">
        <v>44817</v>
      </c>
      <c r="EP16" s="69">
        <v>909</v>
      </c>
      <c r="EQ16" s="70" t="s">
        <v>621</v>
      </c>
      <c r="ER16" s="71">
        <v>55</v>
      </c>
      <c r="ES16" s="405">
        <f t="shared" si="19"/>
        <v>49995</v>
      </c>
      <c r="EV16" s="333"/>
      <c r="EW16" s="15">
        <v>9</v>
      </c>
      <c r="EX16" s="92">
        <v>874.5</v>
      </c>
      <c r="EY16" s="246">
        <v>44817</v>
      </c>
      <c r="EZ16" s="92">
        <v>874.5</v>
      </c>
      <c r="FA16" s="70" t="s">
        <v>628</v>
      </c>
      <c r="FB16" s="71">
        <v>55</v>
      </c>
      <c r="FC16" s="405">
        <f t="shared" si="20"/>
        <v>48097.5</v>
      </c>
      <c r="FF16" s="333"/>
      <c r="FG16" s="15">
        <v>9</v>
      </c>
      <c r="FH16" s="92">
        <v>934.4</v>
      </c>
      <c r="FI16" s="246">
        <v>44817</v>
      </c>
      <c r="FJ16" s="92">
        <v>934.4</v>
      </c>
      <c r="FK16" s="70" t="s">
        <v>626</v>
      </c>
      <c r="FL16" s="71">
        <v>55</v>
      </c>
      <c r="FM16" s="245">
        <f t="shared" si="21"/>
        <v>51392</v>
      </c>
      <c r="FP16" s="106"/>
      <c r="FQ16" s="15">
        <v>9</v>
      </c>
      <c r="FR16" s="92">
        <v>924.42</v>
      </c>
      <c r="FS16" s="246">
        <v>44819</v>
      </c>
      <c r="FT16" s="92">
        <v>924.42</v>
      </c>
      <c r="FU16" s="70" t="s">
        <v>649</v>
      </c>
      <c r="FV16" s="71">
        <v>57</v>
      </c>
      <c r="FW16" s="405">
        <f t="shared" si="22"/>
        <v>52691.939999999995</v>
      </c>
      <c r="FZ16" s="106"/>
      <c r="GA16" s="15">
        <v>9</v>
      </c>
      <c r="GB16" s="69">
        <v>870.9</v>
      </c>
      <c r="GC16" s="254">
        <v>44821</v>
      </c>
      <c r="GD16" s="69">
        <v>870.9</v>
      </c>
      <c r="GE16" s="70" t="s">
        <v>664</v>
      </c>
      <c r="GF16" s="71">
        <v>57</v>
      </c>
      <c r="GG16" s="245">
        <f t="shared" si="23"/>
        <v>49641.299999999996</v>
      </c>
      <c r="GJ16" s="106"/>
      <c r="GK16" s="15">
        <v>9</v>
      </c>
      <c r="GL16" s="359">
        <v>929.9</v>
      </c>
      <c r="GM16" s="246">
        <v>44820</v>
      </c>
      <c r="GN16" s="359">
        <v>929.9</v>
      </c>
      <c r="GO16" s="95" t="s">
        <v>659</v>
      </c>
      <c r="GP16" s="71">
        <v>57</v>
      </c>
      <c r="GQ16" s="405">
        <f t="shared" si="24"/>
        <v>53004.299999999996</v>
      </c>
      <c r="GT16" s="106"/>
      <c r="GU16" s="15">
        <v>9</v>
      </c>
      <c r="GV16" s="92">
        <v>939.8</v>
      </c>
      <c r="GW16" s="246">
        <v>44824</v>
      </c>
      <c r="GX16" s="92">
        <v>939.8</v>
      </c>
      <c r="GY16" s="95" t="s">
        <v>680</v>
      </c>
      <c r="GZ16" s="71">
        <v>57</v>
      </c>
      <c r="HA16" s="405">
        <f t="shared" si="25"/>
        <v>53568.6</v>
      </c>
      <c r="HD16" s="106"/>
      <c r="HE16" s="15">
        <v>9</v>
      </c>
      <c r="HF16" s="92">
        <v>870.9</v>
      </c>
      <c r="HG16" s="246">
        <v>44824</v>
      </c>
      <c r="HH16" s="92">
        <v>870.9</v>
      </c>
      <c r="HI16" s="95" t="s">
        <v>690</v>
      </c>
      <c r="HJ16" s="71">
        <v>57</v>
      </c>
      <c r="HK16" s="405">
        <f t="shared" si="26"/>
        <v>49641.299999999996</v>
      </c>
      <c r="HN16" s="106"/>
      <c r="HO16" s="15">
        <v>9</v>
      </c>
      <c r="HP16" s="92">
        <v>930.77</v>
      </c>
      <c r="HQ16" s="246">
        <v>44824</v>
      </c>
      <c r="HR16" s="92">
        <v>930.77</v>
      </c>
      <c r="HS16" s="294" t="s">
        <v>691</v>
      </c>
      <c r="HT16" s="71">
        <v>57</v>
      </c>
      <c r="HU16" s="245">
        <f t="shared" si="27"/>
        <v>53053.89</v>
      </c>
      <c r="HX16" s="94"/>
      <c r="HY16" s="15">
        <v>9</v>
      </c>
      <c r="HZ16" s="69">
        <v>904</v>
      </c>
      <c r="IA16" s="254">
        <v>44825</v>
      </c>
      <c r="IB16" s="69">
        <v>904</v>
      </c>
      <c r="IC16" s="70" t="s">
        <v>697</v>
      </c>
      <c r="ID16" s="71">
        <v>57</v>
      </c>
      <c r="IE16" s="405">
        <f t="shared" si="5"/>
        <v>51528</v>
      </c>
      <c r="IH16" s="94"/>
      <c r="II16" s="15">
        <v>9</v>
      </c>
      <c r="IJ16" s="69">
        <v>899</v>
      </c>
      <c r="IK16" s="254">
        <v>44826</v>
      </c>
      <c r="IL16" s="69">
        <v>899</v>
      </c>
      <c r="IM16" s="70" t="s">
        <v>702</v>
      </c>
      <c r="IN16" s="71">
        <v>57</v>
      </c>
      <c r="IO16" s="405">
        <f t="shared" si="28"/>
        <v>51243</v>
      </c>
      <c r="IR16" s="106"/>
      <c r="IS16" s="15">
        <v>9</v>
      </c>
      <c r="IT16" s="92">
        <v>865.4</v>
      </c>
      <c r="IU16" s="135">
        <v>44828</v>
      </c>
      <c r="IV16" s="92">
        <v>865.4</v>
      </c>
      <c r="IW16" s="370" t="s">
        <v>717</v>
      </c>
      <c r="IX16" s="71">
        <v>57</v>
      </c>
      <c r="IY16" s="245">
        <f t="shared" si="29"/>
        <v>49327.799999999996</v>
      </c>
      <c r="IZ16" s="92"/>
      <c r="JA16" s="69"/>
      <c r="JB16" s="106"/>
      <c r="JC16" s="15">
        <v>9</v>
      </c>
      <c r="JD16" s="92">
        <v>841.4</v>
      </c>
      <c r="JE16" s="254">
        <v>44827</v>
      </c>
      <c r="JF16" s="92">
        <v>841.4</v>
      </c>
      <c r="JG16" s="70" t="s">
        <v>710</v>
      </c>
      <c r="JH16" s="71">
        <v>57</v>
      </c>
      <c r="JI16" s="405">
        <f t="shared" si="30"/>
        <v>47959.799999999996</v>
      </c>
      <c r="JJ16" s="69"/>
      <c r="JL16" s="106"/>
      <c r="JM16" s="15">
        <v>9</v>
      </c>
      <c r="JN16" s="92">
        <v>923.51</v>
      </c>
      <c r="JO16" s="246">
        <v>44831</v>
      </c>
      <c r="JP16" s="92">
        <v>923.51</v>
      </c>
      <c r="JQ16" s="70" t="s">
        <v>728</v>
      </c>
      <c r="JR16" s="71">
        <v>57</v>
      </c>
      <c r="JS16" s="405">
        <f t="shared" si="31"/>
        <v>52640.07</v>
      </c>
      <c r="JV16" s="106"/>
      <c r="JW16" s="15">
        <v>9</v>
      </c>
      <c r="JX16" s="69">
        <v>923.5</v>
      </c>
      <c r="JY16" s="254">
        <v>44832</v>
      </c>
      <c r="JZ16" s="69">
        <v>923.5</v>
      </c>
      <c r="KA16" s="70" t="s">
        <v>731</v>
      </c>
      <c r="KB16" s="71">
        <v>57</v>
      </c>
      <c r="KC16" s="405">
        <f t="shared" si="32"/>
        <v>52639.5</v>
      </c>
      <c r="KF16" s="106"/>
      <c r="KG16" s="15">
        <v>9</v>
      </c>
      <c r="KH16" s="69">
        <v>908.1</v>
      </c>
      <c r="KI16" s="254">
        <v>44833</v>
      </c>
      <c r="KJ16" s="69">
        <v>908.1</v>
      </c>
      <c r="KK16" s="70" t="s">
        <v>734</v>
      </c>
      <c r="KL16" s="71">
        <v>57</v>
      </c>
      <c r="KM16" s="405">
        <f t="shared" si="33"/>
        <v>51761.700000000004</v>
      </c>
      <c r="KP16" s="106"/>
      <c r="KQ16" s="15">
        <v>9</v>
      </c>
      <c r="KR16" s="69">
        <v>922.6</v>
      </c>
      <c r="KS16" s="254">
        <v>44834</v>
      </c>
      <c r="KT16" s="934">
        <v>922.6</v>
      </c>
      <c r="KU16" s="932" t="s">
        <v>742</v>
      </c>
      <c r="KV16" s="933">
        <v>57</v>
      </c>
      <c r="KW16" s="405">
        <f t="shared" si="34"/>
        <v>52588.200000000004</v>
      </c>
      <c r="KZ16" s="106"/>
      <c r="LA16" s="15">
        <v>9</v>
      </c>
      <c r="LB16" s="92">
        <v>952.99</v>
      </c>
      <c r="LC16" s="246">
        <v>44834</v>
      </c>
      <c r="LD16" s="92">
        <v>952.99</v>
      </c>
      <c r="LE16" s="95" t="s">
        <v>746</v>
      </c>
      <c r="LF16" s="71">
        <v>57</v>
      </c>
      <c r="LG16" s="405">
        <f t="shared" si="35"/>
        <v>54320.43</v>
      </c>
      <c r="LJ16" s="106"/>
      <c r="LK16" s="15">
        <v>9</v>
      </c>
      <c r="LL16" s="92">
        <v>907.2</v>
      </c>
      <c r="LM16" s="246">
        <v>44834</v>
      </c>
      <c r="LN16" s="92">
        <v>907.2</v>
      </c>
      <c r="LO16" s="95" t="s">
        <v>739</v>
      </c>
      <c r="LP16" s="71">
        <v>57</v>
      </c>
      <c r="LQ16" s="405">
        <f t="shared" si="36"/>
        <v>51710.400000000001</v>
      </c>
      <c r="LT16" s="106"/>
      <c r="LU16" s="15">
        <v>9</v>
      </c>
      <c r="LV16" s="92">
        <v>893.6</v>
      </c>
      <c r="LW16" s="246">
        <v>44835</v>
      </c>
      <c r="LX16" s="92">
        <v>893.6</v>
      </c>
      <c r="LY16" s="95" t="s">
        <v>753</v>
      </c>
      <c r="LZ16" s="71">
        <v>57</v>
      </c>
      <c r="MA16" s="405">
        <f t="shared" si="37"/>
        <v>50935.200000000004</v>
      </c>
      <c r="MB16" s="405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87152287</v>
      </c>
      <c r="E17" s="135">
        <f t="shared" si="55"/>
        <v>44817</v>
      </c>
      <c r="F17" s="86">
        <f t="shared" si="55"/>
        <v>19014.89</v>
      </c>
      <c r="G17" s="73">
        <f t="shared" si="55"/>
        <v>21</v>
      </c>
      <c r="H17" s="48">
        <f t="shared" si="55"/>
        <v>19037.599999999999</v>
      </c>
      <c r="I17" s="105">
        <f t="shared" si="55"/>
        <v>-22.709999999999127</v>
      </c>
      <c r="L17" s="106"/>
      <c r="M17" s="15">
        <v>10</v>
      </c>
      <c r="N17" s="69">
        <v>903.6</v>
      </c>
      <c r="O17" s="254">
        <v>44803</v>
      </c>
      <c r="P17" s="69">
        <v>903.6</v>
      </c>
      <c r="Q17" s="70" t="s">
        <v>507</v>
      </c>
      <c r="R17" s="71">
        <v>53</v>
      </c>
      <c r="S17" s="405">
        <f t="shared" si="7"/>
        <v>47890.8</v>
      </c>
      <c r="V17" s="106"/>
      <c r="W17" s="15">
        <v>10</v>
      </c>
      <c r="X17" s="69">
        <v>867.3</v>
      </c>
      <c r="Y17" s="254">
        <v>44806</v>
      </c>
      <c r="Z17" s="69">
        <v>867.3</v>
      </c>
      <c r="AA17" s="70" t="s">
        <v>548</v>
      </c>
      <c r="AB17" s="71">
        <v>51</v>
      </c>
      <c r="AC17" s="405">
        <f t="shared" si="8"/>
        <v>44232.299999999996</v>
      </c>
      <c r="AF17" s="106"/>
      <c r="AG17" s="15">
        <v>10</v>
      </c>
      <c r="AH17" s="92">
        <v>918.5</v>
      </c>
      <c r="AI17" s="246">
        <v>44805</v>
      </c>
      <c r="AJ17" s="92">
        <v>918.5</v>
      </c>
      <c r="AK17" s="95" t="s">
        <v>533</v>
      </c>
      <c r="AL17" s="71">
        <v>49</v>
      </c>
      <c r="AM17" s="405">
        <f t="shared" si="9"/>
        <v>45006.5</v>
      </c>
      <c r="AP17" s="106"/>
      <c r="AQ17" s="15">
        <v>10</v>
      </c>
      <c r="AR17" s="92">
        <v>957.07</v>
      </c>
      <c r="AS17" s="246">
        <v>44803</v>
      </c>
      <c r="AT17" s="92">
        <v>957.07</v>
      </c>
      <c r="AU17" s="95" t="s">
        <v>513</v>
      </c>
      <c r="AV17" s="71">
        <v>53</v>
      </c>
      <c r="AW17" s="405">
        <f t="shared" si="10"/>
        <v>50724.71</v>
      </c>
      <c r="AZ17" s="106"/>
      <c r="BA17" s="15">
        <v>10</v>
      </c>
      <c r="BB17" s="92">
        <v>971.59</v>
      </c>
      <c r="BC17" s="246">
        <v>44804</v>
      </c>
      <c r="BD17" s="92">
        <v>971.59</v>
      </c>
      <c r="BE17" s="95" t="s">
        <v>522</v>
      </c>
      <c r="BF17" s="71">
        <v>49</v>
      </c>
      <c r="BG17" s="405">
        <f t="shared" si="11"/>
        <v>47607.91</v>
      </c>
      <c r="BJ17" s="754"/>
      <c r="BK17" s="15">
        <v>10</v>
      </c>
      <c r="BL17" s="92">
        <v>891.8</v>
      </c>
      <c r="BM17" s="135">
        <v>44807</v>
      </c>
      <c r="BN17" s="92">
        <v>891.8</v>
      </c>
      <c r="BO17" s="95" t="s">
        <v>557</v>
      </c>
      <c r="BP17" s="290">
        <v>51</v>
      </c>
      <c r="BQ17" s="496">
        <f t="shared" si="12"/>
        <v>45481.799999999996</v>
      </c>
      <c r="BR17" s="405"/>
      <c r="BT17" s="106"/>
      <c r="BU17" s="15">
        <v>10</v>
      </c>
      <c r="BV17" s="69">
        <v>906.3</v>
      </c>
      <c r="BW17" s="291">
        <v>44809</v>
      </c>
      <c r="BX17" s="69">
        <v>906.3</v>
      </c>
      <c r="BY17" s="621" t="s">
        <v>568</v>
      </c>
      <c r="BZ17" s="292">
        <v>51</v>
      </c>
      <c r="CA17" s="405">
        <f t="shared" si="13"/>
        <v>46221.299999999996</v>
      </c>
      <c r="CD17" s="214"/>
      <c r="CE17" s="15">
        <v>10</v>
      </c>
      <c r="CF17" s="92">
        <v>911.7</v>
      </c>
      <c r="CG17" s="291">
        <v>44813</v>
      </c>
      <c r="CH17" s="92">
        <v>911.7</v>
      </c>
      <c r="CI17" s="293" t="s">
        <v>591</v>
      </c>
      <c r="CJ17" s="292">
        <v>53</v>
      </c>
      <c r="CK17" s="405">
        <f t="shared" si="14"/>
        <v>48320.100000000006</v>
      </c>
      <c r="CN17" s="94"/>
      <c r="CO17" s="15">
        <v>10</v>
      </c>
      <c r="CP17" s="92">
        <v>938.9</v>
      </c>
      <c r="CQ17" s="291">
        <v>44811</v>
      </c>
      <c r="CR17" s="92">
        <v>938.9</v>
      </c>
      <c r="CS17" s="293" t="s">
        <v>554</v>
      </c>
      <c r="CT17" s="292">
        <v>51</v>
      </c>
      <c r="CU17" s="410">
        <f t="shared" si="48"/>
        <v>47883.9</v>
      </c>
      <c r="CX17" s="106"/>
      <c r="CY17" s="15">
        <v>10</v>
      </c>
      <c r="CZ17" s="92">
        <v>940.7</v>
      </c>
      <c r="DA17" s="246">
        <v>44812</v>
      </c>
      <c r="DB17" s="92">
        <v>940.7</v>
      </c>
      <c r="DC17" s="95" t="s">
        <v>582</v>
      </c>
      <c r="DD17" s="71">
        <v>53</v>
      </c>
      <c r="DE17" s="405">
        <f t="shared" si="15"/>
        <v>49857.100000000006</v>
      </c>
      <c r="DH17" s="106"/>
      <c r="DI17" s="15">
        <v>10</v>
      </c>
      <c r="DJ17" s="69">
        <v>892.2</v>
      </c>
      <c r="DK17" s="291">
        <v>44816</v>
      </c>
      <c r="DL17" s="920">
        <v>892.2</v>
      </c>
      <c r="DM17" s="919" t="s">
        <v>606</v>
      </c>
      <c r="DN17" s="292">
        <v>54</v>
      </c>
      <c r="DO17" s="410">
        <f t="shared" si="16"/>
        <v>48178.8</v>
      </c>
      <c r="DR17" s="106"/>
      <c r="DS17" s="15">
        <v>10</v>
      </c>
      <c r="DT17" s="69">
        <v>916.3</v>
      </c>
      <c r="DU17" s="291">
        <v>44814</v>
      </c>
      <c r="DV17" s="69">
        <v>916.3</v>
      </c>
      <c r="DW17" s="293" t="s">
        <v>592</v>
      </c>
      <c r="DX17" s="292">
        <v>53</v>
      </c>
      <c r="DY17" s="405">
        <f t="shared" si="17"/>
        <v>48563.899999999994</v>
      </c>
      <c r="EB17" s="106"/>
      <c r="EC17" s="15">
        <v>10</v>
      </c>
      <c r="ED17" s="69">
        <v>863.63</v>
      </c>
      <c r="EE17" s="254">
        <v>44814</v>
      </c>
      <c r="EF17" s="69">
        <v>863.63</v>
      </c>
      <c r="EG17" s="70" t="s">
        <v>600</v>
      </c>
      <c r="EH17" s="71">
        <v>53</v>
      </c>
      <c r="EI17" s="405">
        <f t="shared" si="18"/>
        <v>45772.39</v>
      </c>
      <c r="EL17" s="106"/>
      <c r="EM17" s="15">
        <v>10</v>
      </c>
      <c r="EN17" s="69">
        <v>889.9</v>
      </c>
      <c r="EO17" s="254">
        <v>44817</v>
      </c>
      <c r="EP17" s="69">
        <v>889.9</v>
      </c>
      <c r="EQ17" s="70" t="s">
        <v>621</v>
      </c>
      <c r="ER17" s="71">
        <v>55</v>
      </c>
      <c r="ES17" s="405">
        <f t="shared" si="19"/>
        <v>48944.5</v>
      </c>
      <c r="EV17" s="106"/>
      <c r="EW17" s="15">
        <v>10</v>
      </c>
      <c r="EX17" s="92">
        <v>883.6</v>
      </c>
      <c r="EY17" s="246">
        <v>44818</v>
      </c>
      <c r="EZ17" s="92">
        <v>883.6</v>
      </c>
      <c r="FA17" s="70" t="s">
        <v>630</v>
      </c>
      <c r="FB17" s="71">
        <v>55</v>
      </c>
      <c r="FC17" s="405">
        <f t="shared" si="20"/>
        <v>48598</v>
      </c>
      <c r="FF17" s="106"/>
      <c r="FG17" s="15">
        <v>10</v>
      </c>
      <c r="FH17" s="92">
        <v>928.5</v>
      </c>
      <c r="FI17" s="246">
        <v>44817</v>
      </c>
      <c r="FJ17" s="92">
        <v>928.5</v>
      </c>
      <c r="FK17" s="70" t="s">
        <v>626</v>
      </c>
      <c r="FL17" s="71">
        <v>55</v>
      </c>
      <c r="FM17" s="245">
        <f t="shared" si="21"/>
        <v>51067.5</v>
      </c>
      <c r="FP17" s="106"/>
      <c r="FQ17" s="15">
        <v>10</v>
      </c>
      <c r="FR17" s="92">
        <v>901.74</v>
      </c>
      <c r="FS17" s="246">
        <v>44819</v>
      </c>
      <c r="FT17" s="92">
        <v>901.74</v>
      </c>
      <c r="FU17" s="70" t="s">
        <v>649</v>
      </c>
      <c r="FV17" s="71">
        <v>57</v>
      </c>
      <c r="FW17" s="405">
        <f t="shared" si="22"/>
        <v>51399.18</v>
      </c>
      <c r="FZ17" s="106"/>
      <c r="GA17" s="15">
        <v>10</v>
      </c>
      <c r="GB17" s="69">
        <v>893.1</v>
      </c>
      <c r="GC17" s="254">
        <v>44821</v>
      </c>
      <c r="GD17" s="69">
        <v>893.1</v>
      </c>
      <c r="GE17" s="70" t="s">
        <v>667</v>
      </c>
      <c r="GF17" s="71">
        <v>57</v>
      </c>
      <c r="GG17" s="245">
        <f t="shared" si="23"/>
        <v>50906.700000000004</v>
      </c>
      <c r="GJ17" s="106"/>
      <c r="GK17" s="15">
        <v>10</v>
      </c>
      <c r="GL17" s="359">
        <v>883.6</v>
      </c>
      <c r="GM17" s="246">
        <v>44820</v>
      </c>
      <c r="GN17" s="359">
        <v>883.6</v>
      </c>
      <c r="GO17" s="95" t="s">
        <v>659</v>
      </c>
      <c r="GP17" s="71">
        <v>57</v>
      </c>
      <c r="GQ17" s="405">
        <f t="shared" si="24"/>
        <v>50365.200000000004</v>
      </c>
      <c r="GT17" s="106"/>
      <c r="GU17" s="15">
        <v>10</v>
      </c>
      <c r="GV17" s="92">
        <v>904.5</v>
      </c>
      <c r="GW17" s="246">
        <v>44824</v>
      </c>
      <c r="GX17" s="92">
        <v>904.5</v>
      </c>
      <c r="GY17" s="95" t="s">
        <v>680</v>
      </c>
      <c r="GZ17" s="71">
        <v>57</v>
      </c>
      <c r="HA17" s="405">
        <f t="shared" si="25"/>
        <v>51556.5</v>
      </c>
      <c r="HD17" s="106"/>
      <c r="HE17" s="15">
        <v>10</v>
      </c>
      <c r="HF17" s="92">
        <v>883.6</v>
      </c>
      <c r="HG17" s="246">
        <v>44824</v>
      </c>
      <c r="HH17" s="92">
        <v>883.6</v>
      </c>
      <c r="HI17" s="95" t="s">
        <v>690</v>
      </c>
      <c r="HJ17" s="71">
        <v>57</v>
      </c>
      <c r="HK17" s="405">
        <f t="shared" si="26"/>
        <v>50365.200000000004</v>
      </c>
      <c r="HN17" s="106"/>
      <c r="HO17" s="15">
        <v>10</v>
      </c>
      <c r="HP17" s="92">
        <v>913.98</v>
      </c>
      <c r="HQ17" s="246">
        <v>44824</v>
      </c>
      <c r="HR17" s="92">
        <v>913.98</v>
      </c>
      <c r="HS17" s="294" t="s">
        <v>691</v>
      </c>
      <c r="HT17" s="71">
        <v>57</v>
      </c>
      <c r="HU17" s="245">
        <f t="shared" si="27"/>
        <v>52096.86</v>
      </c>
      <c r="HX17" s="94"/>
      <c r="HY17" s="15">
        <v>10</v>
      </c>
      <c r="HZ17" s="69">
        <v>926.23</v>
      </c>
      <c r="IA17" s="254">
        <v>44825</v>
      </c>
      <c r="IB17" s="69">
        <v>926.23</v>
      </c>
      <c r="IC17" s="70" t="s">
        <v>697</v>
      </c>
      <c r="ID17" s="71">
        <v>57</v>
      </c>
      <c r="IE17" s="405">
        <f t="shared" si="5"/>
        <v>52795.11</v>
      </c>
      <c r="IH17" s="94"/>
      <c r="II17" s="15">
        <v>10</v>
      </c>
      <c r="IJ17" s="69">
        <v>923.5</v>
      </c>
      <c r="IK17" s="254">
        <v>44826</v>
      </c>
      <c r="IL17" s="69">
        <v>923.5</v>
      </c>
      <c r="IM17" s="70" t="s">
        <v>702</v>
      </c>
      <c r="IN17" s="71">
        <v>57</v>
      </c>
      <c r="IO17" s="405">
        <f t="shared" si="28"/>
        <v>52639.5</v>
      </c>
      <c r="IR17" s="106"/>
      <c r="IS17" s="15">
        <v>10</v>
      </c>
      <c r="IT17" s="92">
        <v>881.8</v>
      </c>
      <c r="IU17" s="135">
        <v>44828</v>
      </c>
      <c r="IV17" s="92">
        <v>881.8</v>
      </c>
      <c r="IW17" s="370" t="s">
        <v>717</v>
      </c>
      <c r="IX17" s="71">
        <v>57</v>
      </c>
      <c r="IY17" s="245">
        <f t="shared" si="29"/>
        <v>50262.6</v>
      </c>
      <c r="IZ17" s="92"/>
      <c r="JA17" s="69"/>
      <c r="JB17" s="106"/>
      <c r="JC17" s="15">
        <v>10</v>
      </c>
      <c r="JD17" s="92">
        <v>945.7</v>
      </c>
      <c r="JE17" s="254">
        <v>44827</v>
      </c>
      <c r="JF17" s="92">
        <v>945.7</v>
      </c>
      <c r="JG17" s="70" t="s">
        <v>708</v>
      </c>
      <c r="JH17" s="71">
        <v>57</v>
      </c>
      <c r="JI17" s="405">
        <f t="shared" si="30"/>
        <v>53904.9</v>
      </c>
      <c r="JJ17" s="69"/>
      <c r="JL17" s="106"/>
      <c r="JM17" s="15">
        <v>10</v>
      </c>
      <c r="JN17" s="92">
        <v>946.19</v>
      </c>
      <c r="JO17" s="246">
        <v>44831</v>
      </c>
      <c r="JP17" s="92">
        <v>946.19</v>
      </c>
      <c r="JQ17" s="70" t="s">
        <v>728</v>
      </c>
      <c r="JR17" s="71">
        <v>57</v>
      </c>
      <c r="JS17" s="405">
        <f t="shared" si="31"/>
        <v>53932.83</v>
      </c>
      <c r="JV17" s="106"/>
      <c r="JW17" s="15">
        <v>10</v>
      </c>
      <c r="JX17" s="69">
        <v>938.9</v>
      </c>
      <c r="JY17" s="254">
        <v>44832</v>
      </c>
      <c r="JZ17" s="69">
        <v>938.9</v>
      </c>
      <c r="KA17" s="70" t="s">
        <v>731</v>
      </c>
      <c r="KB17" s="71">
        <v>57</v>
      </c>
      <c r="KC17" s="405">
        <f t="shared" si="32"/>
        <v>53517.299999999996</v>
      </c>
      <c r="KF17" s="106"/>
      <c r="KG17" s="15">
        <v>10</v>
      </c>
      <c r="KH17" s="69">
        <v>925.3</v>
      </c>
      <c r="KI17" s="254">
        <v>44833</v>
      </c>
      <c r="KJ17" s="69">
        <v>925.3</v>
      </c>
      <c r="KK17" s="70" t="s">
        <v>734</v>
      </c>
      <c r="KL17" s="71">
        <v>57</v>
      </c>
      <c r="KM17" s="405">
        <f t="shared" si="33"/>
        <v>52742.1</v>
      </c>
      <c r="KP17" s="106"/>
      <c r="KQ17" s="15">
        <v>10</v>
      </c>
      <c r="KR17" s="69">
        <v>914</v>
      </c>
      <c r="KS17" s="254">
        <v>44834</v>
      </c>
      <c r="KT17" s="934">
        <v>914</v>
      </c>
      <c r="KU17" s="932" t="s">
        <v>743</v>
      </c>
      <c r="KV17" s="933">
        <v>57</v>
      </c>
      <c r="KW17" s="405">
        <f t="shared" si="34"/>
        <v>52098</v>
      </c>
      <c r="KZ17" s="106"/>
      <c r="LA17" s="15">
        <v>10</v>
      </c>
      <c r="LB17" s="92">
        <v>923.96</v>
      </c>
      <c r="LC17" s="246">
        <v>44834</v>
      </c>
      <c r="LD17" s="92">
        <v>923.96</v>
      </c>
      <c r="LE17" s="95" t="s">
        <v>746</v>
      </c>
      <c r="LF17" s="71">
        <v>57</v>
      </c>
      <c r="LG17" s="405">
        <f t="shared" si="35"/>
        <v>52665.72</v>
      </c>
      <c r="LJ17" s="106"/>
      <c r="LK17" s="15">
        <v>10</v>
      </c>
      <c r="LL17" s="92">
        <v>940.7</v>
      </c>
      <c r="LM17" s="246">
        <v>44834</v>
      </c>
      <c r="LN17" s="92">
        <v>940.7</v>
      </c>
      <c r="LO17" s="95" t="s">
        <v>739</v>
      </c>
      <c r="LP17" s="71">
        <v>57</v>
      </c>
      <c r="LQ17" s="405">
        <f t="shared" si="36"/>
        <v>53619.9</v>
      </c>
      <c r="LT17" s="106"/>
      <c r="LU17" s="15">
        <v>10</v>
      </c>
      <c r="LV17" s="69">
        <v>876.3</v>
      </c>
      <c r="LW17" s="246">
        <v>44835</v>
      </c>
      <c r="LX17" s="92">
        <v>876.3</v>
      </c>
      <c r="LY17" s="95" t="s">
        <v>753</v>
      </c>
      <c r="LZ17" s="71">
        <v>57</v>
      </c>
      <c r="MA17" s="405">
        <f t="shared" si="37"/>
        <v>49949.1</v>
      </c>
      <c r="MB17" s="405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87151175</v>
      </c>
      <c r="E18" s="135">
        <f t="shared" si="56"/>
        <v>44817</v>
      </c>
      <c r="F18" s="86">
        <f t="shared" si="56"/>
        <v>19040.71</v>
      </c>
      <c r="G18" s="73">
        <f t="shared" si="56"/>
        <v>21</v>
      </c>
      <c r="H18" s="48">
        <f t="shared" si="56"/>
        <v>19034.5</v>
      </c>
      <c r="I18" s="105">
        <f t="shared" si="56"/>
        <v>6.2099999999991269</v>
      </c>
      <c r="L18" s="106"/>
      <c r="M18" s="15">
        <v>11</v>
      </c>
      <c r="N18" s="69">
        <v>915.3</v>
      </c>
      <c r="O18" s="254">
        <v>44803</v>
      </c>
      <c r="P18" s="69">
        <v>915.3</v>
      </c>
      <c r="Q18" s="70" t="s">
        <v>506</v>
      </c>
      <c r="R18" s="71">
        <v>53</v>
      </c>
      <c r="S18" s="405">
        <f t="shared" si="7"/>
        <v>48510.899999999994</v>
      </c>
      <c r="V18" s="106"/>
      <c r="W18" s="15">
        <v>11</v>
      </c>
      <c r="X18" s="69">
        <v>876.3</v>
      </c>
      <c r="Y18" s="254">
        <v>44806</v>
      </c>
      <c r="Z18" s="69">
        <v>876.3</v>
      </c>
      <c r="AA18" s="70" t="s">
        <v>551</v>
      </c>
      <c r="AB18" s="71">
        <v>51</v>
      </c>
      <c r="AC18" s="405">
        <f t="shared" si="8"/>
        <v>44691.299999999996</v>
      </c>
      <c r="AF18" s="106"/>
      <c r="AG18" s="15">
        <v>11</v>
      </c>
      <c r="AH18" s="92">
        <v>870.4</v>
      </c>
      <c r="AI18" s="246">
        <v>44806</v>
      </c>
      <c r="AJ18" s="92">
        <v>870.4</v>
      </c>
      <c r="AK18" s="95" t="s">
        <v>535</v>
      </c>
      <c r="AL18" s="71">
        <v>49</v>
      </c>
      <c r="AM18" s="405">
        <f t="shared" si="9"/>
        <v>42649.599999999999</v>
      </c>
      <c r="AP18" s="106"/>
      <c r="AQ18" s="15">
        <v>11</v>
      </c>
      <c r="AR18" s="92">
        <v>907.18</v>
      </c>
      <c r="AS18" s="246">
        <v>44803</v>
      </c>
      <c r="AT18" s="92">
        <v>907.18</v>
      </c>
      <c r="AU18" s="95" t="s">
        <v>515</v>
      </c>
      <c r="AV18" s="71">
        <v>53</v>
      </c>
      <c r="AW18" s="405">
        <f t="shared" si="10"/>
        <v>48080.54</v>
      </c>
      <c r="AZ18" s="106"/>
      <c r="BA18" s="15">
        <v>11</v>
      </c>
      <c r="BB18" s="92">
        <v>901.74</v>
      </c>
      <c r="BC18" s="246">
        <v>44804</v>
      </c>
      <c r="BD18" s="92">
        <v>901.74</v>
      </c>
      <c r="BE18" s="95" t="s">
        <v>524</v>
      </c>
      <c r="BF18" s="71">
        <v>49</v>
      </c>
      <c r="BG18" s="405">
        <f t="shared" si="11"/>
        <v>44185.26</v>
      </c>
      <c r="BJ18" s="754"/>
      <c r="BK18" s="15">
        <v>11</v>
      </c>
      <c r="BL18" s="92">
        <v>928</v>
      </c>
      <c r="BM18" s="135">
        <v>44807</v>
      </c>
      <c r="BN18" s="92">
        <v>928</v>
      </c>
      <c r="BO18" s="95" t="s">
        <v>558</v>
      </c>
      <c r="BP18" s="290">
        <v>51</v>
      </c>
      <c r="BQ18" s="496">
        <f t="shared" si="12"/>
        <v>47328</v>
      </c>
      <c r="BR18" s="405"/>
      <c r="BT18" s="106"/>
      <c r="BU18" s="15">
        <v>11</v>
      </c>
      <c r="BV18" s="92">
        <v>906.3</v>
      </c>
      <c r="BW18" s="291">
        <v>44809</v>
      </c>
      <c r="BX18" s="92">
        <v>906.3</v>
      </c>
      <c r="BY18" s="621" t="s">
        <v>567</v>
      </c>
      <c r="BZ18" s="292">
        <v>51</v>
      </c>
      <c r="CA18" s="405">
        <f t="shared" si="13"/>
        <v>46221.299999999996</v>
      </c>
      <c r="CD18" s="214"/>
      <c r="CE18" s="15">
        <v>11</v>
      </c>
      <c r="CF18" s="69">
        <v>940.7</v>
      </c>
      <c r="CG18" s="291">
        <v>44813</v>
      </c>
      <c r="CH18" s="69">
        <v>940.7</v>
      </c>
      <c r="CI18" s="293" t="s">
        <v>591</v>
      </c>
      <c r="CJ18" s="292">
        <v>53</v>
      </c>
      <c r="CK18" s="405">
        <f t="shared" si="14"/>
        <v>49857.100000000006</v>
      </c>
      <c r="CN18" s="94"/>
      <c r="CO18" s="15">
        <v>11</v>
      </c>
      <c r="CP18" s="69">
        <v>873.9</v>
      </c>
      <c r="CQ18" s="291">
        <v>44811</v>
      </c>
      <c r="CR18" s="69">
        <v>873.9</v>
      </c>
      <c r="CS18" s="293" t="s">
        <v>542</v>
      </c>
      <c r="CT18" s="292">
        <v>51</v>
      </c>
      <c r="CU18" s="410">
        <f t="shared" si="48"/>
        <v>44568.9</v>
      </c>
      <c r="CX18" s="106"/>
      <c r="CY18" s="15">
        <v>11</v>
      </c>
      <c r="CZ18" s="92">
        <v>876.3</v>
      </c>
      <c r="DA18" s="246">
        <v>44812</v>
      </c>
      <c r="DB18" s="92">
        <v>876.3</v>
      </c>
      <c r="DC18" s="95" t="s">
        <v>583</v>
      </c>
      <c r="DD18" s="71">
        <v>53</v>
      </c>
      <c r="DE18" s="405">
        <f t="shared" si="15"/>
        <v>46443.899999999994</v>
      </c>
      <c r="DH18" s="106"/>
      <c r="DI18" s="15">
        <v>11</v>
      </c>
      <c r="DJ18" s="92">
        <v>928</v>
      </c>
      <c r="DK18" s="291">
        <v>44816</v>
      </c>
      <c r="DL18" s="918">
        <v>928</v>
      </c>
      <c r="DM18" s="919" t="s">
        <v>615</v>
      </c>
      <c r="DN18" s="292">
        <v>54</v>
      </c>
      <c r="DO18" s="410">
        <f t="shared" si="16"/>
        <v>50112</v>
      </c>
      <c r="DR18" s="106"/>
      <c r="DS18" s="15">
        <v>11</v>
      </c>
      <c r="DT18" s="92">
        <v>927.1</v>
      </c>
      <c r="DU18" s="291">
        <v>44814</v>
      </c>
      <c r="DV18" s="92">
        <v>927.1</v>
      </c>
      <c r="DW18" s="293" t="s">
        <v>593</v>
      </c>
      <c r="DX18" s="292">
        <v>53</v>
      </c>
      <c r="DY18" s="405">
        <f t="shared" si="17"/>
        <v>49136.3</v>
      </c>
      <c r="EB18" s="106"/>
      <c r="EC18" s="15">
        <v>11</v>
      </c>
      <c r="ED18" s="69">
        <v>949.36</v>
      </c>
      <c r="EE18" s="254">
        <v>44814</v>
      </c>
      <c r="EF18" s="69">
        <v>949.36</v>
      </c>
      <c r="EG18" s="70" t="s">
        <v>604</v>
      </c>
      <c r="EH18" s="71">
        <v>54</v>
      </c>
      <c r="EI18" s="405">
        <f t="shared" si="18"/>
        <v>51265.440000000002</v>
      </c>
      <c r="EL18" s="106"/>
      <c r="EM18" s="15">
        <v>11</v>
      </c>
      <c r="EN18" s="69">
        <v>880.9</v>
      </c>
      <c r="EO18" s="254">
        <v>44817</v>
      </c>
      <c r="EP18" s="69">
        <v>880.9</v>
      </c>
      <c r="EQ18" s="70" t="s">
        <v>622</v>
      </c>
      <c r="ER18" s="71">
        <v>55</v>
      </c>
      <c r="ES18" s="405">
        <f t="shared" si="19"/>
        <v>48449.5</v>
      </c>
      <c r="EV18" s="106"/>
      <c r="EW18" s="15">
        <v>11</v>
      </c>
      <c r="EX18" s="92">
        <v>890.9</v>
      </c>
      <c r="EY18" s="246">
        <v>44818</v>
      </c>
      <c r="EZ18" s="92">
        <v>890.9</v>
      </c>
      <c r="FA18" s="70" t="s">
        <v>629</v>
      </c>
      <c r="FB18" s="71">
        <v>55</v>
      </c>
      <c r="FC18" s="405">
        <f t="shared" si="20"/>
        <v>48999.5</v>
      </c>
      <c r="FF18" s="106"/>
      <c r="FG18" s="15">
        <v>11</v>
      </c>
      <c r="FH18" s="92">
        <v>936.66</v>
      </c>
      <c r="FI18" s="246">
        <v>44817</v>
      </c>
      <c r="FJ18" s="92">
        <v>936.66</v>
      </c>
      <c r="FK18" s="70" t="s">
        <v>625</v>
      </c>
      <c r="FL18" s="71">
        <v>55</v>
      </c>
      <c r="FM18" s="245">
        <f t="shared" si="21"/>
        <v>51516.299999999996</v>
      </c>
      <c r="FP18" s="106"/>
      <c r="FQ18" s="15">
        <v>11</v>
      </c>
      <c r="FR18" s="92">
        <v>919.88</v>
      </c>
      <c r="FS18" s="246">
        <v>44819</v>
      </c>
      <c r="FT18" s="92">
        <v>919.88</v>
      </c>
      <c r="FU18" s="70" t="s">
        <v>650</v>
      </c>
      <c r="FV18" s="71">
        <v>57</v>
      </c>
      <c r="FW18" s="405">
        <f t="shared" si="22"/>
        <v>52433.159999999996</v>
      </c>
      <c r="FX18" s="71"/>
      <c r="FZ18" s="106"/>
      <c r="GA18" s="15">
        <v>11</v>
      </c>
      <c r="GB18" s="69">
        <v>893.6</v>
      </c>
      <c r="GC18" s="254">
        <v>44821</v>
      </c>
      <c r="GD18" s="69">
        <v>893.6</v>
      </c>
      <c r="GE18" s="70" t="s">
        <v>664</v>
      </c>
      <c r="GF18" s="71">
        <v>57</v>
      </c>
      <c r="GG18" s="245">
        <f t="shared" si="23"/>
        <v>50935.200000000004</v>
      </c>
      <c r="GH18" s="71"/>
      <c r="GJ18" s="106"/>
      <c r="GK18" s="15">
        <v>11</v>
      </c>
      <c r="GL18" s="359">
        <v>931.7</v>
      </c>
      <c r="GM18" s="246">
        <v>44820</v>
      </c>
      <c r="GN18" s="359">
        <v>931.7</v>
      </c>
      <c r="GO18" s="95" t="s">
        <v>660</v>
      </c>
      <c r="GP18" s="71">
        <v>57</v>
      </c>
      <c r="GQ18" s="405">
        <f t="shared" si="24"/>
        <v>53106.9</v>
      </c>
      <c r="GT18" s="106"/>
      <c r="GU18" s="15">
        <v>11</v>
      </c>
      <c r="GV18" s="92">
        <v>892.7</v>
      </c>
      <c r="GW18" s="246">
        <v>44824</v>
      </c>
      <c r="GX18" s="92">
        <v>892.7</v>
      </c>
      <c r="GY18" s="95" t="s">
        <v>681</v>
      </c>
      <c r="GZ18" s="71">
        <v>57</v>
      </c>
      <c r="HA18" s="405">
        <f t="shared" si="25"/>
        <v>50883.9</v>
      </c>
      <c r="HD18" s="106"/>
      <c r="HE18" s="15">
        <v>11</v>
      </c>
      <c r="HF18" s="92">
        <v>900.4</v>
      </c>
      <c r="HG18" s="246">
        <v>44824</v>
      </c>
      <c r="HH18" s="92">
        <v>900.4</v>
      </c>
      <c r="HI18" s="95" t="s">
        <v>755</v>
      </c>
      <c r="HJ18" s="71">
        <v>57</v>
      </c>
      <c r="HK18" s="405">
        <f t="shared" si="26"/>
        <v>51322.799999999996</v>
      </c>
      <c r="HN18" s="106"/>
      <c r="HO18" s="15">
        <v>11</v>
      </c>
      <c r="HP18" s="92">
        <v>918.52</v>
      </c>
      <c r="HQ18" s="246">
        <v>44824</v>
      </c>
      <c r="HR18" s="92">
        <v>918.52</v>
      </c>
      <c r="HS18" s="294" t="s">
        <v>686</v>
      </c>
      <c r="HT18" s="71">
        <v>57</v>
      </c>
      <c r="HU18" s="245">
        <f t="shared" si="27"/>
        <v>52355.64</v>
      </c>
      <c r="HX18" s="94"/>
      <c r="HY18" s="15">
        <v>11</v>
      </c>
      <c r="HZ18" s="69">
        <v>932.58</v>
      </c>
      <c r="IA18" s="254">
        <v>44825</v>
      </c>
      <c r="IB18" s="69">
        <v>932.58</v>
      </c>
      <c r="IC18" s="70" t="s">
        <v>698</v>
      </c>
      <c r="ID18" s="71">
        <v>57</v>
      </c>
      <c r="IE18" s="405">
        <f t="shared" si="5"/>
        <v>53157.060000000005</v>
      </c>
      <c r="IH18" s="94"/>
      <c r="II18" s="15">
        <v>11</v>
      </c>
      <c r="IJ18" s="69">
        <v>938</v>
      </c>
      <c r="IK18" s="254">
        <v>44826</v>
      </c>
      <c r="IL18" s="69">
        <v>938</v>
      </c>
      <c r="IM18" s="70" t="s">
        <v>701</v>
      </c>
      <c r="IN18" s="71">
        <v>57</v>
      </c>
      <c r="IO18" s="405">
        <f t="shared" si="28"/>
        <v>53466</v>
      </c>
      <c r="IR18" s="106"/>
      <c r="IS18" s="15">
        <v>11</v>
      </c>
      <c r="IT18" s="92">
        <v>904.5</v>
      </c>
      <c r="IU18" s="135">
        <v>44828</v>
      </c>
      <c r="IV18" s="92">
        <v>904.5</v>
      </c>
      <c r="IW18" s="370" t="s">
        <v>717</v>
      </c>
      <c r="IX18" s="71">
        <v>57</v>
      </c>
      <c r="IY18" s="245">
        <f t="shared" si="29"/>
        <v>51556.5</v>
      </c>
      <c r="IZ18" s="92"/>
      <c r="JA18" s="69"/>
      <c r="JB18" s="106"/>
      <c r="JC18" s="15">
        <v>11</v>
      </c>
      <c r="JD18" s="92">
        <v>915.8</v>
      </c>
      <c r="JE18" s="254">
        <v>44827</v>
      </c>
      <c r="JF18" s="92">
        <v>915.8</v>
      </c>
      <c r="JG18" s="70" t="s">
        <v>709</v>
      </c>
      <c r="JH18" s="71">
        <v>57</v>
      </c>
      <c r="JI18" s="405">
        <f t="shared" si="30"/>
        <v>52200.6</v>
      </c>
      <c r="JJ18" s="105"/>
      <c r="JL18" s="106"/>
      <c r="JM18" s="15">
        <v>11</v>
      </c>
      <c r="JN18" s="92">
        <v>949.82</v>
      </c>
      <c r="JO18" s="246">
        <v>44831</v>
      </c>
      <c r="JP18" s="92">
        <v>949.82</v>
      </c>
      <c r="JQ18" s="70" t="s">
        <v>727</v>
      </c>
      <c r="JR18" s="71">
        <v>57</v>
      </c>
      <c r="JS18" s="405">
        <f t="shared" si="31"/>
        <v>54139.740000000005</v>
      </c>
      <c r="JV18" s="106"/>
      <c r="JW18" s="15">
        <v>11</v>
      </c>
      <c r="JX18" s="69">
        <v>889</v>
      </c>
      <c r="JY18" s="254">
        <v>44832</v>
      </c>
      <c r="JZ18" s="69">
        <v>889</v>
      </c>
      <c r="KA18" s="70" t="s">
        <v>732</v>
      </c>
      <c r="KB18" s="71">
        <v>57</v>
      </c>
      <c r="KC18" s="405">
        <f t="shared" si="32"/>
        <v>50673</v>
      </c>
      <c r="KF18" s="106"/>
      <c r="KG18" s="15">
        <v>11</v>
      </c>
      <c r="KH18" s="69">
        <v>919.9</v>
      </c>
      <c r="KI18" s="254">
        <v>44833</v>
      </c>
      <c r="KJ18" s="69">
        <v>919.9</v>
      </c>
      <c r="KK18" s="70" t="s">
        <v>733</v>
      </c>
      <c r="KL18" s="71">
        <v>57</v>
      </c>
      <c r="KM18" s="405">
        <f t="shared" si="33"/>
        <v>52434.299999999996</v>
      </c>
      <c r="KP18" s="106"/>
      <c r="KQ18" s="15">
        <v>11</v>
      </c>
      <c r="KR18" s="69">
        <v>886.3</v>
      </c>
      <c r="KS18" s="254">
        <v>44834</v>
      </c>
      <c r="KT18" s="934">
        <v>886.3</v>
      </c>
      <c r="KU18" s="932" t="s">
        <v>742</v>
      </c>
      <c r="KV18" s="933">
        <v>57</v>
      </c>
      <c r="KW18" s="405">
        <f t="shared" si="34"/>
        <v>50519.1</v>
      </c>
      <c r="KZ18" s="106"/>
      <c r="LA18" s="15">
        <v>11</v>
      </c>
      <c r="LB18" s="92">
        <v>946.19</v>
      </c>
      <c r="LC18" s="246">
        <v>44834</v>
      </c>
      <c r="LD18" s="92">
        <v>946.19</v>
      </c>
      <c r="LE18" s="95" t="s">
        <v>746</v>
      </c>
      <c r="LF18" s="71">
        <v>57</v>
      </c>
      <c r="LG18" s="405">
        <f t="shared" si="35"/>
        <v>53932.83</v>
      </c>
      <c r="LJ18" s="106"/>
      <c r="LK18" s="15">
        <v>11</v>
      </c>
      <c r="LL18" s="92">
        <v>908.1</v>
      </c>
      <c r="LM18" s="246">
        <v>44834</v>
      </c>
      <c r="LN18" s="92">
        <v>908.1</v>
      </c>
      <c r="LO18" s="95" t="s">
        <v>740</v>
      </c>
      <c r="LP18" s="71">
        <v>57</v>
      </c>
      <c r="LQ18" s="405">
        <f t="shared" si="36"/>
        <v>51761.700000000004</v>
      </c>
      <c r="LT18" s="106"/>
      <c r="LU18" s="15">
        <v>11</v>
      </c>
      <c r="LV18" s="92">
        <v>900.8</v>
      </c>
      <c r="LW18" s="246">
        <v>44835</v>
      </c>
      <c r="LX18" s="92">
        <v>900.8</v>
      </c>
      <c r="LY18" s="95" t="s">
        <v>753</v>
      </c>
      <c r="LZ18" s="71">
        <v>57</v>
      </c>
      <c r="MA18" s="405">
        <f t="shared" si="37"/>
        <v>51345.599999999999</v>
      </c>
      <c r="MB18" s="405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 I B P </v>
      </c>
      <c r="D19" s="102" t="str">
        <f t="shared" si="57"/>
        <v>PED. 87152298</v>
      </c>
      <c r="E19" s="135">
        <f t="shared" si="57"/>
        <v>44817</v>
      </c>
      <c r="F19" s="86">
        <f t="shared" si="57"/>
        <v>18842.21</v>
      </c>
      <c r="G19" s="73">
        <f t="shared" si="57"/>
        <v>20</v>
      </c>
      <c r="H19" s="48">
        <f t="shared" si="57"/>
        <v>18866.189999999999</v>
      </c>
      <c r="I19" s="105">
        <f t="shared" si="57"/>
        <v>-23.979999999999563</v>
      </c>
      <c r="L19" s="94"/>
      <c r="M19" s="15">
        <v>12</v>
      </c>
      <c r="N19" s="69">
        <v>900.8</v>
      </c>
      <c r="O19" s="254">
        <v>44803</v>
      </c>
      <c r="P19" s="69">
        <v>900.8</v>
      </c>
      <c r="Q19" s="70" t="s">
        <v>508</v>
      </c>
      <c r="R19" s="71">
        <v>53</v>
      </c>
      <c r="S19" s="405">
        <f t="shared" si="7"/>
        <v>47742.399999999994</v>
      </c>
      <c r="V19" s="94"/>
      <c r="W19" s="15">
        <v>12</v>
      </c>
      <c r="X19" s="69">
        <v>902.6</v>
      </c>
      <c r="Y19" s="254">
        <v>44806</v>
      </c>
      <c r="Z19" s="69">
        <v>902.6</v>
      </c>
      <c r="AA19" s="70" t="s">
        <v>548</v>
      </c>
      <c r="AB19" s="71">
        <v>51</v>
      </c>
      <c r="AC19" s="405">
        <f t="shared" si="8"/>
        <v>46032.6</v>
      </c>
      <c r="AF19" s="106"/>
      <c r="AG19" s="15">
        <v>12</v>
      </c>
      <c r="AH19" s="69">
        <v>929</v>
      </c>
      <c r="AI19" s="246">
        <v>44806</v>
      </c>
      <c r="AJ19" s="92">
        <v>929</v>
      </c>
      <c r="AK19" s="95" t="s">
        <v>535</v>
      </c>
      <c r="AL19" s="71">
        <v>49</v>
      </c>
      <c r="AM19" s="405">
        <f t="shared" si="9"/>
        <v>45521</v>
      </c>
      <c r="AP19" s="106"/>
      <c r="AQ19" s="15">
        <v>12</v>
      </c>
      <c r="AR19" s="92">
        <v>963.43</v>
      </c>
      <c r="AS19" s="246">
        <v>44803</v>
      </c>
      <c r="AT19" s="92">
        <v>963.43</v>
      </c>
      <c r="AU19" s="95" t="s">
        <v>513</v>
      </c>
      <c r="AV19" s="71">
        <v>53</v>
      </c>
      <c r="AW19" s="405">
        <f t="shared" si="10"/>
        <v>51061.79</v>
      </c>
      <c r="AZ19" s="106"/>
      <c r="BA19" s="15">
        <v>12</v>
      </c>
      <c r="BB19" s="92">
        <v>919.88</v>
      </c>
      <c r="BC19" s="246">
        <v>44804</v>
      </c>
      <c r="BD19" s="92">
        <v>919.88</v>
      </c>
      <c r="BE19" s="95" t="s">
        <v>524</v>
      </c>
      <c r="BF19" s="71">
        <v>49</v>
      </c>
      <c r="BG19" s="405">
        <f t="shared" si="11"/>
        <v>45074.12</v>
      </c>
      <c r="BJ19" s="754"/>
      <c r="BK19" s="15">
        <v>12</v>
      </c>
      <c r="BL19" s="92">
        <v>937.1</v>
      </c>
      <c r="BM19" s="135">
        <v>44806</v>
      </c>
      <c r="BN19" s="92">
        <v>937.1</v>
      </c>
      <c r="BO19" s="95" t="s">
        <v>551</v>
      </c>
      <c r="BP19" s="290">
        <v>51</v>
      </c>
      <c r="BQ19" s="496">
        <f t="shared" si="12"/>
        <v>47792.1</v>
      </c>
      <c r="BR19" s="405"/>
      <c r="BT19" s="106"/>
      <c r="BU19" s="15">
        <v>12</v>
      </c>
      <c r="BV19" s="92">
        <v>938.9</v>
      </c>
      <c r="BW19" s="291">
        <v>44809</v>
      </c>
      <c r="BX19" s="92">
        <v>938.9</v>
      </c>
      <c r="BY19" s="621" t="s">
        <v>553</v>
      </c>
      <c r="BZ19" s="292">
        <v>51</v>
      </c>
      <c r="CA19" s="405">
        <f t="shared" si="13"/>
        <v>47883.9</v>
      </c>
      <c r="CD19" s="214"/>
      <c r="CE19" s="15">
        <v>12</v>
      </c>
      <c r="CF19" s="92">
        <v>884.5</v>
      </c>
      <c r="CG19" s="291">
        <v>44812</v>
      </c>
      <c r="CH19" s="92">
        <v>884.5</v>
      </c>
      <c r="CI19" s="293" t="s">
        <v>584</v>
      </c>
      <c r="CJ19" s="292">
        <v>53</v>
      </c>
      <c r="CK19" s="245">
        <f t="shared" si="14"/>
        <v>46878.5</v>
      </c>
      <c r="CN19" s="423"/>
      <c r="CO19" s="15">
        <v>12</v>
      </c>
      <c r="CP19" s="92">
        <v>900.8</v>
      </c>
      <c r="CQ19" s="291">
        <v>44811</v>
      </c>
      <c r="CR19" s="92">
        <v>900.8</v>
      </c>
      <c r="CS19" s="293" t="s">
        <v>542</v>
      </c>
      <c r="CT19" s="292">
        <v>51</v>
      </c>
      <c r="CU19" s="410">
        <f t="shared" si="48"/>
        <v>45940.799999999996</v>
      </c>
      <c r="CX19" s="106"/>
      <c r="CY19" s="15">
        <v>12</v>
      </c>
      <c r="CZ19" s="92">
        <v>892.7</v>
      </c>
      <c r="DA19" s="246">
        <v>44812</v>
      </c>
      <c r="DB19" s="92">
        <v>892.7</v>
      </c>
      <c r="DC19" s="95" t="s">
        <v>583</v>
      </c>
      <c r="DD19" s="71">
        <v>53</v>
      </c>
      <c r="DE19" s="405">
        <f t="shared" si="15"/>
        <v>47313.100000000006</v>
      </c>
      <c r="DH19" s="106"/>
      <c r="DI19" s="15">
        <v>12</v>
      </c>
      <c r="DJ19" s="92">
        <v>893.6</v>
      </c>
      <c r="DK19" s="291">
        <v>44816</v>
      </c>
      <c r="DL19" s="918">
        <v>893.6</v>
      </c>
      <c r="DM19" s="919" t="s">
        <v>606</v>
      </c>
      <c r="DN19" s="292">
        <v>54</v>
      </c>
      <c r="DO19" s="410">
        <f t="shared" si="16"/>
        <v>48254.400000000001</v>
      </c>
      <c r="DR19" s="106"/>
      <c r="DS19" s="15">
        <v>12</v>
      </c>
      <c r="DT19" s="92">
        <v>924</v>
      </c>
      <c r="DU19" s="291">
        <v>44814</v>
      </c>
      <c r="DV19" s="92">
        <v>924</v>
      </c>
      <c r="DW19" s="293" t="s">
        <v>593</v>
      </c>
      <c r="DX19" s="292">
        <v>53</v>
      </c>
      <c r="DY19" s="405">
        <f t="shared" si="17"/>
        <v>48972</v>
      </c>
      <c r="EB19" s="106"/>
      <c r="EC19" s="15">
        <v>12</v>
      </c>
      <c r="ED19" s="69">
        <v>921.24</v>
      </c>
      <c r="EE19" s="254">
        <v>44814</v>
      </c>
      <c r="EF19" s="69">
        <v>921.24</v>
      </c>
      <c r="EG19" s="70" t="s">
        <v>604</v>
      </c>
      <c r="EH19" s="71">
        <v>54</v>
      </c>
      <c r="EI19" s="405">
        <f t="shared" si="18"/>
        <v>49746.96</v>
      </c>
      <c r="EL19" s="106"/>
      <c r="EM19" s="15">
        <v>12</v>
      </c>
      <c r="EN19" s="69">
        <v>919</v>
      </c>
      <c r="EO19" s="254">
        <v>44817</v>
      </c>
      <c r="EP19" s="69">
        <v>919</v>
      </c>
      <c r="EQ19" s="70" t="s">
        <v>622</v>
      </c>
      <c r="ER19" s="71">
        <v>55</v>
      </c>
      <c r="ES19" s="405">
        <f t="shared" si="19"/>
        <v>50545</v>
      </c>
      <c r="EV19" s="106"/>
      <c r="EW19" s="15">
        <v>12</v>
      </c>
      <c r="EX19" s="92">
        <v>908</v>
      </c>
      <c r="EY19" s="246">
        <v>44817</v>
      </c>
      <c r="EZ19" s="92">
        <v>908</v>
      </c>
      <c r="FA19" s="70" t="s">
        <v>628</v>
      </c>
      <c r="FB19" s="71">
        <v>55</v>
      </c>
      <c r="FC19" s="405">
        <f t="shared" si="20"/>
        <v>49940</v>
      </c>
      <c r="FF19" s="106"/>
      <c r="FG19" s="15">
        <v>12</v>
      </c>
      <c r="FH19" s="92">
        <v>933.49</v>
      </c>
      <c r="FI19" s="246">
        <v>44817</v>
      </c>
      <c r="FJ19" s="92">
        <v>933.49</v>
      </c>
      <c r="FK19" s="70" t="s">
        <v>625</v>
      </c>
      <c r="FL19" s="71">
        <v>55</v>
      </c>
      <c r="FM19" s="245">
        <f t="shared" si="21"/>
        <v>51341.95</v>
      </c>
      <c r="FP19" s="106"/>
      <c r="FQ19" s="15">
        <v>12</v>
      </c>
      <c r="FR19" s="92">
        <v>919.88</v>
      </c>
      <c r="FS19" s="246">
        <v>44819</v>
      </c>
      <c r="FT19" s="92">
        <v>919.88</v>
      </c>
      <c r="FU19" s="70" t="s">
        <v>650</v>
      </c>
      <c r="FV19" s="71">
        <v>57</v>
      </c>
      <c r="FW19" s="405">
        <f t="shared" si="22"/>
        <v>52433.159999999996</v>
      </c>
      <c r="FX19" s="71"/>
      <c r="FZ19" s="106"/>
      <c r="GA19" s="15">
        <v>12</v>
      </c>
      <c r="GB19" s="69">
        <v>885.4</v>
      </c>
      <c r="GC19" s="254">
        <v>44821</v>
      </c>
      <c r="GD19" s="69">
        <v>885.4</v>
      </c>
      <c r="GE19" s="70" t="s">
        <v>668</v>
      </c>
      <c r="GF19" s="71">
        <v>57</v>
      </c>
      <c r="GG19" s="245">
        <f t="shared" si="23"/>
        <v>50467.799999999996</v>
      </c>
      <c r="GJ19" s="106"/>
      <c r="GK19" s="15">
        <v>12</v>
      </c>
      <c r="GL19" s="359">
        <v>922.6</v>
      </c>
      <c r="GM19" s="246">
        <v>44820</v>
      </c>
      <c r="GN19" s="359">
        <v>922.6</v>
      </c>
      <c r="GO19" s="95" t="s">
        <v>660</v>
      </c>
      <c r="GP19" s="71">
        <v>57</v>
      </c>
      <c r="GQ19" s="405">
        <f t="shared" si="24"/>
        <v>52588.200000000004</v>
      </c>
      <c r="GT19" s="106"/>
      <c r="GU19" s="15">
        <v>12</v>
      </c>
      <c r="GV19" s="92">
        <v>938.9</v>
      </c>
      <c r="GW19" s="246">
        <v>44824</v>
      </c>
      <c r="GX19" s="92">
        <v>938.9</v>
      </c>
      <c r="GY19" s="95" t="s">
        <v>681</v>
      </c>
      <c r="GZ19" s="71">
        <v>57</v>
      </c>
      <c r="HA19" s="405">
        <f t="shared" si="25"/>
        <v>53517.299999999996</v>
      </c>
      <c r="HD19" s="106"/>
      <c r="HE19" s="15">
        <v>12</v>
      </c>
      <c r="HF19" s="92">
        <v>877.2</v>
      </c>
      <c r="HG19" s="246">
        <v>44824</v>
      </c>
      <c r="HH19" s="92">
        <v>877.2</v>
      </c>
      <c r="HI19" s="95" t="s">
        <v>755</v>
      </c>
      <c r="HJ19" s="71">
        <v>57</v>
      </c>
      <c r="HK19" s="405">
        <f t="shared" si="26"/>
        <v>50000.4</v>
      </c>
      <c r="HN19" s="106"/>
      <c r="HO19" s="15">
        <v>12</v>
      </c>
      <c r="HP19" s="92">
        <v>958.44</v>
      </c>
      <c r="HQ19" s="246">
        <v>44824</v>
      </c>
      <c r="HR19" s="92">
        <v>958.44</v>
      </c>
      <c r="HS19" s="294" t="s">
        <v>686</v>
      </c>
      <c r="HT19" s="71">
        <v>57</v>
      </c>
      <c r="HU19" s="245">
        <f t="shared" si="27"/>
        <v>54631.08</v>
      </c>
      <c r="HX19" s="94"/>
      <c r="HY19" s="15">
        <v>12</v>
      </c>
      <c r="HZ19" s="69">
        <v>899.47</v>
      </c>
      <c r="IA19" s="254">
        <v>44825</v>
      </c>
      <c r="IB19" s="69">
        <v>899.47</v>
      </c>
      <c r="IC19" s="70" t="s">
        <v>698</v>
      </c>
      <c r="ID19" s="71">
        <v>57</v>
      </c>
      <c r="IE19" s="405">
        <f t="shared" si="5"/>
        <v>51269.79</v>
      </c>
      <c r="IH19" s="94"/>
      <c r="II19" s="15">
        <v>12</v>
      </c>
      <c r="IJ19" s="69">
        <v>914</v>
      </c>
      <c r="IK19" s="254">
        <v>44826</v>
      </c>
      <c r="IL19" s="69">
        <v>914</v>
      </c>
      <c r="IM19" s="70" t="s">
        <v>701</v>
      </c>
      <c r="IN19" s="71">
        <v>57</v>
      </c>
      <c r="IO19" s="405">
        <f t="shared" si="28"/>
        <v>52098</v>
      </c>
      <c r="IR19" s="106"/>
      <c r="IS19" s="15">
        <v>12</v>
      </c>
      <c r="IT19" s="92">
        <v>913.5</v>
      </c>
      <c r="IU19" s="135">
        <v>44828</v>
      </c>
      <c r="IV19" s="92">
        <v>913.5</v>
      </c>
      <c r="IW19" s="370" t="s">
        <v>717</v>
      </c>
      <c r="IX19" s="71">
        <v>57</v>
      </c>
      <c r="IY19" s="245">
        <f t="shared" si="29"/>
        <v>52069.5</v>
      </c>
      <c r="IZ19" s="92"/>
      <c r="JA19" s="105"/>
      <c r="JB19" s="106"/>
      <c r="JC19" s="15">
        <v>12</v>
      </c>
      <c r="JD19" s="92">
        <v>891.3</v>
      </c>
      <c r="JE19" s="254">
        <v>44827</v>
      </c>
      <c r="JF19" s="92">
        <v>891.3</v>
      </c>
      <c r="JG19" s="70" t="s">
        <v>709</v>
      </c>
      <c r="JH19" s="71">
        <v>57</v>
      </c>
      <c r="JI19" s="405">
        <f t="shared" si="30"/>
        <v>50804.1</v>
      </c>
      <c r="JL19" s="106"/>
      <c r="JM19" s="15">
        <v>12</v>
      </c>
      <c r="JN19" s="92">
        <v>904.46</v>
      </c>
      <c r="JO19" s="246">
        <v>44831</v>
      </c>
      <c r="JP19" s="92">
        <v>904.46</v>
      </c>
      <c r="JQ19" s="70" t="s">
        <v>727</v>
      </c>
      <c r="JR19" s="71">
        <v>57</v>
      </c>
      <c r="JS19" s="405">
        <f t="shared" si="31"/>
        <v>51554.22</v>
      </c>
      <c r="JV19" s="94"/>
      <c r="JW19" s="15">
        <v>12</v>
      </c>
      <c r="JX19" s="69">
        <v>911.7</v>
      </c>
      <c r="JY19" s="254">
        <v>44832</v>
      </c>
      <c r="JZ19" s="69">
        <v>911.7</v>
      </c>
      <c r="KA19" s="70" t="s">
        <v>732</v>
      </c>
      <c r="KB19" s="71">
        <v>57</v>
      </c>
      <c r="KC19" s="405">
        <f t="shared" si="32"/>
        <v>51966.9</v>
      </c>
      <c r="KF19" s="94"/>
      <c r="KG19" s="15">
        <v>12</v>
      </c>
      <c r="KH19" s="69">
        <v>940.7</v>
      </c>
      <c r="KI19" s="254">
        <v>44833</v>
      </c>
      <c r="KJ19" s="69">
        <v>940.7</v>
      </c>
      <c r="KK19" s="70" t="s">
        <v>733</v>
      </c>
      <c r="KL19" s="71">
        <v>57</v>
      </c>
      <c r="KM19" s="405">
        <f t="shared" si="33"/>
        <v>53619.9</v>
      </c>
      <c r="KP19" s="94"/>
      <c r="KQ19" s="15">
        <v>12</v>
      </c>
      <c r="KR19" s="69">
        <v>899</v>
      </c>
      <c r="KS19" s="254">
        <v>44834</v>
      </c>
      <c r="KT19" s="934">
        <v>899</v>
      </c>
      <c r="KU19" s="932" t="s">
        <v>743</v>
      </c>
      <c r="KV19" s="933">
        <v>57</v>
      </c>
      <c r="KW19" s="405">
        <f t="shared" si="34"/>
        <v>51243</v>
      </c>
      <c r="KZ19" s="106"/>
      <c r="LA19" s="15">
        <v>12</v>
      </c>
      <c r="LB19" s="92">
        <v>949.82</v>
      </c>
      <c r="LC19" s="246">
        <v>44834</v>
      </c>
      <c r="LD19" s="69">
        <v>949.82</v>
      </c>
      <c r="LE19" s="95" t="s">
        <v>746</v>
      </c>
      <c r="LF19" s="71">
        <v>57</v>
      </c>
      <c r="LG19" s="405">
        <f t="shared" si="35"/>
        <v>54139.740000000005</v>
      </c>
      <c r="LJ19" s="106"/>
      <c r="LK19" s="15">
        <v>12</v>
      </c>
      <c r="LL19" s="92">
        <v>874.5</v>
      </c>
      <c r="LM19" s="246">
        <v>44834</v>
      </c>
      <c r="LN19" s="92">
        <v>874.5</v>
      </c>
      <c r="LO19" s="95" t="s">
        <v>740</v>
      </c>
      <c r="LP19" s="71">
        <v>57</v>
      </c>
      <c r="LQ19" s="405">
        <f t="shared" si="36"/>
        <v>49846.5</v>
      </c>
      <c r="LT19" s="106"/>
      <c r="LU19" s="15">
        <v>12</v>
      </c>
      <c r="LV19" s="92">
        <v>898.1</v>
      </c>
      <c r="LW19" s="246">
        <v>44835</v>
      </c>
      <c r="LX19" s="92">
        <v>898.1</v>
      </c>
      <c r="LY19" s="95" t="s">
        <v>753</v>
      </c>
      <c r="LZ19" s="71">
        <v>57</v>
      </c>
      <c r="MA19" s="405">
        <f t="shared" si="37"/>
        <v>51191.700000000004</v>
      </c>
      <c r="MB19" s="405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 I B P </v>
      </c>
      <c r="D20" s="102" t="str">
        <f t="shared" si="58"/>
        <v>PED. 87283140</v>
      </c>
      <c r="E20" s="135">
        <f t="shared" si="58"/>
        <v>44819</v>
      </c>
      <c r="F20" s="86">
        <f t="shared" si="58"/>
        <v>18437</v>
      </c>
      <c r="G20" s="73">
        <f t="shared" si="58"/>
        <v>20</v>
      </c>
      <c r="H20" s="48">
        <f t="shared" si="58"/>
        <v>18473.8</v>
      </c>
      <c r="I20" s="105">
        <f t="shared" si="58"/>
        <v>-36.799999999999272</v>
      </c>
      <c r="L20" s="94"/>
      <c r="M20" s="15">
        <v>13</v>
      </c>
      <c r="N20" s="69">
        <v>921.7</v>
      </c>
      <c r="O20" s="254">
        <v>44803</v>
      </c>
      <c r="P20" s="69">
        <v>921.7</v>
      </c>
      <c r="Q20" s="70" t="s">
        <v>506</v>
      </c>
      <c r="R20" s="71">
        <v>53</v>
      </c>
      <c r="S20" s="405">
        <f t="shared" si="7"/>
        <v>48850.100000000006</v>
      </c>
      <c r="V20" s="94"/>
      <c r="W20" s="15">
        <v>13</v>
      </c>
      <c r="X20" s="69">
        <v>870.9</v>
      </c>
      <c r="Y20" s="254">
        <v>44806</v>
      </c>
      <c r="Z20" s="69">
        <v>870.9</v>
      </c>
      <c r="AA20" s="70" t="s">
        <v>548</v>
      </c>
      <c r="AB20" s="71">
        <v>51</v>
      </c>
      <c r="AC20" s="405">
        <f t="shared" si="8"/>
        <v>44415.9</v>
      </c>
      <c r="AF20" s="106"/>
      <c r="AG20" s="15">
        <v>13</v>
      </c>
      <c r="AH20" s="92">
        <v>936.2</v>
      </c>
      <c r="AI20" s="246">
        <v>44806</v>
      </c>
      <c r="AJ20" s="92">
        <v>936.2</v>
      </c>
      <c r="AK20" s="95" t="s">
        <v>535</v>
      </c>
      <c r="AL20" s="71">
        <v>49</v>
      </c>
      <c r="AM20" s="405">
        <f t="shared" si="9"/>
        <v>45873.8</v>
      </c>
      <c r="AP20" s="106"/>
      <c r="AQ20" s="15">
        <v>13</v>
      </c>
      <c r="AR20" s="92">
        <v>919.88</v>
      </c>
      <c r="AS20" s="246">
        <v>44803</v>
      </c>
      <c r="AT20" s="92">
        <v>919.88</v>
      </c>
      <c r="AU20" s="95" t="s">
        <v>513</v>
      </c>
      <c r="AV20" s="71">
        <v>53</v>
      </c>
      <c r="AW20" s="405">
        <f t="shared" si="10"/>
        <v>48753.64</v>
      </c>
      <c r="AZ20" s="106"/>
      <c r="BA20" s="15">
        <v>13</v>
      </c>
      <c r="BB20" s="92">
        <v>958.44</v>
      </c>
      <c r="BC20" s="246">
        <v>44805</v>
      </c>
      <c r="BD20" s="92">
        <v>958.44</v>
      </c>
      <c r="BE20" s="95" t="s">
        <v>532</v>
      </c>
      <c r="BF20" s="71">
        <v>49</v>
      </c>
      <c r="BG20" s="405">
        <f t="shared" si="11"/>
        <v>46963.560000000005</v>
      </c>
      <c r="BJ20" s="754"/>
      <c r="BK20" s="15">
        <v>13</v>
      </c>
      <c r="BL20" s="69">
        <v>910.8</v>
      </c>
      <c r="BM20" s="135">
        <v>44807</v>
      </c>
      <c r="BN20" s="69">
        <v>910.8</v>
      </c>
      <c r="BO20" s="95" t="s">
        <v>558</v>
      </c>
      <c r="BP20" s="290">
        <v>51</v>
      </c>
      <c r="BQ20" s="496">
        <f t="shared" si="12"/>
        <v>46450.799999999996</v>
      </c>
      <c r="BR20" s="405"/>
      <c r="BT20" s="106"/>
      <c r="BU20" s="15">
        <v>13</v>
      </c>
      <c r="BV20" s="92">
        <v>919</v>
      </c>
      <c r="BW20" s="291">
        <v>44809</v>
      </c>
      <c r="BX20" s="92">
        <v>919</v>
      </c>
      <c r="BY20" s="621" t="s">
        <v>567</v>
      </c>
      <c r="BZ20" s="292">
        <v>51</v>
      </c>
      <c r="CA20" s="405">
        <f t="shared" si="13"/>
        <v>46869</v>
      </c>
      <c r="CD20" s="214"/>
      <c r="CE20" s="15">
        <v>13</v>
      </c>
      <c r="CF20" s="92">
        <v>907.2</v>
      </c>
      <c r="CG20" s="291">
        <v>44813</v>
      </c>
      <c r="CH20" s="92">
        <v>907.2</v>
      </c>
      <c r="CI20" s="293" t="s">
        <v>587</v>
      </c>
      <c r="CJ20" s="292">
        <v>53</v>
      </c>
      <c r="CK20" s="245">
        <f t="shared" si="14"/>
        <v>48081.600000000006</v>
      </c>
      <c r="CN20" s="423"/>
      <c r="CO20" s="15">
        <v>13</v>
      </c>
      <c r="CP20" s="92">
        <v>899.9</v>
      </c>
      <c r="CQ20" s="291">
        <v>44811</v>
      </c>
      <c r="CR20" s="92">
        <v>899.9</v>
      </c>
      <c r="CS20" s="293" t="s">
        <v>542</v>
      </c>
      <c r="CT20" s="292">
        <v>51</v>
      </c>
      <c r="CU20" s="410">
        <f t="shared" si="48"/>
        <v>45894.9</v>
      </c>
      <c r="CX20" s="106"/>
      <c r="CY20" s="15">
        <v>13</v>
      </c>
      <c r="CZ20" s="92">
        <v>910.8</v>
      </c>
      <c r="DA20" s="246">
        <v>44812</v>
      </c>
      <c r="DB20" s="92">
        <v>910.8</v>
      </c>
      <c r="DC20" s="95" t="s">
        <v>583</v>
      </c>
      <c r="DD20" s="71">
        <v>53</v>
      </c>
      <c r="DE20" s="405">
        <f t="shared" si="15"/>
        <v>48272.399999999994</v>
      </c>
      <c r="DH20" s="106"/>
      <c r="DI20" s="15">
        <v>13</v>
      </c>
      <c r="DJ20" s="92">
        <v>935.3</v>
      </c>
      <c r="DK20" s="291">
        <v>44816</v>
      </c>
      <c r="DL20" s="918">
        <v>935.3</v>
      </c>
      <c r="DM20" s="919" t="s">
        <v>606</v>
      </c>
      <c r="DN20" s="292">
        <v>54</v>
      </c>
      <c r="DO20" s="410">
        <f t="shared" si="16"/>
        <v>50506.2</v>
      </c>
      <c r="DR20" s="106"/>
      <c r="DS20" s="15">
        <v>13</v>
      </c>
      <c r="DT20" s="92">
        <v>909.4</v>
      </c>
      <c r="DU20" s="291">
        <v>44814</v>
      </c>
      <c r="DV20" s="92">
        <v>909.4</v>
      </c>
      <c r="DW20" s="293" t="s">
        <v>593</v>
      </c>
      <c r="DX20" s="292">
        <v>53</v>
      </c>
      <c r="DY20" s="405">
        <f t="shared" si="17"/>
        <v>48198.2</v>
      </c>
      <c r="EB20" s="106"/>
      <c r="EC20" s="15">
        <v>13</v>
      </c>
      <c r="ED20" s="69">
        <v>913.08</v>
      </c>
      <c r="EE20" s="254">
        <v>44814</v>
      </c>
      <c r="EF20" s="69">
        <v>913.08</v>
      </c>
      <c r="EG20" s="70" t="s">
        <v>604</v>
      </c>
      <c r="EH20" s="71">
        <v>54</v>
      </c>
      <c r="EI20" s="405">
        <f t="shared" si="18"/>
        <v>49306.32</v>
      </c>
      <c r="EL20" s="106"/>
      <c r="EM20" s="15">
        <v>13</v>
      </c>
      <c r="EN20" s="69">
        <v>885.4</v>
      </c>
      <c r="EO20" s="254">
        <v>44817</v>
      </c>
      <c r="EP20" s="69">
        <v>885.4</v>
      </c>
      <c r="EQ20" s="70" t="s">
        <v>622</v>
      </c>
      <c r="ER20" s="71">
        <v>55</v>
      </c>
      <c r="ES20" s="405">
        <f t="shared" si="19"/>
        <v>48697</v>
      </c>
      <c r="EV20" s="106"/>
      <c r="EW20" s="15">
        <v>13</v>
      </c>
      <c r="EX20" s="92">
        <v>933.5</v>
      </c>
      <c r="EY20" s="246">
        <v>44817</v>
      </c>
      <c r="EZ20" s="92">
        <v>933.5</v>
      </c>
      <c r="FA20" s="70" t="s">
        <v>628</v>
      </c>
      <c r="FB20" s="71">
        <v>55</v>
      </c>
      <c r="FC20" s="405">
        <f t="shared" si="20"/>
        <v>51342.5</v>
      </c>
      <c r="FF20" s="106"/>
      <c r="FG20" s="15">
        <v>13</v>
      </c>
      <c r="FH20" s="92">
        <v>949.82</v>
      </c>
      <c r="FI20" s="246">
        <v>44817</v>
      </c>
      <c r="FJ20" s="92">
        <v>949.82</v>
      </c>
      <c r="FK20" s="70" t="s">
        <v>625</v>
      </c>
      <c r="FL20" s="71">
        <v>55</v>
      </c>
      <c r="FM20" s="245">
        <f t="shared" si="21"/>
        <v>52240.100000000006</v>
      </c>
      <c r="FP20" s="106"/>
      <c r="FQ20" s="15">
        <v>13</v>
      </c>
      <c r="FR20" s="92">
        <v>894.48</v>
      </c>
      <c r="FS20" s="246">
        <v>44819</v>
      </c>
      <c r="FT20" s="92">
        <v>894.48</v>
      </c>
      <c r="FU20" s="70" t="s">
        <v>650</v>
      </c>
      <c r="FV20" s="71">
        <v>57</v>
      </c>
      <c r="FW20" s="405">
        <f t="shared" si="22"/>
        <v>50985.36</v>
      </c>
      <c r="FX20" s="71"/>
      <c r="FZ20" s="106"/>
      <c r="GA20" s="15">
        <v>13</v>
      </c>
      <c r="GB20" s="69">
        <v>919</v>
      </c>
      <c r="GC20" s="254">
        <v>44821</v>
      </c>
      <c r="GD20" s="69">
        <v>919</v>
      </c>
      <c r="GE20" s="70" t="s">
        <v>664</v>
      </c>
      <c r="GF20" s="71">
        <v>57</v>
      </c>
      <c r="GG20" s="245">
        <f t="shared" si="23"/>
        <v>52383</v>
      </c>
      <c r="GJ20" s="106"/>
      <c r="GK20" s="15">
        <v>13</v>
      </c>
      <c r="GL20" s="359">
        <v>874.5</v>
      </c>
      <c r="GM20" s="246">
        <v>44820</v>
      </c>
      <c r="GN20" s="359">
        <v>874.5</v>
      </c>
      <c r="GO20" s="95" t="s">
        <v>660</v>
      </c>
      <c r="GP20" s="71">
        <v>57</v>
      </c>
      <c r="GQ20" s="405">
        <f t="shared" si="24"/>
        <v>49846.5</v>
      </c>
      <c r="GT20" s="106"/>
      <c r="GU20" s="15">
        <v>13</v>
      </c>
      <c r="GV20" s="92">
        <v>902.6</v>
      </c>
      <c r="GW20" s="246">
        <v>44824</v>
      </c>
      <c r="GX20" s="92">
        <v>902.6</v>
      </c>
      <c r="GY20" s="95" t="s">
        <v>681</v>
      </c>
      <c r="GZ20" s="71">
        <v>57</v>
      </c>
      <c r="HA20" s="405">
        <f t="shared" si="25"/>
        <v>51448.200000000004</v>
      </c>
      <c r="HD20" s="106"/>
      <c r="HE20" s="15">
        <v>13</v>
      </c>
      <c r="HF20" s="92">
        <v>869.1</v>
      </c>
      <c r="HG20" s="246">
        <v>44824</v>
      </c>
      <c r="HH20" s="92">
        <v>869.1</v>
      </c>
      <c r="HI20" s="95" t="s">
        <v>755</v>
      </c>
      <c r="HJ20" s="71">
        <v>57</v>
      </c>
      <c r="HK20" s="245">
        <f t="shared" si="26"/>
        <v>49538.700000000004</v>
      </c>
      <c r="HN20" s="106"/>
      <c r="HO20" s="15">
        <v>13</v>
      </c>
      <c r="HP20" s="92">
        <v>916.71</v>
      </c>
      <c r="HQ20" s="246">
        <v>44824</v>
      </c>
      <c r="HR20" s="92">
        <v>916.71</v>
      </c>
      <c r="HS20" s="294" t="s">
        <v>686</v>
      </c>
      <c r="HT20" s="71">
        <v>57</v>
      </c>
      <c r="HU20" s="245">
        <f t="shared" si="27"/>
        <v>52252.47</v>
      </c>
      <c r="HX20" s="94"/>
      <c r="HY20" s="15">
        <v>13</v>
      </c>
      <c r="HZ20" s="69">
        <v>928.95</v>
      </c>
      <c r="IA20" s="254">
        <v>44825</v>
      </c>
      <c r="IB20" s="69">
        <v>928.95</v>
      </c>
      <c r="IC20" s="70" t="s">
        <v>698</v>
      </c>
      <c r="ID20" s="71">
        <v>57</v>
      </c>
      <c r="IE20" s="405">
        <f t="shared" si="5"/>
        <v>52950.15</v>
      </c>
      <c r="IH20" s="94"/>
      <c r="II20" s="15">
        <v>13</v>
      </c>
      <c r="IJ20" s="69">
        <v>909</v>
      </c>
      <c r="IK20" s="254">
        <v>44826</v>
      </c>
      <c r="IL20" s="69">
        <v>909</v>
      </c>
      <c r="IM20" s="70" t="s">
        <v>701</v>
      </c>
      <c r="IN20" s="71">
        <v>57</v>
      </c>
      <c r="IO20" s="405">
        <f t="shared" si="28"/>
        <v>51813</v>
      </c>
      <c r="IR20" s="106"/>
      <c r="IS20" s="15">
        <v>13</v>
      </c>
      <c r="IT20" s="92">
        <v>869.1</v>
      </c>
      <c r="IU20" s="135">
        <v>44828</v>
      </c>
      <c r="IV20" s="92">
        <v>869.1</v>
      </c>
      <c r="IW20" s="370" t="s">
        <v>716</v>
      </c>
      <c r="IX20" s="71">
        <v>57</v>
      </c>
      <c r="IY20" s="245">
        <f t="shared" si="29"/>
        <v>49538.700000000004</v>
      </c>
      <c r="IZ20" s="92"/>
      <c r="JB20" s="106"/>
      <c r="JC20" s="15">
        <v>13</v>
      </c>
      <c r="JD20" s="92">
        <v>853.2</v>
      </c>
      <c r="JE20" s="254">
        <v>44827</v>
      </c>
      <c r="JF20" s="92">
        <v>853.2</v>
      </c>
      <c r="JG20" s="70" t="s">
        <v>710</v>
      </c>
      <c r="JH20" s="71">
        <v>57</v>
      </c>
      <c r="JI20" s="405">
        <f t="shared" si="30"/>
        <v>48632.4</v>
      </c>
      <c r="JL20" s="106"/>
      <c r="JM20" s="15">
        <v>13</v>
      </c>
      <c r="JN20" s="92">
        <v>939.84</v>
      </c>
      <c r="JO20" s="246">
        <v>44831</v>
      </c>
      <c r="JP20" s="92">
        <v>939.84</v>
      </c>
      <c r="JQ20" s="70" t="s">
        <v>727</v>
      </c>
      <c r="JR20" s="71">
        <v>57</v>
      </c>
      <c r="JS20" s="405">
        <f t="shared" si="31"/>
        <v>53570.880000000005</v>
      </c>
      <c r="JV20" s="94"/>
      <c r="JW20" s="15">
        <v>13</v>
      </c>
      <c r="JX20" s="69">
        <v>940.7</v>
      </c>
      <c r="JY20" s="254">
        <v>44832</v>
      </c>
      <c r="JZ20" s="69">
        <v>940.7</v>
      </c>
      <c r="KA20" s="70" t="s">
        <v>732</v>
      </c>
      <c r="KB20" s="71">
        <v>57</v>
      </c>
      <c r="KC20" s="405">
        <f t="shared" si="32"/>
        <v>53619.9</v>
      </c>
      <c r="KF20" s="94"/>
      <c r="KG20" s="15">
        <v>13</v>
      </c>
      <c r="KH20" s="69">
        <v>905.4</v>
      </c>
      <c r="KI20" s="254">
        <v>44833</v>
      </c>
      <c r="KJ20" s="69">
        <v>905.4</v>
      </c>
      <c r="KK20" s="70" t="s">
        <v>733</v>
      </c>
      <c r="KL20" s="71">
        <v>57</v>
      </c>
      <c r="KM20" s="405">
        <f t="shared" si="33"/>
        <v>51607.799999999996</v>
      </c>
      <c r="KP20" s="94"/>
      <c r="KQ20" s="15">
        <v>13</v>
      </c>
      <c r="KR20" s="69">
        <v>899.9</v>
      </c>
      <c r="KS20" s="254">
        <v>44834</v>
      </c>
      <c r="KT20" s="934">
        <v>899.9</v>
      </c>
      <c r="KU20" s="932" t="s">
        <v>742</v>
      </c>
      <c r="KV20" s="933">
        <v>57</v>
      </c>
      <c r="KW20" s="405">
        <f t="shared" si="34"/>
        <v>51294.299999999996</v>
      </c>
      <c r="KZ20" s="106"/>
      <c r="LA20" s="15">
        <v>13</v>
      </c>
      <c r="LB20" s="69">
        <v>939.38</v>
      </c>
      <c r="LC20" s="246">
        <v>44834</v>
      </c>
      <c r="LD20" s="92">
        <v>939.38</v>
      </c>
      <c r="LE20" s="95" t="s">
        <v>743</v>
      </c>
      <c r="LF20" s="71">
        <v>57</v>
      </c>
      <c r="LG20" s="405">
        <f t="shared" si="35"/>
        <v>53544.659999999996</v>
      </c>
      <c r="LJ20" s="106"/>
      <c r="LK20" s="15">
        <v>13</v>
      </c>
      <c r="LL20" s="92">
        <v>870</v>
      </c>
      <c r="LM20" s="246">
        <v>44834</v>
      </c>
      <c r="LN20" s="92">
        <v>870</v>
      </c>
      <c r="LO20" s="95" t="s">
        <v>740</v>
      </c>
      <c r="LP20" s="71">
        <v>57</v>
      </c>
      <c r="LQ20" s="405">
        <f t="shared" si="36"/>
        <v>49590</v>
      </c>
      <c r="LT20" s="106"/>
      <c r="LU20" s="15">
        <v>13</v>
      </c>
      <c r="LV20" s="92">
        <v>880.9</v>
      </c>
      <c r="LW20" s="246">
        <v>44835</v>
      </c>
      <c r="LX20" s="92">
        <v>880.9</v>
      </c>
      <c r="LY20" s="95" t="s">
        <v>753</v>
      </c>
      <c r="LZ20" s="71">
        <v>57</v>
      </c>
      <c r="MA20" s="405">
        <f t="shared" si="37"/>
        <v>50211.299999999996</v>
      </c>
      <c r="MB20" s="405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 FOODS</v>
      </c>
      <c r="C21" s="75" t="str">
        <f t="shared" si="59"/>
        <v>Seaboard</v>
      </c>
      <c r="D21" s="301" t="str">
        <f>GA5</f>
        <v>PED. 87260526</v>
      </c>
      <c r="E21" s="135">
        <f t="shared" si="59"/>
        <v>44819</v>
      </c>
      <c r="F21" s="86">
        <f t="shared" si="59"/>
        <v>18904.29</v>
      </c>
      <c r="G21" s="73">
        <f t="shared" si="59"/>
        <v>21</v>
      </c>
      <c r="H21" s="48">
        <f t="shared" si="59"/>
        <v>18913.900000000001</v>
      </c>
      <c r="I21" s="105">
        <f t="shared" si="59"/>
        <v>-9.6100000000005821</v>
      </c>
      <c r="L21" s="94"/>
      <c r="M21" s="15">
        <v>14</v>
      </c>
      <c r="N21" s="69">
        <v>889</v>
      </c>
      <c r="O21" s="254">
        <v>44803</v>
      </c>
      <c r="P21" s="69">
        <v>889</v>
      </c>
      <c r="Q21" s="70" t="s">
        <v>506</v>
      </c>
      <c r="R21" s="71">
        <v>53</v>
      </c>
      <c r="S21" s="405">
        <f t="shared" si="7"/>
        <v>47117</v>
      </c>
      <c r="V21" s="94"/>
      <c r="W21" s="15">
        <v>14</v>
      </c>
      <c r="X21" s="69">
        <v>933.5</v>
      </c>
      <c r="Y21" s="254">
        <v>44806</v>
      </c>
      <c r="Z21" s="69">
        <v>933.5</v>
      </c>
      <c r="AA21" s="70" t="s">
        <v>548</v>
      </c>
      <c r="AB21" s="71">
        <v>51</v>
      </c>
      <c r="AC21" s="405">
        <f t="shared" si="8"/>
        <v>47608.5</v>
      </c>
      <c r="AF21" s="106"/>
      <c r="AG21" s="15">
        <v>14</v>
      </c>
      <c r="AH21" s="92">
        <v>899.5</v>
      </c>
      <c r="AI21" s="246">
        <v>44805</v>
      </c>
      <c r="AJ21" s="92">
        <v>899.5</v>
      </c>
      <c r="AK21" s="95" t="s">
        <v>534</v>
      </c>
      <c r="AL21" s="71">
        <v>49</v>
      </c>
      <c r="AM21" s="405">
        <f t="shared" si="9"/>
        <v>44075.5</v>
      </c>
      <c r="AP21" s="106"/>
      <c r="AQ21" s="15">
        <v>14</v>
      </c>
      <c r="AR21" s="92">
        <v>946.64</v>
      </c>
      <c r="AS21" s="246">
        <v>44803</v>
      </c>
      <c r="AT21" s="92">
        <v>946.64</v>
      </c>
      <c r="AU21" s="95" t="s">
        <v>515</v>
      </c>
      <c r="AV21" s="71">
        <v>53</v>
      </c>
      <c r="AW21" s="405">
        <f t="shared" si="10"/>
        <v>50171.92</v>
      </c>
      <c r="AZ21" s="106"/>
      <c r="BA21" s="15">
        <v>14</v>
      </c>
      <c r="BB21" s="92">
        <v>942.56</v>
      </c>
      <c r="BC21" s="246">
        <v>44804</v>
      </c>
      <c r="BD21" s="92">
        <v>942.56</v>
      </c>
      <c r="BE21" s="95" t="s">
        <v>524</v>
      </c>
      <c r="BF21" s="71">
        <v>49</v>
      </c>
      <c r="BG21" s="405">
        <f t="shared" si="11"/>
        <v>46185.439999999995</v>
      </c>
      <c r="BJ21" s="754"/>
      <c r="BK21" s="15">
        <v>14</v>
      </c>
      <c r="BL21" s="92">
        <v>917.2</v>
      </c>
      <c r="BM21" s="135">
        <v>44807</v>
      </c>
      <c r="BN21" s="92">
        <v>917.2</v>
      </c>
      <c r="BO21" s="95" t="s">
        <v>539</v>
      </c>
      <c r="BP21" s="290">
        <v>51</v>
      </c>
      <c r="BQ21" s="496">
        <f t="shared" si="12"/>
        <v>46777.200000000004</v>
      </c>
      <c r="BR21" s="405"/>
      <c r="BT21" s="106"/>
      <c r="BU21" s="15">
        <v>14</v>
      </c>
      <c r="BV21" s="92">
        <v>920.8</v>
      </c>
      <c r="BW21" s="291">
        <v>44809</v>
      </c>
      <c r="BX21" s="92">
        <v>920.8</v>
      </c>
      <c r="BY21" s="621" t="s">
        <v>567</v>
      </c>
      <c r="BZ21" s="292">
        <v>51</v>
      </c>
      <c r="CA21" s="405">
        <f t="shared" si="13"/>
        <v>46960.799999999996</v>
      </c>
      <c r="CD21" s="214"/>
      <c r="CE21" s="15">
        <v>14</v>
      </c>
      <c r="CF21" s="92">
        <v>900.8</v>
      </c>
      <c r="CG21" s="291">
        <v>44812</v>
      </c>
      <c r="CH21" s="92">
        <v>900.8</v>
      </c>
      <c r="CI21" s="293" t="s">
        <v>579</v>
      </c>
      <c r="CJ21" s="292">
        <v>53</v>
      </c>
      <c r="CK21" s="245">
        <f t="shared" si="14"/>
        <v>47742.399999999994</v>
      </c>
      <c r="CN21" s="423"/>
      <c r="CO21" s="15">
        <v>14</v>
      </c>
      <c r="CP21" s="92">
        <v>895.4</v>
      </c>
      <c r="CQ21" s="291">
        <v>44811</v>
      </c>
      <c r="CR21" s="92">
        <v>895.4</v>
      </c>
      <c r="CS21" s="293" t="s">
        <v>542</v>
      </c>
      <c r="CT21" s="292">
        <v>51</v>
      </c>
      <c r="CU21" s="410">
        <f t="shared" si="48"/>
        <v>45665.4</v>
      </c>
      <c r="CX21" s="106"/>
      <c r="CY21" s="15">
        <v>14</v>
      </c>
      <c r="CZ21" s="92">
        <v>939.8</v>
      </c>
      <c r="DA21" s="246">
        <v>44812</v>
      </c>
      <c r="DB21" s="92">
        <v>939.8</v>
      </c>
      <c r="DC21" s="95" t="s">
        <v>583</v>
      </c>
      <c r="DD21" s="71">
        <v>53</v>
      </c>
      <c r="DE21" s="405">
        <f t="shared" si="15"/>
        <v>49809.399999999994</v>
      </c>
      <c r="DH21" s="106"/>
      <c r="DI21" s="15">
        <v>14</v>
      </c>
      <c r="DJ21" s="92">
        <v>900.8</v>
      </c>
      <c r="DK21" s="291">
        <v>44816</v>
      </c>
      <c r="DL21" s="918">
        <v>900.8</v>
      </c>
      <c r="DM21" s="919" t="s">
        <v>606</v>
      </c>
      <c r="DN21" s="292">
        <v>54</v>
      </c>
      <c r="DO21" s="410">
        <f t="shared" si="16"/>
        <v>48643.199999999997</v>
      </c>
      <c r="DR21" s="106"/>
      <c r="DS21" s="15">
        <v>14</v>
      </c>
      <c r="DT21" s="92">
        <v>914.9</v>
      </c>
      <c r="DU21" s="291">
        <v>44814</v>
      </c>
      <c r="DV21" s="92">
        <v>914.9</v>
      </c>
      <c r="DW21" s="293" t="s">
        <v>593</v>
      </c>
      <c r="DX21" s="292">
        <v>53</v>
      </c>
      <c r="DY21" s="405">
        <f t="shared" si="17"/>
        <v>48489.7</v>
      </c>
      <c r="EB21" s="106"/>
      <c r="EC21" s="15">
        <v>14</v>
      </c>
      <c r="ED21" s="69">
        <v>934.85</v>
      </c>
      <c r="EE21" s="254">
        <v>44814</v>
      </c>
      <c r="EF21" s="69">
        <v>934.85</v>
      </c>
      <c r="EG21" s="70" t="s">
        <v>602</v>
      </c>
      <c r="EH21" s="71">
        <v>53</v>
      </c>
      <c r="EI21" s="405">
        <f t="shared" si="18"/>
        <v>49547.05</v>
      </c>
      <c r="EL21" s="106"/>
      <c r="EM21" s="15">
        <v>14</v>
      </c>
      <c r="EN21" s="69">
        <v>889</v>
      </c>
      <c r="EO21" s="254">
        <v>44817</v>
      </c>
      <c r="EP21" s="69">
        <v>889</v>
      </c>
      <c r="EQ21" s="70" t="s">
        <v>622</v>
      </c>
      <c r="ER21" s="71">
        <v>55</v>
      </c>
      <c r="ES21" s="405">
        <f t="shared" si="19"/>
        <v>48895</v>
      </c>
      <c r="EV21" s="106"/>
      <c r="EW21" s="15">
        <v>14</v>
      </c>
      <c r="EX21" s="92">
        <v>940.7</v>
      </c>
      <c r="EY21" s="246">
        <v>44817</v>
      </c>
      <c r="EZ21" s="92">
        <v>940.7</v>
      </c>
      <c r="FA21" s="70" t="s">
        <v>628</v>
      </c>
      <c r="FB21" s="71">
        <v>55</v>
      </c>
      <c r="FC21" s="405">
        <f t="shared" si="20"/>
        <v>51738.5</v>
      </c>
      <c r="FF21" s="106"/>
      <c r="FG21" s="15">
        <v>14</v>
      </c>
      <c r="FH21" s="92">
        <v>939.38</v>
      </c>
      <c r="FI21" s="246">
        <v>44817</v>
      </c>
      <c r="FJ21" s="92">
        <v>939.38</v>
      </c>
      <c r="FK21" s="70" t="s">
        <v>625</v>
      </c>
      <c r="FL21" s="71">
        <v>55</v>
      </c>
      <c r="FM21" s="245">
        <f t="shared" si="21"/>
        <v>51665.9</v>
      </c>
      <c r="FP21" s="106"/>
      <c r="FQ21" s="15">
        <v>14</v>
      </c>
      <c r="FR21" s="92">
        <v>931.67</v>
      </c>
      <c r="FS21" s="246">
        <v>44819</v>
      </c>
      <c r="FT21" s="92">
        <v>931.67</v>
      </c>
      <c r="FU21" s="70" t="s">
        <v>650</v>
      </c>
      <c r="FV21" s="71">
        <v>57</v>
      </c>
      <c r="FW21" s="405">
        <f t="shared" si="22"/>
        <v>53105.189999999995</v>
      </c>
      <c r="FX21" s="71"/>
      <c r="FZ21" s="106"/>
      <c r="GA21" s="15">
        <v>14</v>
      </c>
      <c r="GB21" s="69">
        <v>880</v>
      </c>
      <c r="GC21" s="254">
        <v>44821</v>
      </c>
      <c r="GD21" s="69">
        <v>880</v>
      </c>
      <c r="GE21" s="70" t="s">
        <v>668</v>
      </c>
      <c r="GF21" s="71">
        <v>57</v>
      </c>
      <c r="GG21" s="245">
        <f t="shared" si="23"/>
        <v>50160</v>
      </c>
      <c r="GJ21" s="106"/>
      <c r="GK21" s="15">
        <v>14</v>
      </c>
      <c r="GL21" s="359">
        <v>881.8</v>
      </c>
      <c r="GM21" s="246">
        <v>44820</v>
      </c>
      <c r="GN21" s="359">
        <v>881.8</v>
      </c>
      <c r="GO21" s="95" t="s">
        <v>660</v>
      </c>
      <c r="GP21" s="71">
        <v>57</v>
      </c>
      <c r="GQ21" s="405">
        <f t="shared" si="24"/>
        <v>50262.6</v>
      </c>
      <c r="GT21" s="106"/>
      <c r="GU21" s="15">
        <v>14</v>
      </c>
      <c r="GV21" s="92">
        <v>877.2</v>
      </c>
      <c r="GW21" s="246">
        <v>44824</v>
      </c>
      <c r="GX21" s="92">
        <v>877.2</v>
      </c>
      <c r="GY21" s="95" t="s">
        <v>681</v>
      </c>
      <c r="GZ21" s="71">
        <v>57</v>
      </c>
      <c r="HA21" s="405">
        <f t="shared" si="25"/>
        <v>50000.4</v>
      </c>
      <c r="HD21" s="106"/>
      <c r="HE21" s="15">
        <v>14</v>
      </c>
      <c r="HF21" s="92">
        <v>909</v>
      </c>
      <c r="HG21" s="246">
        <v>44824</v>
      </c>
      <c r="HH21" s="92">
        <v>909</v>
      </c>
      <c r="HI21" s="95" t="s">
        <v>755</v>
      </c>
      <c r="HJ21" s="71">
        <v>57</v>
      </c>
      <c r="HK21" s="245">
        <f t="shared" si="26"/>
        <v>51813</v>
      </c>
      <c r="HN21" s="106"/>
      <c r="HO21" s="15">
        <v>14</v>
      </c>
      <c r="HP21" s="92">
        <v>921.24</v>
      </c>
      <c r="HQ21" s="246">
        <v>44824</v>
      </c>
      <c r="HR21" s="92">
        <v>921.24</v>
      </c>
      <c r="HS21" s="294" t="s">
        <v>686</v>
      </c>
      <c r="HT21" s="71">
        <v>57</v>
      </c>
      <c r="HU21" s="245">
        <f t="shared" si="27"/>
        <v>52510.68</v>
      </c>
      <c r="HX21" s="94"/>
      <c r="HY21" s="15">
        <v>14</v>
      </c>
      <c r="HZ21" s="69">
        <v>932.13</v>
      </c>
      <c r="IA21" s="254">
        <v>44825</v>
      </c>
      <c r="IB21" s="69">
        <v>932.13</v>
      </c>
      <c r="IC21" s="70" t="s">
        <v>698</v>
      </c>
      <c r="ID21" s="71">
        <v>57</v>
      </c>
      <c r="IE21" s="405">
        <f t="shared" si="5"/>
        <v>53131.409999999996</v>
      </c>
      <c r="IH21" s="94"/>
      <c r="II21" s="15">
        <v>14</v>
      </c>
      <c r="IJ21" s="69">
        <v>919</v>
      </c>
      <c r="IK21" s="254">
        <v>44826</v>
      </c>
      <c r="IL21" s="69">
        <v>919</v>
      </c>
      <c r="IM21" s="70" t="s">
        <v>701</v>
      </c>
      <c r="IN21" s="71">
        <v>57</v>
      </c>
      <c r="IO21" s="405">
        <f t="shared" si="28"/>
        <v>52383</v>
      </c>
      <c r="IR21" s="106"/>
      <c r="IS21" s="15">
        <v>14</v>
      </c>
      <c r="IT21" s="92">
        <v>940.7</v>
      </c>
      <c r="IU21" s="135">
        <v>44828</v>
      </c>
      <c r="IV21" s="92">
        <v>940.7</v>
      </c>
      <c r="IW21" s="370" t="s">
        <v>718</v>
      </c>
      <c r="IX21" s="71">
        <v>57</v>
      </c>
      <c r="IY21" s="245">
        <f t="shared" si="29"/>
        <v>53619.9</v>
      </c>
      <c r="IZ21" s="92"/>
      <c r="JB21" s="106"/>
      <c r="JC21" s="15">
        <v>14</v>
      </c>
      <c r="JD21" s="92">
        <v>904</v>
      </c>
      <c r="JE21" s="254">
        <v>44827</v>
      </c>
      <c r="JF21" s="92">
        <v>904</v>
      </c>
      <c r="JG21" s="70" t="s">
        <v>710</v>
      </c>
      <c r="JH21" s="71">
        <v>57</v>
      </c>
      <c r="JI21" s="405">
        <f t="shared" si="30"/>
        <v>51528</v>
      </c>
      <c r="JL21" s="106"/>
      <c r="JM21" s="15">
        <v>14</v>
      </c>
      <c r="JN21" s="92">
        <v>929.86</v>
      </c>
      <c r="JO21" s="246">
        <v>44831</v>
      </c>
      <c r="JP21" s="92">
        <v>929.86</v>
      </c>
      <c r="JQ21" s="70" t="s">
        <v>727</v>
      </c>
      <c r="JR21" s="71">
        <v>57</v>
      </c>
      <c r="JS21" s="405">
        <f t="shared" si="31"/>
        <v>53002.020000000004</v>
      </c>
      <c r="JV21" s="94"/>
      <c r="JW21" s="15">
        <v>14</v>
      </c>
      <c r="JX21" s="69">
        <v>883.6</v>
      </c>
      <c r="JY21" s="254">
        <v>44832</v>
      </c>
      <c r="JZ21" s="69">
        <v>883.6</v>
      </c>
      <c r="KA21" s="70" t="s">
        <v>732</v>
      </c>
      <c r="KB21" s="71">
        <v>57</v>
      </c>
      <c r="KC21" s="405">
        <f t="shared" si="32"/>
        <v>50365.200000000004</v>
      </c>
      <c r="KF21" s="94"/>
      <c r="KG21" s="15">
        <v>14</v>
      </c>
      <c r="KH21" s="69">
        <v>875.4</v>
      </c>
      <c r="KI21" s="254">
        <v>44833</v>
      </c>
      <c r="KJ21" s="69">
        <v>875.4</v>
      </c>
      <c r="KK21" s="70" t="s">
        <v>733</v>
      </c>
      <c r="KL21" s="71">
        <v>57</v>
      </c>
      <c r="KM21" s="405">
        <f t="shared" si="33"/>
        <v>49897.799999999996</v>
      </c>
      <c r="KP21" s="94"/>
      <c r="KQ21" s="15">
        <v>14</v>
      </c>
      <c r="KR21" s="69">
        <v>890.9</v>
      </c>
      <c r="KS21" s="254">
        <v>44834</v>
      </c>
      <c r="KT21" s="934">
        <v>890.9</v>
      </c>
      <c r="KU21" s="932" t="s">
        <v>742</v>
      </c>
      <c r="KV21" s="933">
        <v>57</v>
      </c>
      <c r="KW21" s="405">
        <f t="shared" si="34"/>
        <v>50781.299999999996</v>
      </c>
      <c r="KZ21" s="106"/>
      <c r="LA21" s="15">
        <v>14</v>
      </c>
      <c r="LB21" s="92">
        <v>947.55</v>
      </c>
      <c r="LC21" s="246">
        <v>44834</v>
      </c>
      <c r="LD21" s="92">
        <v>947.55</v>
      </c>
      <c r="LE21" s="95" t="s">
        <v>746</v>
      </c>
      <c r="LF21" s="71">
        <v>57</v>
      </c>
      <c r="LG21" s="405">
        <f t="shared" si="35"/>
        <v>54010.35</v>
      </c>
      <c r="LJ21" s="106"/>
      <c r="LK21" s="15">
        <v>14</v>
      </c>
      <c r="LL21" s="92">
        <v>905.4</v>
      </c>
      <c r="LM21" s="246">
        <v>44834</v>
      </c>
      <c r="LN21" s="92">
        <v>905.4</v>
      </c>
      <c r="LO21" s="95" t="s">
        <v>740</v>
      </c>
      <c r="LP21" s="71">
        <v>57</v>
      </c>
      <c r="LQ21" s="405">
        <f t="shared" si="36"/>
        <v>51607.799999999996</v>
      </c>
      <c r="LT21" s="106"/>
      <c r="LU21" s="15">
        <v>14</v>
      </c>
      <c r="LV21" s="92">
        <v>905.4</v>
      </c>
      <c r="LW21" s="246">
        <v>44835</v>
      </c>
      <c r="LX21" s="92">
        <v>905.4</v>
      </c>
      <c r="LY21" s="95" t="s">
        <v>753</v>
      </c>
      <c r="LZ21" s="71">
        <v>57</v>
      </c>
      <c r="MA21" s="405">
        <f t="shared" si="37"/>
        <v>51607.799999999996</v>
      </c>
      <c r="MB21" s="405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87336291</v>
      </c>
      <c r="E22" s="135">
        <f t="shared" si="60"/>
        <v>44820</v>
      </c>
      <c r="F22" s="86">
        <f t="shared" si="60"/>
        <v>19085.12</v>
      </c>
      <c r="G22" s="73">
        <f t="shared" si="60"/>
        <v>21</v>
      </c>
      <c r="H22" s="48">
        <f t="shared" si="60"/>
        <v>19109</v>
      </c>
      <c r="I22" s="105">
        <f>GP5</f>
        <v>-23.880000000001019</v>
      </c>
      <c r="L22" s="94"/>
      <c r="M22" s="15">
        <v>15</v>
      </c>
      <c r="N22" s="69">
        <v>919.9</v>
      </c>
      <c r="O22" s="254">
        <v>44803</v>
      </c>
      <c r="P22" s="69">
        <v>919.9</v>
      </c>
      <c r="Q22" s="70" t="s">
        <v>506</v>
      </c>
      <c r="R22" s="71">
        <v>53</v>
      </c>
      <c r="S22" s="405">
        <f t="shared" si="7"/>
        <v>48754.7</v>
      </c>
      <c r="V22" s="94"/>
      <c r="W22" s="15">
        <v>15</v>
      </c>
      <c r="X22" s="69">
        <v>905.4</v>
      </c>
      <c r="Y22" s="254">
        <v>44806</v>
      </c>
      <c r="Z22" s="69">
        <v>905.4</v>
      </c>
      <c r="AA22" s="70" t="s">
        <v>551</v>
      </c>
      <c r="AB22" s="71">
        <v>51</v>
      </c>
      <c r="AC22" s="405">
        <f t="shared" si="8"/>
        <v>46175.4</v>
      </c>
      <c r="AF22" s="106"/>
      <c r="AG22" s="15">
        <v>15</v>
      </c>
      <c r="AH22" s="92">
        <v>913.5</v>
      </c>
      <c r="AI22" s="246">
        <v>44806</v>
      </c>
      <c r="AJ22" s="92">
        <v>913.5</v>
      </c>
      <c r="AK22" s="95" t="s">
        <v>535</v>
      </c>
      <c r="AL22" s="71">
        <v>49</v>
      </c>
      <c r="AM22" s="405">
        <f t="shared" si="9"/>
        <v>44761.5</v>
      </c>
      <c r="AP22" s="106"/>
      <c r="AQ22" s="15">
        <v>15</v>
      </c>
      <c r="AR22" s="92">
        <v>921.24</v>
      </c>
      <c r="AS22" s="246">
        <v>44803</v>
      </c>
      <c r="AT22" s="92">
        <v>921.24</v>
      </c>
      <c r="AU22" s="95" t="s">
        <v>513</v>
      </c>
      <c r="AV22" s="71">
        <v>53</v>
      </c>
      <c r="AW22" s="405">
        <f t="shared" si="10"/>
        <v>48825.72</v>
      </c>
      <c r="AZ22" s="106"/>
      <c r="BA22" s="15">
        <v>15</v>
      </c>
      <c r="BB22" s="92">
        <v>943.47</v>
      </c>
      <c r="BC22" s="246">
        <v>44804</v>
      </c>
      <c r="BD22" s="92">
        <v>943.47</v>
      </c>
      <c r="BE22" s="95" t="s">
        <v>524</v>
      </c>
      <c r="BF22" s="71">
        <v>49</v>
      </c>
      <c r="BG22" s="405">
        <f t="shared" si="11"/>
        <v>46230.03</v>
      </c>
      <c r="BJ22" s="754"/>
      <c r="BK22" s="15">
        <v>15</v>
      </c>
      <c r="BL22" s="92">
        <v>907.2</v>
      </c>
      <c r="BM22" s="135">
        <v>44807</v>
      </c>
      <c r="BN22" s="92">
        <v>907.2</v>
      </c>
      <c r="BO22" s="95" t="s">
        <v>562</v>
      </c>
      <c r="BP22" s="290">
        <v>51</v>
      </c>
      <c r="BQ22" s="496">
        <f t="shared" si="12"/>
        <v>46267.200000000004</v>
      </c>
      <c r="BR22" s="405"/>
      <c r="BT22" s="106"/>
      <c r="BU22" s="15">
        <v>15</v>
      </c>
      <c r="BV22" s="92">
        <v>874.5</v>
      </c>
      <c r="BW22" s="291">
        <v>44809</v>
      </c>
      <c r="BX22" s="92">
        <v>874.5</v>
      </c>
      <c r="BY22" s="621" t="s">
        <v>567</v>
      </c>
      <c r="BZ22" s="292">
        <v>51</v>
      </c>
      <c r="CA22" s="405">
        <f t="shared" si="13"/>
        <v>44599.5</v>
      </c>
      <c r="CD22" s="214"/>
      <c r="CE22" s="15">
        <v>15</v>
      </c>
      <c r="CF22" s="92">
        <v>898.1</v>
      </c>
      <c r="CG22" s="291">
        <v>44813</v>
      </c>
      <c r="CH22" s="92">
        <v>898.1</v>
      </c>
      <c r="CI22" s="293" t="s">
        <v>591</v>
      </c>
      <c r="CJ22" s="292">
        <v>53</v>
      </c>
      <c r="CK22" s="245">
        <f t="shared" si="14"/>
        <v>47599.3</v>
      </c>
      <c r="CN22" s="423"/>
      <c r="CO22" s="15">
        <v>15</v>
      </c>
      <c r="CP22" s="69">
        <v>901.7</v>
      </c>
      <c r="CQ22" s="291">
        <v>44811</v>
      </c>
      <c r="CR22" s="69">
        <v>901.7</v>
      </c>
      <c r="CS22" s="293" t="s">
        <v>542</v>
      </c>
      <c r="CT22" s="292">
        <v>51</v>
      </c>
      <c r="CU22" s="410">
        <f t="shared" si="48"/>
        <v>45986.700000000004</v>
      </c>
      <c r="CX22" s="106"/>
      <c r="CY22" s="15">
        <v>15</v>
      </c>
      <c r="CZ22" s="92">
        <v>890</v>
      </c>
      <c r="DA22" s="246">
        <v>44812</v>
      </c>
      <c r="DB22" s="92">
        <v>890</v>
      </c>
      <c r="DC22" s="95" t="s">
        <v>583</v>
      </c>
      <c r="DD22" s="71">
        <v>53</v>
      </c>
      <c r="DE22" s="405">
        <f t="shared" si="15"/>
        <v>47170</v>
      </c>
      <c r="DH22" s="106"/>
      <c r="DI22" s="15">
        <v>15</v>
      </c>
      <c r="DJ22" s="92">
        <v>938.9</v>
      </c>
      <c r="DK22" s="291">
        <v>44816</v>
      </c>
      <c r="DL22" s="918">
        <v>938.9</v>
      </c>
      <c r="DM22" s="919" t="s">
        <v>606</v>
      </c>
      <c r="DN22" s="292">
        <v>54</v>
      </c>
      <c r="DO22" s="410">
        <f t="shared" si="16"/>
        <v>50700.6</v>
      </c>
      <c r="DR22" s="106"/>
      <c r="DS22" s="15">
        <v>15</v>
      </c>
      <c r="DT22" s="92">
        <v>902.6</v>
      </c>
      <c r="DU22" s="291">
        <v>44814</v>
      </c>
      <c r="DV22" s="92">
        <v>902.6</v>
      </c>
      <c r="DW22" s="293" t="s">
        <v>593</v>
      </c>
      <c r="DX22" s="292">
        <v>53</v>
      </c>
      <c r="DY22" s="405">
        <f t="shared" si="17"/>
        <v>47837.8</v>
      </c>
      <c r="EB22" s="106"/>
      <c r="EC22" s="15">
        <v>15</v>
      </c>
      <c r="ED22" s="69">
        <v>937.57</v>
      </c>
      <c r="EE22" s="254">
        <v>44814</v>
      </c>
      <c r="EF22" s="69">
        <v>937.57</v>
      </c>
      <c r="EG22" s="70" t="s">
        <v>604</v>
      </c>
      <c r="EH22" s="71">
        <v>54</v>
      </c>
      <c r="EI22" s="405">
        <f t="shared" si="18"/>
        <v>50628.780000000006</v>
      </c>
      <c r="EL22" s="106"/>
      <c r="EM22" s="15">
        <v>15</v>
      </c>
      <c r="EN22" s="69">
        <v>923.5</v>
      </c>
      <c r="EO22" s="254">
        <v>44817</v>
      </c>
      <c r="EP22" s="69">
        <v>923.5</v>
      </c>
      <c r="EQ22" s="70" t="s">
        <v>622</v>
      </c>
      <c r="ER22" s="71">
        <v>55</v>
      </c>
      <c r="ES22" s="405">
        <f t="shared" si="19"/>
        <v>50792.5</v>
      </c>
      <c r="EV22" s="106"/>
      <c r="EW22" s="15">
        <v>15</v>
      </c>
      <c r="EX22" s="92">
        <v>922.6</v>
      </c>
      <c r="EY22" s="246">
        <v>44817</v>
      </c>
      <c r="EZ22" s="92">
        <v>922.6</v>
      </c>
      <c r="FA22" s="70" t="s">
        <v>628</v>
      </c>
      <c r="FB22" s="71">
        <v>55</v>
      </c>
      <c r="FC22" s="405">
        <f t="shared" si="20"/>
        <v>50743</v>
      </c>
      <c r="FF22" s="106"/>
      <c r="FG22" s="15">
        <v>15</v>
      </c>
      <c r="FH22" s="92">
        <v>941.65</v>
      </c>
      <c r="FI22" s="246">
        <v>44817</v>
      </c>
      <c r="FJ22" s="92">
        <v>941.65</v>
      </c>
      <c r="FK22" s="70" t="s">
        <v>625</v>
      </c>
      <c r="FL22" s="71">
        <v>55</v>
      </c>
      <c r="FM22" s="245">
        <f t="shared" si="21"/>
        <v>51790.75</v>
      </c>
      <c r="FP22" s="106"/>
      <c r="FQ22" s="15">
        <v>15</v>
      </c>
      <c r="FR22" s="92">
        <v>932.58</v>
      </c>
      <c r="FS22" s="246">
        <v>44819</v>
      </c>
      <c r="FT22" s="92">
        <v>932.58</v>
      </c>
      <c r="FU22" s="70" t="s">
        <v>650</v>
      </c>
      <c r="FV22" s="71">
        <v>57</v>
      </c>
      <c r="FW22" s="405">
        <f t="shared" si="22"/>
        <v>53157.060000000005</v>
      </c>
      <c r="FX22" s="71"/>
      <c r="FZ22" s="106"/>
      <c r="GA22" s="15">
        <v>15</v>
      </c>
      <c r="GB22" s="69">
        <v>889.9</v>
      </c>
      <c r="GC22" s="254">
        <v>44821</v>
      </c>
      <c r="GD22" s="69">
        <v>889.9</v>
      </c>
      <c r="GE22" s="70" t="s">
        <v>665</v>
      </c>
      <c r="GF22" s="71">
        <v>57</v>
      </c>
      <c r="GG22" s="245">
        <f t="shared" si="23"/>
        <v>50724.299999999996</v>
      </c>
      <c r="GJ22" s="106"/>
      <c r="GK22" s="15">
        <v>15</v>
      </c>
      <c r="GL22" s="359">
        <v>890.9</v>
      </c>
      <c r="GM22" s="246">
        <v>44820</v>
      </c>
      <c r="GN22" s="359">
        <v>890.9</v>
      </c>
      <c r="GO22" s="95" t="s">
        <v>660</v>
      </c>
      <c r="GP22" s="71">
        <v>57</v>
      </c>
      <c r="GQ22" s="405">
        <f t="shared" si="24"/>
        <v>50781.299999999996</v>
      </c>
      <c r="GT22" s="106"/>
      <c r="GU22" s="15">
        <v>15</v>
      </c>
      <c r="GV22" s="92">
        <v>905.4</v>
      </c>
      <c r="GW22" s="246">
        <v>44824</v>
      </c>
      <c r="GX22" s="92">
        <v>905.4</v>
      </c>
      <c r="GY22" s="95" t="s">
        <v>681</v>
      </c>
      <c r="GZ22" s="71">
        <v>57</v>
      </c>
      <c r="HA22" s="405">
        <f t="shared" si="25"/>
        <v>51607.799999999996</v>
      </c>
      <c r="HD22" s="106"/>
      <c r="HE22" s="15">
        <v>15</v>
      </c>
      <c r="HF22" s="92">
        <v>904.5</v>
      </c>
      <c r="HG22" s="246">
        <v>44824</v>
      </c>
      <c r="HH22" s="92">
        <v>904.5</v>
      </c>
      <c r="HI22" s="95" t="s">
        <v>755</v>
      </c>
      <c r="HJ22" s="71">
        <v>57</v>
      </c>
      <c r="HK22" s="245">
        <f t="shared" si="26"/>
        <v>51556.5</v>
      </c>
      <c r="HN22" s="106"/>
      <c r="HO22" s="15">
        <v>15</v>
      </c>
      <c r="HP22" s="92">
        <v>900.38</v>
      </c>
      <c r="HQ22" s="246">
        <v>44824</v>
      </c>
      <c r="HR22" s="92">
        <v>900.38</v>
      </c>
      <c r="HS22" s="294" t="s">
        <v>686</v>
      </c>
      <c r="HT22" s="71">
        <v>57</v>
      </c>
      <c r="HU22" s="245">
        <f t="shared" si="27"/>
        <v>51321.659999999996</v>
      </c>
      <c r="HX22" s="94"/>
      <c r="HY22" s="15">
        <v>15</v>
      </c>
      <c r="HZ22" s="69">
        <v>893.57</v>
      </c>
      <c r="IA22" s="254">
        <v>44825</v>
      </c>
      <c r="IB22" s="69">
        <v>893.57</v>
      </c>
      <c r="IC22" s="70" t="s">
        <v>698</v>
      </c>
      <c r="ID22" s="71">
        <v>57</v>
      </c>
      <c r="IE22" s="405">
        <f t="shared" si="5"/>
        <v>50933.490000000005</v>
      </c>
      <c r="IH22" s="94"/>
      <c r="II22" s="15">
        <v>15</v>
      </c>
      <c r="IJ22" s="69">
        <v>924.4</v>
      </c>
      <c r="IK22" s="254">
        <v>44826</v>
      </c>
      <c r="IL22" s="69">
        <v>924.4</v>
      </c>
      <c r="IM22" s="70" t="s">
        <v>701</v>
      </c>
      <c r="IN22" s="71">
        <v>57</v>
      </c>
      <c r="IO22" s="405">
        <f t="shared" si="28"/>
        <v>52690.799999999996</v>
      </c>
      <c r="IR22" s="106"/>
      <c r="IS22" s="15">
        <v>15</v>
      </c>
      <c r="IT22" s="92">
        <v>875.4</v>
      </c>
      <c r="IU22" s="135">
        <v>44828</v>
      </c>
      <c r="IV22" s="92">
        <v>875.4</v>
      </c>
      <c r="IW22" s="370" t="s">
        <v>716</v>
      </c>
      <c r="IX22" s="71">
        <v>57</v>
      </c>
      <c r="IY22" s="245">
        <f t="shared" si="29"/>
        <v>49897.799999999996</v>
      </c>
      <c r="IZ22" s="92"/>
      <c r="JB22" s="106"/>
      <c r="JC22" s="15">
        <v>15</v>
      </c>
      <c r="JD22" s="92">
        <v>932.1</v>
      </c>
      <c r="JE22" s="254">
        <v>44827</v>
      </c>
      <c r="JF22" s="92">
        <v>932.1</v>
      </c>
      <c r="JG22" s="70" t="s">
        <v>708</v>
      </c>
      <c r="JH22" s="71">
        <v>57</v>
      </c>
      <c r="JI22" s="405">
        <f t="shared" si="30"/>
        <v>53129.700000000004</v>
      </c>
      <c r="JL22" s="106"/>
      <c r="JM22" s="15">
        <v>15</v>
      </c>
      <c r="JN22" s="92">
        <v>946.19</v>
      </c>
      <c r="JO22" s="246">
        <v>44831</v>
      </c>
      <c r="JP22" s="92">
        <v>946.19</v>
      </c>
      <c r="JQ22" s="70" t="s">
        <v>727</v>
      </c>
      <c r="JR22" s="71">
        <v>57</v>
      </c>
      <c r="JS22" s="405">
        <f t="shared" si="31"/>
        <v>53932.83</v>
      </c>
      <c r="JV22" s="94"/>
      <c r="JW22" s="15">
        <v>15</v>
      </c>
      <c r="JX22" s="69">
        <v>904</v>
      </c>
      <c r="JY22" s="254">
        <v>44832</v>
      </c>
      <c r="JZ22" s="69">
        <v>904</v>
      </c>
      <c r="KA22" s="70" t="s">
        <v>732</v>
      </c>
      <c r="KB22" s="71">
        <v>57</v>
      </c>
      <c r="KC22" s="405">
        <f t="shared" si="32"/>
        <v>51528</v>
      </c>
      <c r="KF22" s="94"/>
      <c r="KG22" s="15">
        <v>15</v>
      </c>
      <c r="KH22" s="69">
        <v>901.7</v>
      </c>
      <c r="KI22" s="254">
        <v>44833</v>
      </c>
      <c r="KJ22" s="69">
        <v>901.7</v>
      </c>
      <c r="KK22" s="70" t="s">
        <v>733</v>
      </c>
      <c r="KL22" s="71">
        <v>57</v>
      </c>
      <c r="KM22" s="405">
        <f t="shared" si="33"/>
        <v>51396.9</v>
      </c>
      <c r="KP22" s="94"/>
      <c r="KQ22" s="15">
        <v>15</v>
      </c>
      <c r="KR22" s="69">
        <v>907.2</v>
      </c>
      <c r="KS22" s="254">
        <v>44834</v>
      </c>
      <c r="KT22" s="934">
        <v>907.2</v>
      </c>
      <c r="KU22" s="932" t="s">
        <v>742</v>
      </c>
      <c r="KV22" s="933">
        <v>57</v>
      </c>
      <c r="KW22" s="405">
        <f t="shared" si="34"/>
        <v>51710.400000000001</v>
      </c>
      <c r="KZ22" s="106"/>
      <c r="LA22" s="15">
        <v>15</v>
      </c>
      <c r="LB22" s="92">
        <v>925.32</v>
      </c>
      <c r="LC22" s="246">
        <v>44834</v>
      </c>
      <c r="LD22" s="92">
        <v>925.32</v>
      </c>
      <c r="LE22" s="95" t="s">
        <v>743</v>
      </c>
      <c r="LF22" s="71">
        <v>57</v>
      </c>
      <c r="LG22" s="405">
        <f t="shared" si="35"/>
        <v>52743.240000000005</v>
      </c>
      <c r="LJ22" s="106"/>
      <c r="LK22" s="15">
        <v>15</v>
      </c>
      <c r="LL22" s="92">
        <v>867.3</v>
      </c>
      <c r="LM22" s="246">
        <v>44834</v>
      </c>
      <c r="LN22" s="92">
        <v>867.3</v>
      </c>
      <c r="LO22" s="95" t="s">
        <v>740</v>
      </c>
      <c r="LP22" s="71">
        <v>57</v>
      </c>
      <c r="LQ22" s="405">
        <f t="shared" si="36"/>
        <v>49436.1</v>
      </c>
      <c r="LT22" s="106"/>
      <c r="LU22" s="15">
        <v>15</v>
      </c>
      <c r="LV22" s="92">
        <v>920.8</v>
      </c>
      <c r="LW22" s="246">
        <v>44835</v>
      </c>
      <c r="LX22" s="92">
        <v>920.8</v>
      </c>
      <c r="LY22" s="95" t="s">
        <v>752</v>
      </c>
      <c r="LZ22" s="71">
        <v>57</v>
      </c>
      <c r="MA22" s="405">
        <f t="shared" si="37"/>
        <v>52485.599999999999</v>
      </c>
      <c r="MB22" s="405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SEABORAD FOODS</v>
      </c>
      <c r="C23" s="75" t="str">
        <f>GT5</f>
        <v>Seabord</v>
      </c>
      <c r="D23" s="102" t="str">
        <f>GU5</f>
        <v>PED. 87404024</v>
      </c>
      <c r="E23" s="135">
        <f t="shared" si="61"/>
        <v>44824</v>
      </c>
      <c r="F23" s="86">
        <f t="shared" si="61"/>
        <v>19029.2</v>
      </c>
      <c r="G23" s="73">
        <f t="shared" si="61"/>
        <v>21</v>
      </c>
      <c r="H23" s="48">
        <f t="shared" si="61"/>
        <v>19069.900000000001</v>
      </c>
      <c r="I23" s="105">
        <f>F23-H23</f>
        <v>-40.700000000000728</v>
      </c>
      <c r="L23" s="94"/>
      <c r="M23" s="15">
        <v>16</v>
      </c>
      <c r="N23" s="69">
        <v>867.3</v>
      </c>
      <c r="O23" s="254">
        <v>44803</v>
      </c>
      <c r="P23" s="69">
        <v>867.3</v>
      </c>
      <c r="Q23" s="70" t="s">
        <v>508</v>
      </c>
      <c r="R23" s="71">
        <v>53</v>
      </c>
      <c r="S23" s="405">
        <f t="shared" si="7"/>
        <v>45966.899999999994</v>
      </c>
      <c r="V23" s="94"/>
      <c r="W23" s="15">
        <v>16</v>
      </c>
      <c r="X23" s="69">
        <v>875.4</v>
      </c>
      <c r="Y23" s="254">
        <v>44806</v>
      </c>
      <c r="Z23" s="69">
        <v>875.4</v>
      </c>
      <c r="AA23" s="70" t="s">
        <v>551</v>
      </c>
      <c r="AB23" s="71">
        <v>51</v>
      </c>
      <c r="AC23" s="405">
        <f t="shared" si="8"/>
        <v>44645.4</v>
      </c>
      <c r="AF23" s="106"/>
      <c r="AG23" s="15">
        <v>16</v>
      </c>
      <c r="AH23" s="92">
        <v>938.9</v>
      </c>
      <c r="AI23" s="246">
        <v>44806</v>
      </c>
      <c r="AJ23" s="92">
        <v>938.9</v>
      </c>
      <c r="AK23" s="95" t="s">
        <v>535</v>
      </c>
      <c r="AL23" s="71">
        <v>49</v>
      </c>
      <c r="AM23" s="405">
        <f t="shared" si="9"/>
        <v>46006.1</v>
      </c>
      <c r="AP23" s="106"/>
      <c r="AQ23" s="15">
        <v>16</v>
      </c>
      <c r="AR23" s="92">
        <v>949.36</v>
      </c>
      <c r="AS23" s="246">
        <v>44803</v>
      </c>
      <c r="AT23" s="92">
        <v>949.36</v>
      </c>
      <c r="AU23" s="95" t="s">
        <v>515</v>
      </c>
      <c r="AV23" s="71">
        <v>53</v>
      </c>
      <c r="AW23" s="405">
        <f t="shared" si="10"/>
        <v>50316.08</v>
      </c>
      <c r="AZ23" s="106"/>
      <c r="BA23" s="15">
        <v>16</v>
      </c>
      <c r="BB23" s="92">
        <v>938.02</v>
      </c>
      <c r="BC23" s="246">
        <v>44804</v>
      </c>
      <c r="BD23" s="92">
        <v>938.02</v>
      </c>
      <c r="BE23" s="95" t="s">
        <v>523</v>
      </c>
      <c r="BF23" s="71">
        <v>49</v>
      </c>
      <c r="BG23" s="405">
        <f t="shared" si="11"/>
        <v>45962.979999999996</v>
      </c>
      <c r="BJ23" s="754"/>
      <c r="BK23" s="15">
        <v>16</v>
      </c>
      <c r="BL23" s="92">
        <v>891.8</v>
      </c>
      <c r="BM23" s="135">
        <v>44806</v>
      </c>
      <c r="BN23" s="92">
        <v>891.8</v>
      </c>
      <c r="BO23" s="95" t="s">
        <v>551</v>
      </c>
      <c r="BP23" s="290">
        <v>51</v>
      </c>
      <c r="BQ23" s="496">
        <f t="shared" si="12"/>
        <v>45481.799999999996</v>
      </c>
      <c r="BR23" s="405"/>
      <c r="BT23" s="106"/>
      <c r="BU23" s="15">
        <v>16</v>
      </c>
      <c r="BV23" s="92">
        <v>895.4</v>
      </c>
      <c r="BW23" s="291">
        <v>44809</v>
      </c>
      <c r="BX23" s="92">
        <v>895.4</v>
      </c>
      <c r="BY23" s="621" t="s">
        <v>567</v>
      </c>
      <c r="BZ23" s="292">
        <v>51</v>
      </c>
      <c r="CA23" s="405">
        <f t="shared" si="13"/>
        <v>45665.4</v>
      </c>
      <c r="CD23" s="214"/>
      <c r="CE23" s="15">
        <v>16</v>
      </c>
      <c r="CF23" s="92">
        <v>871.8</v>
      </c>
      <c r="CG23" s="291">
        <v>44812</v>
      </c>
      <c r="CH23" s="92">
        <v>871.8</v>
      </c>
      <c r="CI23" s="293" t="s">
        <v>561</v>
      </c>
      <c r="CJ23" s="292">
        <v>53</v>
      </c>
      <c r="CK23" s="245">
        <f t="shared" si="14"/>
        <v>46205.399999999994</v>
      </c>
      <c r="CN23" s="423"/>
      <c r="CO23" s="15">
        <v>16</v>
      </c>
      <c r="CP23" s="92">
        <v>887.2</v>
      </c>
      <c r="CQ23" s="291">
        <v>44811</v>
      </c>
      <c r="CR23" s="92">
        <v>887.2</v>
      </c>
      <c r="CS23" s="293" t="s">
        <v>542</v>
      </c>
      <c r="CT23" s="292">
        <v>51</v>
      </c>
      <c r="CU23" s="410">
        <f t="shared" si="48"/>
        <v>45247.200000000004</v>
      </c>
      <c r="CX23" s="106"/>
      <c r="CY23" s="15">
        <v>16</v>
      </c>
      <c r="CZ23" s="92">
        <v>903.6</v>
      </c>
      <c r="DA23" s="246">
        <v>44812</v>
      </c>
      <c r="DB23" s="92">
        <v>903.6</v>
      </c>
      <c r="DC23" s="95" t="s">
        <v>583</v>
      </c>
      <c r="DD23" s="71">
        <v>53</v>
      </c>
      <c r="DE23" s="405">
        <f t="shared" si="15"/>
        <v>47890.8</v>
      </c>
      <c r="DH23" s="106"/>
      <c r="DI23" s="15">
        <v>16</v>
      </c>
      <c r="DJ23" s="92">
        <v>925.8</v>
      </c>
      <c r="DK23" s="291">
        <v>44816</v>
      </c>
      <c r="DL23" s="918">
        <v>925.8</v>
      </c>
      <c r="DM23" s="919" t="s">
        <v>606</v>
      </c>
      <c r="DN23" s="292">
        <v>54</v>
      </c>
      <c r="DO23" s="410">
        <f t="shared" si="16"/>
        <v>49993.2</v>
      </c>
      <c r="DR23" s="106"/>
      <c r="DS23" s="15">
        <v>16</v>
      </c>
      <c r="DT23" s="92">
        <v>891.3</v>
      </c>
      <c r="DU23" s="291">
        <v>44814</v>
      </c>
      <c r="DV23" s="92">
        <v>891.3</v>
      </c>
      <c r="DW23" s="293" t="s">
        <v>593</v>
      </c>
      <c r="DX23" s="292">
        <v>53</v>
      </c>
      <c r="DY23" s="405">
        <f t="shared" si="17"/>
        <v>47238.899999999994</v>
      </c>
      <c r="EB23" s="106"/>
      <c r="EC23" s="15">
        <v>16</v>
      </c>
      <c r="ED23" s="69">
        <v>911.26</v>
      </c>
      <c r="EE23" s="254">
        <v>44814</v>
      </c>
      <c r="EF23" s="69">
        <v>911.26</v>
      </c>
      <c r="EG23" s="70" t="s">
        <v>602</v>
      </c>
      <c r="EH23" s="71">
        <v>53</v>
      </c>
      <c r="EI23" s="405">
        <f t="shared" si="18"/>
        <v>48296.78</v>
      </c>
      <c r="EL23" s="106"/>
      <c r="EM23" s="15">
        <v>16</v>
      </c>
      <c r="EN23" s="69">
        <v>914.4</v>
      </c>
      <c r="EO23" s="254">
        <v>44817</v>
      </c>
      <c r="EP23" s="69">
        <v>914.4</v>
      </c>
      <c r="EQ23" s="70" t="s">
        <v>622</v>
      </c>
      <c r="ER23" s="71">
        <v>55</v>
      </c>
      <c r="ES23" s="405">
        <f t="shared" si="19"/>
        <v>50292</v>
      </c>
      <c r="EV23" s="106"/>
      <c r="EW23" s="15">
        <v>16</v>
      </c>
      <c r="EX23" s="92">
        <v>919.9</v>
      </c>
      <c r="EY23" s="246">
        <v>44817</v>
      </c>
      <c r="EZ23" s="92">
        <v>919.9</v>
      </c>
      <c r="FA23" s="70" t="s">
        <v>628</v>
      </c>
      <c r="FB23" s="71">
        <v>55</v>
      </c>
      <c r="FC23" s="405">
        <f t="shared" si="20"/>
        <v>50594.5</v>
      </c>
      <c r="FF23" s="106"/>
      <c r="FG23" s="15">
        <v>16</v>
      </c>
      <c r="FH23" s="92">
        <v>966.15</v>
      </c>
      <c r="FI23" s="246">
        <v>44817</v>
      </c>
      <c r="FJ23" s="92">
        <v>966.15</v>
      </c>
      <c r="FK23" s="70" t="s">
        <v>625</v>
      </c>
      <c r="FL23" s="71">
        <v>55</v>
      </c>
      <c r="FM23" s="245">
        <f t="shared" si="21"/>
        <v>53138.25</v>
      </c>
      <c r="FP23" s="106"/>
      <c r="FQ23" s="15">
        <v>16</v>
      </c>
      <c r="FR23" s="92">
        <v>946.19</v>
      </c>
      <c r="FS23" s="246">
        <v>44819</v>
      </c>
      <c r="FT23" s="92">
        <v>946.19</v>
      </c>
      <c r="FU23" s="70" t="s">
        <v>650</v>
      </c>
      <c r="FV23" s="71">
        <v>57</v>
      </c>
      <c r="FW23" s="405">
        <f t="shared" si="22"/>
        <v>53932.83</v>
      </c>
      <c r="FX23" s="71"/>
      <c r="FZ23" s="106"/>
      <c r="GA23" s="15">
        <v>16</v>
      </c>
      <c r="GB23" s="69">
        <v>925.3</v>
      </c>
      <c r="GC23" s="254">
        <v>44821</v>
      </c>
      <c r="GD23" s="69">
        <v>925.3</v>
      </c>
      <c r="GE23" s="70" t="s">
        <v>664</v>
      </c>
      <c r="GF23" s="71">
        <v>57</v>
      </c>
      <c r="GG23" s="245">
        <f t="shared" si="23"/>
        <v>52742.1</v>
      </c>
      <c r="GJ23" s="106"/>
      <c r="GK23" s="15">
        <v>16</v>
      </c>
      <c r="GL23" s="359">
        <v>910.8</v>
      </c>
      <c r="GM23" s="246">
        <v>44820</v>
      </c>
      <c r="GN23" s="359">
        <v>910.8</v>
      </c>
      <c r="GO23" s="95" t="s">
        <v>660</v>
      </c>
      <c r="GP23" s="71">
        <v>57</v>
      </c>
      <c r="GQ23" s="405">
        <f t="shared" si="24"/>
        <v>51915.6</v>
      </c>
      <c r="GT23" s="106"/>
      <c r="GU23" s="15">
        <v>16</v>
      </c>
      <c r="GV23" s="92">
        <v>896.3</v>
      </c>
      <c r="GW23" s="246">
        <v>44824</v>
      </c>
      <c r="GX23" s="92">
        <v>896.3</v>
      </c>
      <c r="GY23" s="95" t="s">
        <v>681</v>
      </c>
      <c r="GZ23" s="71">
        <v>57</v>
      </c>
      <c r="HA23" s="405">
        <f t="shared" si="25"/>
        <v>51089.1</v>
      </c>
      <c r="HD23" s="106"/>
      <c r="HE23" s="15">
        <v>16</v>
      </c>
      <c r="HF23" s="92">
        <v>909.9</v>
      </c>
      <c r="HG23" s="246">
        <v>44824</v>
      </c>
      <c r="HH23" s="92">
        <v>909.9</v>
      </c>
      <c r="HI23" s="95" t="s">
        <v>755</v>
      </c>
      <c r="HJ23" s="71">
        <v>57</v>
      </c>
      <c r="HK23" s="245">
        <f t="shared" si="26"/>
        <v>51864.299999999996</v>
      </c>
      <c r="HN23" s="106"/>
      <c r="HO23" s="15">
        <v>16</v>
      </c>
      <c r="HP23" s="92">
        <v>906.73</v>
      </c>
      <c r="HQ23" s="246">
        <v>44824</v>
      </c>
      <c r="HR23" s="92">
        <v>906.73</v>
      </c>
      <c r="HS23" s="294" t="s">
        <v>686</v>
      </c>
      <c r="HT23" s="71">
        <v>57</v>
      </c>
      <c r="HU23" s="245">
        <f t="shared" si="27"/>
        <v>51683.61</v>
      </c>
      <c r="HX23" s="94"/>
      <c r="HY23" s="15">
        <v>16</v>
      </c>
      <c r="HZ23" s="69">
        <v>957.53</v>
      </c>
      <c r="IA23" s="254">
        <v>44825</v>
      </c>
      <c r="IB23" s="69">
        <v>957.53</v>
      </c>
      <c r="IC23" s="70" t="s">
        <v>698</v>
      </c>
      <c r="ID23" s="71">
        <v>57</v>
      </c>
      <c r="IE23" s="405">
        <f t="shared" si="5"/>
        <v>54579.21</v>
      </c>
      <c r="IH23" s="94"/>
      <c r="II23" s="15">
        <v>16</v>
      </c>
      <c r="IJ23" s="69">
        <v>894.5</v>
      </c>
      <c r="IK23" s="254">
        <v>44826</v>
      </c>
      <c r="IL23" s="69">
        <v>894.5</v>
      </c>
      <c r="IM23" s="70" t="s">
        <v>701</v>
      </c>
      <c r="IN23" s="71">
        <v>57</v>
      </c>
      <c r="IO23" s="405">
        <f t="shared" si="28"/>
        <v>50986.5</v>
      </c>
      <c r="IR23" s="106"/>
      <c r="IS23" s="15">
        <v>16</v>
      </c>
      <c r="IT23" s="92">
        <v>878</v>
      </c>
      <c r="IU23" s="135">
        <v>44828</v>
      </c>
      <c r="IV23" s="92">
        <v>878</v>
      </c>
      <c r="IW23" s="370" t="s">
        <v>716</v>
      </c>
      <c r="IX23" s="71">
        <v>57</v>
      </c>
      <c r="IY23" s="245">
        <f t="shared" si="29"/>
        <v>50046</v>
      </c>
      <c r="IZ23" s="105"/>
      <c r="JA23" s="69"/>
      <c r="JB23" s="106"/>
      <c r="JC23" s="15">
        <v>16</v>
      </c>
      <c r="JD23" s="92">
        <v>933</v>
      </c>
      <c r="JE23" s="254">
        <v>44827</v>
      </c>
      <c r="JF23" s="92">
        <v>933</v>
      </c>
      <c r="JG23" s="70" t="s">
        <v>710</v>
      </c>
      <c r="JH23" s="71">
        <v>57</v>
      </c>
      <c r="JI23" s="405">
        <f t="shared" si="30"/>
        <v>53181</v>
      </c>
      <c r="JL23" s="106"/>
      <c r="JM23" s="15">
        <v>16</v>
      </c>
      <c r="JN23" s="92">
        <v>960.7</v>
      </c>
      <c r="JO23" s="246">
        <v>44831</v>
      </c>
      <c r="JP23" s="92">
        <v>960.7</v>
      </c>
      <c r="JQ23" s="70" t="s">
        <v>727</v>
      </c>
      <c r="JR23" s="71">
        <v>57</v>
      </c>
      <c r="JS23" s="405">
        <f t="shared" si="31"/>
        <v>54759.9</v>
      </c>
      <c r="JV23" s="94"/>
      <c r="JW23" s="15">
        <v>16</v>
      </c>
      <c r="JX23" s="69">
        <v>908.1</v>
      </c>
      <c r="JY23" s="254">
        <v>44832</v>
      </c>
      <c r="JZ23" s="69">
        <v>908.1</v>
      </c>
      <c r="KA23" s="70" t="s">
        <v>732</v>
      </c>
      <c r="KB23" s="71">
        <v>57</v>
      </c>
      <c r="KC23" s="405">
        <f t="shared" si="32"/>
        <v>51761.700000000004</v>
      </c>
      <c r="KF23" s="94"/>
      <c r="KG23" s="15">
        <v>16</v>
      </c>
      <c r="KH23" s="69">
        <v>894.5</v>
      </c>
      <c r="KI23" s="254">
        <v>44833</v>
      </c>
      <c r="KJ23" s="69">
        <v>894.5</v>
      </c>
      <c r="KK23" s="70" t="s">
        <v>733</v>
      </c>
      <c r="KL23" s="71">
        <v>57</v>
      </c>
      <c r="KM23" s="405">
        <f t="shared" si="33"/>
        <v>50986.5</v>
      </c>
      <c r="KP23" s="94"/>
      <c r="KQ23" s="15">
        <v>16</v>
      </c>
      <c r="KR23" s="69">
        <v>909.4</v>
      </c>
      <c r="KS23" s="254">
        <v>44834</v>
      </c>
      <c r="KT23" s="934">
        <v>909.4</v>
      </c>
      <c r="KU23" s="932" t="s">
        <v>745</v>
      </c>
      <c r="KV23" s="933">
        <v>57</v>
      </c>
      <c r="KW23" s="405">
        <f t="shared" si="34"/>
        <v>51835.799999999996</v>
      </c>
      <c r="KZ23" s="106"/>
      <c r="LA23" s="15">
        <v>16</v>
      </c>
      <c r="LB23" s="92">
        <v>899.47</v>
      </c>
      <c r="LC23" s="246">
        <v>44834</v>
      </c>
      <c r="LD23" s="92">
        <v>899.47</v>
      </c>
      <c r="LE23" s="95" t="s">
        <v>746</v>
      </c>
      <c r="LF23" s="71">
        <v>57</v>
      </c>
      <c r="LG23" s="405">
        <f t="shared" si="35"/>
        <v>51269.79</v>
      </c>
      <c r="LJ23" s="106"/>
      <c r="LK23" s="15">
        <v>16</v>
      </c>
      <c r="LL23" s="92">
        <v>933.5</v>
      </c>
      <c r="LM23" s="246">
        <v>44834</v>
      </c>
      <c r="LN23" s="92">
        <v>933.5</v>
      </c>
      <c r="LO23" s="95" t="s">
        <v>740</v>
      </c>
      <c r="LP23" s="71">
        <v>57</v>
      </c>
      <c r="LQ23" s="405">
        <f t="shared" si="36"/>
        <v>53209.5</v>
      </c>
      <c r="LT23" s="106"/>
      <c r="LU23" s="15">
        <v>16</v>
      </c>
      <c r="LV23" s="92">
        <v>898.1</v>
      </c>
      <c r="LW23" s="246">
        <v>44835</v>
      </c>
      <c r="LX23" s="92">
        <v>898.1</v>
      </c>
      <c r="LY23" s="95" t="s">
        <v>752</v>
      </c>
      <c r="LZ23" s="71">
        <v>57</v>
      </c>
      <c r="MA23" s="405">
        <f t="shared" si="37"/>
        <v>51191.700000000004</v>
      </c>
      <c r="MB23" s="405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87403746</v>
      </c>
      <c r="E24" s="135">
        <f t="shared" si="62"/>
        <v>44824</v>
      </c>
      <c r="F24" s="86">
        <f t="shared" si="62"/>
        <v>18670.46</v>
      </c>
      <c r="G24" s="73">
        <f t="shared" si="62"/>
        <v>21</v>
      </c>
      <c r="H24" s="48">
        <f t="shared" si="62"/>
        <v>18708.5</v>
      </c>
      <c r="I24" s="105">
        <f t="shared" si="62"/>
        <v>-38.040000000000873</v>
      </c>
      <c r="L24" s="94"/>
      <c r="M24" s="15">
        <v>17</v>
      </c>
      <c r="N24" s="69">
        <v>917.2</v>
      </c>
      <c r="O24" s="254">
        <v>44803</v>
      </c>
      <c r="P24" s="69">
        <v>917.2</v>
      </c>
      <c r="Q24" s="70" t="s">
        <v>506</v>
      </c>
      <c r="R24" s="71">
        <v>53</v>
      </c>
      <c r="S24" s="405">
        <f t="shared" si="7"/>
        <v>48611.600000000006</v>
      </c>
      <c r="V24" s="94"/>
      <c r="W24" s="15">
        <v>17</v>
      </c>
      <c r="X24" s="69">
        <v>919</v>
      </c>
      <c r="Y24" s="254">
        <v>44806</v>
      </c>
      <c r="Z24" s="69">
        <v>919</v>
      </c>
      <c r="AA24" s="70" t="s">
        <v>548</v>
      </c>
      <c r="AB24" s="71">
        <v>51</v>
      </c>
      <c r="AC24" s="405">
        <f t="shared" si="8"/>
        <v>46869</v>
      </c>
      <c r="AF24" s="106"/>
      <c r="AG24" s="15">
        <v>17</v>
      </c>
      <c r="AH24" s="92">
        <v>913.5</v>
      </c>
      <c r="AI24" s="246">
        <v>44806</v>
      </c>
      <c r="AJ24" s="92">
        <v>913.5</v>
      </c>
      <c r="AK24" s="95" t="s">
        <v>535</v>
      </c>
      <c r="AL24" s="71">
        <v>49</v>
      </c>
      <c r="AM24" s="405">
        <f t="shared" si="9"/>
        <v>44761.5</v>
      </c>
      <c r="AP24" s="106"/>
      <c r="AQ24" s="15">
        <v>17</v>
      </c>
      <c r="AR24" s="92">
        <v>931.67</v>
      </c>
      <c r="AS24" s="246">
        <v>44803</v>
      </c>
      <c r="AT24" s="92">
        <v>931.67</v>
      </c>
      <c r="AU24" s="95" t="s">
        <v>513</v>
      </c>
      <c r="AV24" s="71">
        <v>53</v>
      </c>
      <c r="AW24" s="405">
        <f t="shared" si="10"/>
        <v>49378.509999999995</v>
      </c>
      <c r="AZ24" s="106"/>
      <c r="BA24" s="15">
        <v>17</v>
      </c>
      <c r="BB24" s="92">
        <v>930.77</v>
      </c>
      <c r="BC24" s="246">
        <v>44805</v>
      </c>
      <c r="BD24" s="92">
        <v>930.77</v>
      </c>
      <c r="BE24" s="95" t="s">
        <v>532</v>
      </c>
      <c r="BF24" s="71">
        <v>49</v>
      </c>
      <c r="BG24" s="405">
        <f t="shared" si="11"/>
        <v>45607.729999999996</v>
      </c>
      <c r="BJ24" s="755"/>
      <c r="BK24" s="15">
        <v>17</v>
      </c>
      <c r="BL24" s="92">
        <v>915.3</v>
      </c>
      <c r="BM24" s="135">
        <v>44807</v>
      </c>
      <c r="BN24" s="92">
        <v>915.3</v>
      </c>
      <c r="BO24" s="95" t="s">
        <v>562</v>
      </c>
      <c r="BP24" s="290">
        <v>51</v>
      </c>
      <c r="BQ24" s="496">
        <f t="shared" si="12"/>
        <v>46680.299999999996</v>
      </c>
      <c r="BR24" s="405"/>
      <c r="BT24" s="106"/>
      <c r="BU24" s="15">
        <v>17</v>
      </c>
      <c r="BV24" s="92">
        <v>925.3</v>
      </c>
      <c r="BW24" s="291">
        <v>44809</v>
      </c>
      <c r="BX24" s="92">
        <v>925.3</v>
      </c>
      <c r="BY24" s="621" t="s">
        <v>567</v>
      </c>
      <c r="BZ24" s="292">
        <v>51</v>
      </c>
      <c r="CA24" s="405">
        <f t="shared" si="13"/>
        <v>47190.299999999996</v>
      </c>
      <c r="CD24" s="214"/>
      <c r="CE24" s="15">
        <v>17</v>
      </c>
      <c r="CF24" s="92">
        <v>938.9</v>
      </c>
      <c r="CG24" s="291">
        <v>44812</v>
      </c>
      <c r="CH24" s="92">
        <v>938.9</v>
      </c>
      <c r="CI24" s="293" t="s">
        <v>577</v>
      </c>
      <c r="CJ24" s="292">
        <v>53</v>
      </c>
      <c r="CK24" s="245">
        <f t="shared" si="14"/>
        <v>49761.7</v>
      </c>
      <c r="CN24" s="423"/>
      <c r="CO24" s="15">
        <v>17</v>
      </c>
      <c r="CP24" s="92">
        <v>888.1</v>
      </c>
      <c r="CQ24" s="291">
        <v>44811</v>
      </c>
      <c r="CR24" s="92">
        <v>888.1</v>
      </c>
      <c r="CS24" s="293" t="s">
        <v>542</v>
      </c>
      <c r="CT24" s="292">
        <v>51</v>
      </c>
      <c r="CU24" s="410">
        <f t="shared" si="48"/>
        <v>45293.1</v>
      </c>
      <c r="CX24" s="106"/>
      <c r="CY24" s="15">
        <v>17</v>
      </c>
      <c r="CZ24" s="92">
        <v>913.5</v>
      </c>
      <c r="DA24" s="246">
        <v>44812</v>
      </c>
      <c r="DB24" s="92">
        <v>913.5</v>
      </c>
      <c r="DC24" s="95" t="s">
        <v>583</v>
      </c>
      <c r="DD24" s="71">
        <v>53</v>
      </c>
      <c r="DE24" s="405">
        <f t="shared" si="15"/>
        <v>48415.5</v>
      </c>
      <c r="DH24" s="106"/>
      <c r="DI24" s="15">
        <v>17</v>
      </c>
      <c r="DJ24" s="92">
        <v>926.2</v>
      </c>
      <c r="DK24" s="291">
        <v>44816</v>
      </c>
      <c r="DL24" s="918">
        <v>926.2</v>
      </c>
      <c r="DM24" s="919" t="s">
        <v>606</v>
      </c>
      <c r="DN24" s="292">
        <v>54</v>
      </c>
      <c r="DO24" s="410">
        <f t="shared" si="16"/>
        <v>50014.8</v>
      </c>
      <c r="DR24" s="106"/>
      <c r="DS24" s="15">
        <v>17</v>
      </c>
      <c r="DT24" s="92">
        <v>864.5</v>
      </c>
      <c r="DU24" s="291">
        <v>44814</v>
      </c>
      <c r="DV24" s="92">
        <v>864.5</v>
      </c>
      <c r="DW24" s="293" t="s">
        <v>593</v>
      </c>
      <c r="DX24" s="292">
        <v>53</v>
      </c>
      <c r="DY24" s="405">
        <f t="shared" si="17"/>
        <v>45818.5</v>
      </c>
      <c r="EB24" s="106"/>
      <c r="EC24" s="15">
        <v>17</v>
      </c>
      <c r="ED24" s="69">
        <v>923.06</v>
      </c>
      <c r="EE24" s="254">
        <v>44814</v>
      </c>
      <c r="EF24" s="69">
        <v>923.06</v>
      </c>
      <c r="EG24" s="70" t="s">
        <v>605</v>
      </c>
      <c r="EH24" s="71">
        <v>53</v>
      </c>
      <c r="EI24" s="405">
        <f t="shared" si="18"/>
        <v>48922.18</v>
      </c>
      <c r="EL24" s="106"/>
      <c r="EM24" s="15">
        <v>17</v>
      </c>
      <c r="EN24" s="69">
        <v>894</v>
      </c>
      <c r="EO24" s="254">
        <v>44817</v>
      </c>
      <c r="EP24" s="69">
        <v>894</v>
      </c>
      <c r="EQ24" s="70" t="s">
        <v>622</v>
      </c>
      <c r="ER24" s="71">
        <v>55</v>
      </c>
      <c r="ES24" s="405">
        <f t="shared" si="19"/>
        <v>49170</v>
      </c>
      <c r="EV24" s="106"/>
      <c r="EW24" s="15">
        <v>17</v>
      </c>
      <c r="EX24" s="92">
        <v>915.3</v>
      </c>
      <c r="EY24" s="246">
        <v>44817</v>
      </c>
      <c r="EZ24" s="92">
        <v>915.3</v>
      </c>
      <c r="FA24" s="70" t="s">
        <v>628</v>
      </c>
      <c r="FB24" s="71">
        <v>55</v>
      </c>
      <c r="FC24" s="405">
        <f t="shared" si="20"/>
        <v>50341.5</v>
      </c>
      <c r="FF24" s="106"/>
      <c r="FG24" s="15">
        <v>17</v>
      </c>
      <c r="FH24" s="92">
        <v>948.46</v>
      </c>
      <c r="FI24" s="246">
        <v>44817</v>
      </c>
      <c r="FJ24" s="92">
        <v>948.46</v>
      </c>
      <c r="FK24" s="70" t="s">
        <v>625</v>
      </c>
      <c r="FL24" s="71">
        <v>55</v>
      </c>
      <c r="FM24" s="245">
        <f t="shared" si="21"/>
        <v>52165.3</v>
      </c>
      <c r="FP24" s="106"/>
      <c r="FQ24" s="15">
        <v>17</v>
      </c>
      <c r="FR24" s="92">
        <v>909.9</v>
      </c>
      <c r="FS24" s="246">
        <v>44819</v>
      </c>
      <c r="FT24" s="92">
        <v>909.9</v>
      </c>
      <c r="FU24" s="70" t="s">
        <v>650</v>
      </c>
      <c r="FV24" s="71">
        <v>57</v>
      </c>
      <c r="FW24" s="405">
        <f t="shared" si="22"/>
        <v>51864.299999999996</v>
      </c>
      <c r="FX24" s="71"/>
      <c r="FZ24" s="106"/>
      <c r="GA24" s="15">
        <v>17</v>
      </c>
      <c r="GB24" s="69">
        <v>934.4</v>
      </c>
      <c r="GC24" s="254">
        <v>44820</v>
      </c>
      <c r="GD24" s="69">
        <v>934.4</v>
      </c>
      <c r="GE24" s="70" t="s">
        <v>654</v>
      </c>
      <c r="GF24" s="71">
        <v>57</v>
      </c>
      <c r="GG24" s="245">
        <f t="shared" si="23"/>
        <v>53260.799999999996</v>
      </c>
      <c r="GJ24" s="106"/>
      <c r="GK24" s="15">
        <v>17</v>
      </c>
      <c r="GL24" s="359">
        <v>895.4</v>
      </c>
      <c r="GM24" s="246">
        <v>44820</v>
      </c>
      <c r="GN24" s="359">
        <v>895.4</v>
      </c>
      <c r="GO24" s="95" t="s">
        <v>660</v>
      </c>
      <c r="GP24" s="71">
        <v>57</v>
      </c>
      <c r="GQ24" s="405">
        <f t="shared" si="24"/>
        <v>51037.799999999996</v>
      </c>
      <c r="GT24" s="106"/>
      <c r="GU24" s="15">
        <v>17</v>
      </c>
      <c r="GV24" s="92">
        <v>918.1</v>
      </c>
      <c r="GW24" s="246">
        <v>44824</v>
      </c>
      <c r="GX24" s="92">
        <v>918.1</v>
      </c>
      <c r="GY24" s="95" t="s">
        <v>681</v>
      </c>
      <c r="GZ24" s="71">
        <v>57</v>
      </c>
      <c r="HA24" s="405">
        <f t="shared" si="25"/>
        <v>52331.700000000004</v>
      </c>
      <c r="HD24" s="106"/>
      <c r="HE24" s="15">
        <v>17</v>
      </c>
      <c r="HF24" s="92">
        <v>879.1</v>
      </c>
      <c r="HG24" s="246">
        <v>44824</v>
      </c>
      <c r="HH24" s="92">
        <v>879.1</v>
      </c>
      <c r="HI24" s="95" t="s">
        <v>755</v>
      </c>
      <c r="HJ24" s="71">
        <v>57</v>
      </c>
      <c r="HK24" s="245">
        <f t="shared" si="26"/>
        <v>50108.700000000004</v>
      </c>
      <c r="HN24" s="106"/>
      <c r="HO24" s="15">
        <v>17</v>
      </c>
      <c r="HP24" s="92">
        <v>908.54</v>
      </c>
      <c r="HQ24" s="246">
        <v>44824</v>
      </c>
      <c r="HR24" s="92">
        <v>908.54</v>
      </c>
      <c r="HS24" s="294" t="s">
        <v>686</v>
      </c>
      <c r="HT24" s="71">
        <v>57</v>
      </c>
      <c r="HU24" s="245">
        <f t="shared" si="27"/>
        <v>51786.78</v>
      </c>
      <c r="HX24" s="106"/>
      <c r="HY24" s="15">
        <v>17</v>
      </c>
      <c r="HZ24" s="69">
        <v>948</v>
      </c>
      <c r="IA24" s="254">
        <v>44825</v>
      </c>
      <c r="IB24" s="69">
        <v>948</v>
      </c>
      <c r="IC24" s="70" t="s">
        <v>698</v>
      </c>
      <c r="ID24" s="71">
        <v>57</v>
      </c>
      <c r="IE24" s="405">
        <f t="shared" si="5"/>
        <v>54036</v>
      </c>
      <c r="IH24" s="106"/>
      <c r="II24" s="15">
        <v>17</v>
      </c>
      <c r="IJ24" s="69">
        <v>870.9</v>
      </c>
      <c r="IK24" s="254">
        <v>44826</v>
      </c>
      <c r="IL24" s="69">
        <v>870.9</v>
      </c>
      <c r="IM24" s="70" t="s">
        <v>701</v>
      </c>
      <c r="IN24" s="71">
        <v>57</v>
      </c>
      <c r="IO24" s="405">
        <f t="shared" si="28"/>
        <v>49641.299999999996</v>
      </c>
      <c r="IR24" s="106"/>
      <c r="IS24" s="15">
        <v>17</v>
      </c>
      <c r="IT24" s="92">
        <v>897.2</v>
      </c>
      <c r="IU24" s="135">
        <v>44828</v>
      </c>
      <c r="IV24" s="92">
        <v>897.2</v>
      </c>
      <c r="IW24" s="370" t="s">
        <v>712</v>
      </c>
      <c r="IX24" s="71">
        <v>57</v>
      </c>
      <c r="IY24" s="245">
        <f t="shared" si="29"/>
        <v>51140.4</v>
      </c>
      <c r="JA24" s="69"/>
      <c r="JB24" s="106"/>
      <c r="JC24" s="15">
        <v>17</v>
      </c>
      <c r="JD24" s="92">
        <v>914</v>
      </c>
      <c r="JE24" s="254">
        <v>44827</v>
      </c>
      <c r="JF24" s="92">
        <v>914</v>
      </c>
      <c r="JG24" s="70" t="s">
        <v>708</v>
      </c>
      <c r="JH24" s="71">
        <v>57</v>
      </c>
      <c r="JI24" s="245">
        <f t="shared" si="30"/>
        <v>52098</v>
      </c>
      <c r="JL24" s="106"/>
      <c r="JM24" s="15">
        <v>17</v>
      </c>
      <c r="JN24" s="92">
        <v>919.88</v>
      </c>
      <c r="JO24" s="246">
        <v>44831</v>
      </c>
      <c r="JP24" s="92">
        <v>919.88</v>
      </c>
      <c r="JQ24" s="70" t="s">
        <v>727</v>
      </c>
      <c r="JR24" s="71">
        <v>57</v>
      </c>
      <c r="JS24" s="405">
        <f t="shared" si="31"/>
        <v>52433.159999999996</v>
      </c>
      <c r="JV24" s="94"/>
      <c r="JW24" s="15">
        <v>17</v>
      </c>
      <c r="JX24" s="69">
        <v>926.2</v>
      </c>
      <c r="JY24" s="254">
        <v>44832</v>
      </c>
      <c r="JZ24" s="69">
        <v>926.2</v>
      </c>
      <c r="KA24" s="70" t="s">
        <v>732</v>
      </c>
      <c r="KB24" s="71">
        <v>57</v>
      </c>
      <c r="KC24" s="405">
        <f t="shared" si="32"/>
        <v>52793.4</v>
      </c>
      <c r="KF24" s="94"/>
      <c r="KG24" s="15">
        <v>17</v>
      </c>
      <c r="KH24" s="69">
        <v>895.4</v>
      </c>
      <c r="KI24" s="254">
        <v>44833</v>
      </c>
      <c r="KJ24" s="69">
        <v>895.4</v>
      </c>
      <c r="KK24" s="70" t="s">
        <v>733</v>
      </c>
      <c r="KL24" s="71">
        <v>57</v>
      </c>
      <c r="KM24" s="405">
        <f t="shared" si="33"/>
        <v>51037.799999999996</v>
      </c>
      <c r="KP24" s="94"/>
      <c r="KQ24" s="15">
        <v>17</v>
      </c>
      <c r="KR24" s="69">
        <v>887.2</v>
      </c>
      <c r="KS24" s="254">
        <v>44834</v>
      </c>
      <c r="KT24" s="934">
        <v>887.2</v>
      </c>
      <c r="KU24" s="932" t="s">
        <v>741</v>
      </c>
      <c r="KV24" s="933">
        <v>57</v>
      </c>
      <c r="KW24" s="405">
        <f t="shared" si="34"/>
        <v>50570.400000000001</v>
      </c>
      <c r="KZ24" s="106"/>
      <c r="LA24" s="15">
        <v>17</v>
      </c>
      <c r="LB24" s="92">
        <v>921.69</v>
      </c>
      <c r="LC24" s="246">
        <v>44834</v>
      </c>
      <c r="LD24" s="92">
        <v>921.69</v>
      </c>
      <c r="LE24" s="95" t="s">
        <v>746</v>
      </c>
      <c r="LF24" s="71">
        <v>57</v>
      </c>
      <c r="LG24" s="405">
        <f t="shared" si="35"/>
        <v>52536.33</v>
      </c>
      <c r="LJ24" s="106"/>
      <c r="LK24" s="15">
        <v>17</v>
      </c>
      <c r="LL24" s="92">
        <v>934.4</v>
      </c>
      <c r="LM24" s="246">
        <v>44834</v>
      </c>
      <c r="LN24" s="92">
        <v>934.4</v>
      </c>
      <c r="LO24" s="95" t="s">
        <v>740</v>
      </c>
      <c r="LP24" s="71">
        <v>57</v>
      </c>
      <c r="LQ24" s="405">
        <f t="shared" si="36"/>
        <v>53260.799999999996</v>
      </c>
      <c r="LT24" s="106"/>
      <c r="LU24" s="15">
        <v>17</v>
      </c>
      <c r="LV24" s="92">
        <v>886.3</v>
      </c>
      <c r="LW24" s="246">
        <v>44835</v>
      </c>
      <c r="LX24" s="92">
        <v>886.3</v>
      </c>
      <c r="LY24" s="95" t="s">
        <v>753</v>
      </c>
      <c r="LZ24" s="71">
        <v>57</v>
      </c>
      <c r="MA24" s="405">
        <f t="shared" si="37"/>
        <v>50519.1</v>
      </c>
      <c r="MB24" s="405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87404465</v>
      </c>
      <c r="E25" s="135">
        <f t="shared" si="63"/>
        <v>44824</v>
      </c>
      <c r="F25" s="86">
        <f t="shared" si="63"/>
        <v>18163.849999999999</v>
      </c>
      <c r="G25" s="73">
        <f t="shared" si="63"/>
        <v>20</v>
      </c>
      <c r="H25" s="48">
        <f t="shared" si="63"/>
        <v>18207.09</v>
      </c>
      <c r="I25" s="105">
        <f t="shared" si="63"/>
        <v>-43.240000000001601</v>
      </c>
      <c r="L25" s="94"/>
      <c r="M25" s="15">
        <v>18</v>
      </c>
      <c r="N25" s="69">
        <v>940.7</v>
      </c>
      <c r="O25" s="254">
        <v>44803</v>
      </c>
      <c r="P25" s="69">
        <v>940.7</v>
      </c>
      <c r="Q25" s="70" t="s">
        <v>506</v>
      </c>
      <c r="R25" s="71">
        <v>53</v>
      </c>
      <c r="S25" s="405">
        <f t="shared" si="7"/>
        <v>49857.100000000006</v>
      </c>
      <c r="V25" s="94"/>
      <c r="W25" s="15">
        <v>18</v>
      </c>
      <c r="X25" s="69">
        <v>884.5</v>
      </c>
      <c r="Y25" s="254">
        <v>44806</v>
      </c>
      <c r="Z25" s="69">
        <v>884.5</v>
      </c>
      <c r="AA25" s="70" t="s">
        <v>551</v>
      </c>
      <c r="AB25" s="71">
        <v>51</v>
      </c>
      <c r="AC25" s="405">
        <f t="shared" si="8"/>
        <v>45109.5</v>
      </c>
      <c r="AF25" s="94"/>
      <c r="AG25" s="15">
        <v>18</v>
      </c>
      <c r="AH25" s="92">
        <v>921.7</v>
      </c>
      <c r="AI25" s="246">
        <v>44805</v>
      </c>
      <c r="AJ25" s="92">
        <v>921.7</v>
      </c>
      <c r="AK25" s="95" t="s">
        <v>534</v>
      </c>
      <c r="AL25" s="71">
        <v>49</v>
      </c>
      <c r="AM25" s="405">
        <f t="shared" si="9"/>
        <v>45163.3</v>
      </c>
      <c r="AP25" s="94"/>
      <c r="AQ25" s="15">
        <v>18</v>
      </c>
      <c r="AR25" s="92">
        <v>943.92</v>
      </c>
      <c r="AS25" s="246">
        <v>44803</v>
      </c>
      <c r="AT25" s="92">
        <v>943.92</v>
      </c>
      <c r="AU25" s="95" t="s">
        <v>514</v>
      </c>
      <c r="AV25" s="71">
        <v>53</v>
      </c>
      <c r="AW25" s="405">
        <f t="shared" si="10"/>
        <v>50027.759999999995</v>
      </c>
      <c r="AZ25" s="94"/>
      <c r="BA25" s="15">
        <v>18</v>
      </c>
      <c r="BB25" s="92">
        <v>963.43</v>
      </c>
      <c r="BC25" s="246">
        <v>44804</v>
      </c>
      <c r="BD25" s="92">
        <v>963.43</v>
      </c>
      <c r="BE25" s="95" t="s">
        <v>524</v>
      </c>
      <c r="BF25" s="71">
        <v>49</v>
      </c>
      <c r="BG25" s="405">
        <f t="shared" si="11"/>
        <v>47208.07</v>
      </c>
      <c r="BJ25" s="106"/>
      <c r="BK25" s="15">
        <v>18</v>
      </c>
      <c r="BL25" s="92">
        <v>916.3</v>
      </c>
      <c r="BM25" s="135">
        <v>44807</v>
      </c>
      <c r="BN25" s="92">
        <v>916.3</v>
      </c>
      <c r="BO25" s="95" t="s">
        <v>562</v>
      </c>
      <c r="BP25" s="290">
        <v>51</v>
      </c>
      <c r="BQ25" s="496">
        <f t="shared" si="12"/>
        <v>46731.299999999996</v>
      </c>
      <c r="BR25" s="405"/>
      <c r="BT25" s="106"/>
      <c r="BU25" s="15">
        <v>18</v>
      </c>
      <c r="BV25" s="92">
        <v>940.7</v>
      </c>
      <c r="BW25" s="291">
        <v>44809</v>
      </c>
      <c r="BX25" s="92">
        <v>940.7</v>
      </c>
      <c r="BY25" s="621" t="s">
        <v>566</v>
      </c>
      <c r="BZ25" s="292">
        <v>51</v>
      </c>
      <c r="CA25" s="405">
        <f t="shared" si="13"/>
        <v>47975.700000000004</v>
      </c>
      <c r="CD25" s="214"/>
      <c r="CE25" s="15">
        <v>18</v>
      </c>
      <c r="CF25" s="92">
        <v>873.6</v>
      </c>
      <c r="CG25" s="291">
        <v>44812</v>
      </c>
      <c r="CH25" s="92">
        <v>873.6</v>
      </c>
      <c r="CI25" s="293" t="s">
        <v>578</v>
      </c>
      <c r="CJ25" s="292">
        <v>53</v>
      </c>
      <c r="CK25" s="405">
        <f t="shared" si="14"/>
        <v>46300.800000000003</v>
      </c>
      <c r="CN25" s="423"/>
      <c r="CO25" s="15">
        <v>18</v>
      </c>
      <c r="CP25" s="92">
        <v>900.8</v>
      </c>
      <c r="CQ25" s="291">
        <v>44811</v>
      </c>
      <c r="CR25" s="92">
        <v>900.8</v>
      </c>
      <c r="CS25" s="293" t="s">
        <v>542</v>
      </c>
      <c r="CT25" s="292">
        <v>51</v>
      </c>
      <c r="CU25" s="410">
        <f t="shared" si="48"/>
        <v>45940.799999999996</v>
      </c>
      <c r="CX25" s="94"/>
      <c r="CY25" s="15">
        <v>18</v>
      </c>
      <c r="CZ25" s="92">
        <v>892.7</v>
      </c>
      <c r="DA25" s="246">
        <v>44812</v>
      </c>
      <c r="DB25" s="92">
        <v>892.7</v>
      </c>
      <c r="DC25" s="95" t="s">
        <v>583</v>
      </c>
      <c r="DD25" s="71">
        <v>53</v>
      </c>
      <c r="DE25" s="405">
        <f t="shared" si="15"/>
        <v>47313.100000000006</v>
      </c>
      <c r="DH25" s="94"/>
      <c r="DI25" s="15">
        <v>18</v>
      </c>
      <c r="DJ25" s="92">
        <v>920.8</v>
      </c>
      <c r="DK25" s="291">
        <v>44816</v>
      </c>
      <c r="DL25" s="918">
        <v>920.8</v>
      </c>
      <c r="DM25" s="919" t="s">
        <v>615</v>
      </c>
      <c r="DN25" s="292">
        <v>54</v>
      </c>
      <c r="DO25" s="410">
        <f t="shared" si="16"/>
        <v>49723.199999999997</v>
      </c>
      <c r="DR25" s="94"/>
      <c r="DS25" s="15">
        <v>18</v>
      </c>
      <c r="DT25" s="92">
        <v>922.1</v>
      </c>
      <c r="DU25" s="291">
        <v>44814</v>
      </c>
      <c r="DV25" s="92">
        <v>922.1</v>
      </c>
      <c r="DW25" s="293" t="s">
        <v>593</v>
      </c>
      <c r="DX25" s="292">
        <v>53</v>
      </c>
      <c r="DY25" s="405">
        <f t="shared" si="17"/>
        <v>48871.3</v>
      </c>
      <c r="EB25" s="94"/>
      <c r="EC25" s="15">
        <v>18</v>
      </c>
      <c r="ED25" s="69">
        <v>923.96</v>
      </c>
      <c r="EE25" s="254">
        <v>44814</v>
      </c>
      <c r="EF25" s="69">
        <v>923.96</v>
      </c>
      <c r="EG25" s="70" t="s">
        <v>600</v>
      </c>
      <c r="EH25" s="71">
        <v>53</v>
      </c>
      <c r="EI25" s="405">
        <f t="shared" si="18"/>
        <v>48969.880000000005</v>
      </c>
      <c r="EL25" s="94"/>
      <c r="EM25" s="15">
        <v>18</v>
      </c>
      <c r="EN25" s="69">
        <v>939.8</v>
      </c>
      <c r="EO25" s="254">
        <v>44817</v>
      </c>
      <c r="EP25" s="69">
        <v>939.8</v>
      </c>
      <c r="EQ25" s="70" t="s">
        <v>622</v>
      </c>
      <c r="ER25" s="71">
        <v>55</v>
      </c>
      <c r="ES25" s="405">
        <f t="shared" si="19"/>
        <v>51689</v>
      </c>
      <c r="EV25" s="94"/>
      <c r="EW25" s="15">
        <v>18</v>
      </c>
      <c r="EX25" s="92">
        <v>880.9</v>
      </c>
      <c r="EY25" s="246">
        <v>44817</v>
      </c>
      <c r="EZ25" s="92">
        <v>880.9</v>
      </c>
      <c r="FA25" s="70" t="s">
        <v>628</v>
      </c>
      <c r="FB25" s="71">
        <v>55</v>
      </c>
      <c r="FC25" s="405">
        <f t="shared" si="20"/>
        <v>48449.5</v>
      </c>
      <c r="FF25" s="94"/>
      <c r="FG25" s="15">
        <v>18</v>
      </c>
      <c r="FH25" s="92">
        <v>962.52</v>
      </c>
      <c r="FI25" s="246">
        <v>44817</v>
      </c>
      <c r="FJ25" s="92">
        <v>962.52</v>
      </c>
      <c r="FK25" s="70" t="s">
        <v>625</v>
      </c>
      <c r="FL25" s="71">
        <v>55</v>
      </c>
      <c r="FM25" s="245">
        <f t="shared" si="21"/>
        <v>52938.6</v>
      </c>
      <c r="FP25" s="94"/>
      <c r="FQ25" s="15">
        <v>18</v>
      </c>
      <c r="FR25" s="92">
        <v>916.25</v>
      </c>
      <c r="FS25" s="246">
        <v>44819</v>
      </c>
      <c r="FT25" s="92">
        <v>916.25</v>
      </c>
      <c r="FU25" s="70" t="s">
        <v>650</v>
      </c>
      <c r="FV25" s="71">
        <v>57</v>
      </c>
      <c r="FW25" s="405">
        <f t="shared" si="22"/>
        <v>52226.25</v>
      </c>
      <c r="FX25" s="71"/>
      <c r="FZ25" s="94"/>
      <c r="GA25" s="15">
        <v>18</v>
      </c>
      <c r="GB25" s="69">
        <v>924.4</v>
      </c>
      <c r="GC25" s="254">
        <v>44820</v>
      </c>
      <c r="GD25" s="69">
        <v>924.4</v>
      </c>
      <c r="GE25" s="70" t="s">
        <v>658</v>
      </c>
      <c r="GF25" s="71">
        <v>57</v>
      </c>
      <c r="GG25" s="245">
        <f t="shared" si="23"/>
        <v>52690.799999999996</v>
      </c>
      <c r="GJ25" s="94"/>
      <c r="GK25" s="15">
        <v>18</v>
      </c>
      <c r="GL25" s="359">
        <v>923.5</v>
      </c>
      <c r="GM25" s="246">
        <v>44820</v>
      </c>
      <c r="GN25" s="359">
        <v>923.5</v>
      </c>
      <c r="GO25" s="95" t="s">
        <v>660</v>
      </c>
      <c r="GP25" s="71">
        <v>57</v>
      </c>
      <c r="GQ25" s="405">
        <f t="shared" si="24"/>
        <v>52639.5</v>
      </c>
      <c r="GT25" s="94"/>
      <c r="GU25" s="15">
        <v>18</v>
      </c>
      <c r="GV25" s="92">
        <v>912.6</v>
      </c>
      <c r="GW25" s="246">
        <v>44824</v>
      </c>
      <c r="GX25" s="92">
        <v>912.6</v>
      </c>
      <c r="GY25" s="95" t="s">
        <v>681</v>
      </c>
      <c r="GZ25" s="71">
        <v>57</v>
      </c>
      <c r="HA25" s="405">
        <f t="shared" si="25"/>
        <v>52018.200000000004</v>
      </c>
      <c r="HD25" s="94"/>
      <c r="HE25" s="15">
        <v>18</v>
      </c>
      <c r="HF25" s="92">
        <v>924.4</v>
      </c>
      <c r="HG25" s="246">
        <v>44824</v>
      </c>
      <c r="HH25" s="92">
        <v>924.4</v>
      </c>
      <c r="HI25" s="95" t="s">
        <v>755</v>
      </c>
      <c r="HJ25" s="71">
        <v>57</v>
      </c>
      <c r="HK25" s="245">
        <f t="shared" si="26"/>
        <v>52690.799999999996</v>
      </c>
      <c r="HN25" s="214"/>
      <c r="HO25" s="15">
        <v>18</v>
      </c>
      <c r="HP25" s="92">
        <v>915.34</v>
      </c>
      <c r="HQ25" s="246">
        <v>44824</v>
      </c>
      <c r="HR25" s="92">
        <v>915.34</v>
      </c>
      <c r="HS25" s="294" t="s">
        <v>686</v>
      </c>
      <c r="HT25" s="71">
        <v>57</v>
      </c>
      <c r="HU25" s="245">
        <f t="shared" si="27"/>
        <v>52174.380000000005</v>
      </c>
      <c r="HX25" s="106"/>
      <c r="HY25" s="15">
        <v>18</v>
      </c>
      <c r="HZ25" s="69">
        <v>902.19</v>
      </c>
      <c r="IA25" s="254">
        <v>44825</v>
      </c>
      <c r="IB25" s="69">
        <v>902.19</v>
      </c>
      <c r="IC25" s="70" t="s">
        <v>698</v>
      </c>
      <c r="ID25" s="71">
        <v>57</v>
      </c>
      <c r="IE25" s="405">
        <f t="shared" si="5"/>
        <v>51424.83</v>
      </c>
      <c r="IH25" s="106"/>
      <c r="II25" s="15">
        <v>18</v>
      </c>
      <c r="IJ25" s="69">
        <v>904.5</v>
      </c>
      <c r="IK25" s="254">
        <v>44826</v>
      </c>
      <c r="IL25" s="69">
        <v>904.5</v>
      </c>
      <c r="IM25" s="70" t="s">
        <v>701</v>
      </c>
      <c r="IN25" s="71">
        <v>57</v>
      </c>
      <c r="IO25" s="405">
        <f t="shared" si="28"/>
        <v>51556.5</v>
      </c>
      <c r="IR25" s="94"/>
      <c r="IS25" s="15">
        <v>18</v>
      </c>
      <c r="IT25" s="92">
        <v>877.2</v>
      </c>
      <c r="IU25" s="135">
        <v>44828</v>
      </c>
      <c r="IV25" s="92">
        <v>877.2</v>
      </c>
      <c r="IW25" s="370" t="s">
        <v>711</v>
      </c>
      <c r="IX25" s="71">
        <v>57</v>
      </c>
      <c r="IY25" s="245">
        <f t="shared" si="29"/>
        <v>50000.4</v>
      </c>
      <c r="JA25" s="69"/>
      <c r="JB25" s="94"/>
      <c r="JC25" s="15">
        <v>18</v>
      </c>
      <c r="JD25" s="92">
        <v>894.9</v>
      </c>
      <c r="JE25" s="254">
        <v>44827</v>
      </c>
      <c r="JF25" s="92">
        <v>894.9</v>
      </c>
      <c r="JG25" s="70" t="s">
        <v>706</v>
      </c>
      <c r="JH25" s="71">
        <v>57</v>
      </c>
      <c r="JI25" s="405">
        <f t="shared" si="30"/>
        <v>51009.299999999996</v>
      </c>
      <c r="JL25" s="94"/>
      <c r="JM25" s="15">
        <v>18</v>
      </c>
      <c r="JN25" s="92">
        <v>948</v>
      </c>
      <c r="JO25" s="246">
        <v>44831</v>
      </c>
      <c r="JP25" s="92">
        <v>948</v>
      </c>
      <c r="JQ25" s="70" t="s">
        <v>727</v>
      </c>
      <c r="JR25" s="71">
        <v>57</v>
      </c>
      <c r="JS25" s="405">
        <f t="shared" si="31"/>
        <v>54036</v>
      </c>
      <c r="JV25" s="94"/>
      <c r="JW25" s="15">
        <v>18</v>
      </c>
      <c r="JX25" s="69">
        <v>868.2</v>
      </c>
      <c r="JY25" s="254">
        <v>44832</v>
      </c>
      <c r="JZ25" s="69">
        <v>868.2</v>
      </c>
      <c r="KA25" s="70" t="s">
        <v>732</v>
      </c>
      <c r="KB25" s="71">
        <v>57</v>
      </c>
      <c r="KC25" s="405">
        <f t="shared" si="32"/>
        <v>49487.4</v>
      </c>
      <c r="KF25" s="94"/>
      <c r="KG25" s="15">
        <v>18</v>
      </c>
      <c r="KH25" s="69">
        <v>887.2</v>
      </c>
      <c r="KI25" s="254">
        <v>44833</v>
      </c>
      <c r="KJ25" s="69">
        <v>887.2</v>
      </c>
      <c r="KK25" s="70" t="s">
        <v>733</v>
      </c>
      <c r="KL25" s="71">
        <v>57</v>
      </c>
      <c r="KM25" s="405">
        <f t="shared" si="33"/>
        <v>50570.400000000001</v>
      </c>
      <c r="KP25" s="94"/>
      <c r="KQ25" s="15">
        <v>18</v>
      </c>
      <c r="KR25" s="69">
        <v>870</v>
      </c>
      <c r="KS25" s="254">
        <v>44834</v>
      </c>
      <c r="KT25" s="934">
        <v>870</v>
      </c>
      <c r="KU25" s="932" t="s">
        <v>742</v>
      </c>
      <c r="KV25" s="933">
        <v>57</v>
      </c>
      <c r="KW25" s="405">
        <f t="shared" si="34"/>
        <v>49590</v>
      </c>
      <c r="KZ25" s="94"/>
      <c r="LA25" s="15">
        <v>18</v>
      </c>
      <c r="LB25" s="92">
        <v>941.2</v>
      </c>
      <c r="LC25" s="246">
        <v>44834</v>
      </c>
      <c r="LD25" s="92">
        <v>941.2</v>
      </c>
      <c r="LE25" s="95" t="s">
        <v>747</v>
      </c>
      <c r="LF25" s="71">
        <v>57</v>
      </c>
      <c r="LG25" s="405">
        <f t="shared" si="35"/>
        <v>53648.4</v>
      </c>
      <c r="LJ25" s="94"/>
      <c r="LK25" s="15">
        <v>18</v>
      </c>
      <c r="LL25" s="92">
        <v>920.8</v>
      </c>
      <c r="LM25" s="246">
        <v>44834</v>
      </c>
      <c r="LN25" s="92">
        <v>920.8</v>
      </c>
      <c r="LO25" s="95" t="s">
        <v>740</v>
      </c>
      <c r="LP25" s="71">
        <v>57</v>
      </c>
      <c r="LQ25" s="405">
        <f t="shared" si="36"/>
        <v>52485.599999999999</v>
      </c>
      <c r="LT25" s="94"/>
      <c r="LU25" s="15">
        <v>18</v>
      </c>
      <c r="LV25" s="92">
        <v>875.4</v>
      </c>
      <c r="LW25" s="246">
        <v>44835</v>
      </c>
      <c r="LX25" s="92">
        <v>875.4</v>
      </c>
      <c r="LY25" s="95" t="s">
        <v>752</v>
      </c>
      <c r="LZ25" s="71">
        <v>57</v>
      </c>
      <c r="MA25" s="405">
        <f t="shared" si="37"/>
        <v>49897.799999999996</v>
      </c>
      <c r="MB25" s="405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MEATS</v>
      </c>
      <c r="C26" s="75" t="str">
        <f t="shared" si="64"/>
        <v xml:space="preserve">I BP </v>
      </c>
      <c r="D26" s="102" t="str">
        <f t="shared" si="64"/>
        <v>PED. 87465798</v>
      </c>
      <c r="E26" s="135">
        <f t="shared" si="64"/>
        <v>44825</v>
      </c>
      <c r="F26" s="86">
        <f t="shared" si="64"/>
        <v>18296.439999999999</v>
      </c>
      <c r="G26" s="73">
        <f t="shared" si="64"/>
        <v>20</v>
      </c>
      <c r="H26" s="48">
        <f t="shared" si="64"/>
        <v>18329.09</v>
      </c>
      <c r="I26" s="105">
        <f t="shared" si="64"/>
        <v>-32.650000000001455</v>
      </c>
      <c r="L26" s="94"/>
      <c r="M26" s="15">
        <v>19</v>
      </c>
      <c r="N26" s="69">
        <v>874.5</v>
      </c>
      <c r="O26" s="254">
        <v>44803</v>
      </c>
      <c r="P26" s="69">
        <v>874.5</v>
      </c>
      <c r="Q26" s="70" t="s">
        <v>506</v>
      </c>
      <c r="R26" s="71">
        <v>53</v>
      </c>
      <c r="S26" s="405">
        <f t="shared" si="7"/>
        <v>46348.5</v>
      </c>
      <c r="V26" s="94"/>
      <c r="W26" s="15">
        <v>19</v>
      </c>
      <c r="X26" s="69">
        <v>938.9</v>
      </c>
      <c r="Y26" s="254">
        <v>44806</v>
      </c>
      <c r="Z26" s="69">
        <v>938.9</v>
      </c>
      <c r="AA26" s="70" t="s">
        <v>551</v>
      </c>
      <c r="AB26" s="71">
        <v>51</v>
      </c>
      <c r="AC26" s="405">
        <f t="shared" si="8"/>
        <v>47883.9</v>
      </c>
      <c r="AF26" s="106"/>
      <c r="AG26" s="15">
        <v>19</v>
      </c>
      <c r="AH26" s="92">
        <v>933.9</v>
      </c>
      <c r="AI26" s="246">
        <v>44806</v>
      </c>
      <c r="AJ26" s="92">
        <v>933.9</v>
      </c>
      <c r="AK26" s="95" t="s">
        <v>535</v>
      </c>
      <c r="AL26" s="71">
        <v>49</v>
      </c>
      <c r="AM26" s="405">
        <f t="shared" si="9"/>
        <v>45761.1</v>
      </c>
      <c r="AP26" s="106"/>
      <c r="AQ26" s="15">
        <v>19</v>
      </c>
      <c r="AR26" s="92">
        <v>887.22</v>
      </c>
      <c r="AS26" s="246">
        <v>44803</v>
      </c>
      <c r="AT26" s="92">
        <v>887.22</v>
      </c>
      <c r="AU26" s="95" t="s">
        <v>513</v>
      </c>
      <c r="AV26" s="71">
        <v>53</v>
      </c>
      <c r="AW26" s="405">
        <f t="shared" si="10"/>
        <v>47022.66</v>
      </c>
      <c r="AZ26" s="106"/>
      <c r="BA26" s="15">
        <v>19</v>
      </c>
      <c r="BB26" s="92">
        <v>923.96</v>
      </c>
      <c r="BC26" s="246">
        <v>44804</v>
      </c>
      <c r="BD26" s="92">
        <v>923.96</v>
      </c>
      <c r="BE26" s="95" t="s">
        <v>524</v>
      </c>
      <c r="BF26" s="71">
        <v>49</v>
      </c>
      <c r="BG26" s="405">
        <f t="shared" si="11"/>
        <v>45274.04</v>
      </c>
      <c r="BJ26" s="106"/>
      <c r="BK26" s="15">
        <v>19</v>
      </c>
      <c r="BL26" s="92">
        <v>898.1</v>
      </c>
      <c r="BM26" s="135">
        <v>44806</v>
      </c>
      <c r="BN26" s="92">
        <v>898.1</v>
      </c>
      <c r="BO26" s="95" t="s">
        <v>551</v>
      </c>
      <c r="BP26" s="290">
        <v>51</v>
      </c>
      <c r="BQ26" s="496">
        <f t="shared" si="12"/>
        <v>45803.1</v>
      </c>
      <c r="BR26" s="405"/>
      <c r="BT26" s="106"/>
      <c r="BU26" s="15">
        <v>19</v>
      </c>
      <c r="BV26" s="92">
        <v>920.8</v>
      </c>
      <c r="BW26" s="291">
        <v>44809</v>
      </c>
      <c r="BX26" s="92">
        <v>920.8</v>
      </c>
      <c r="BY26" s="621" t="s">
        <v>540</v>
      </c>
      <c r="BZ26" s="292">
        <v>51</v>
      </c>
      <c r="CA26" s="405">
        <f t="shared" si="13"/>
        <v>46960.799999999996</v>
      </c>
      <c r="CD26" s="214"/>
      <c r="CE26" s="15">
        <v>19</v>
      </c>
      <c r="CF26" s="92">
        <v>907.2</v>
      </c>
      <c r="CG26" s="291">
        <v>44812</v>
      </c>
      <c r="CH26" s="92">
        <v>907.2</v>
      </c>
      <c r="CI26" s="293" t="s">
        <v>578</v>
      </c>
      <c r="CJ26" s="292">
        <v>53</v>
      </c>
      <c r="CK26" s="405">
        <f t="shared" si="14"/>
        <v>48081.600000000006</v>
      </c>
      <c r="CN26" s="423"/>
      <c r="CO26" s="15">
        <v>19</v>
      </c>
      <c r="CP26" s="92">
        <v>873.6</v>
      </c>
      <c r="CQ26" s="291">
        <v>44811</v>
      </c>
      <c r="CR26" s="92">
        <v>873.6</v>
      </c>
      <c r="CS26" s="293" t="s">
        <v>542</v>
      </c>
      <c r="CT26" s="292">
        <v>51</v>
      </c>
      <c r="CU26" s="410">
        <f t="shared" si="48"/>
        <v>44553.599999999999</v>
      </c>
      <c r="CX26" s="106"/>
      <c r="CY26" s="15">
        <v>19</v>
      </c>
      <c r="CZ26" s="92">
        <v>914.4</v>
      </c>
      <c r="DA26" s="246">
        <v>44812</v>
      </c>
      <c r="DB26" s="92">
        <v>914.4</v>
      </c>
      <c r="DC26" s="95" t="s">
        <v>583</v>
      </c>
      <c r="DD26" s="71">
        <v>53</v>
      </c>
      <c r="DE26" s="405">
        <f t="shared" si="15"/>
        <v>48463.199999999997</v>
      </c>
      <c r="DH26" s="106"/>
      <c r="DI26" s="15">
        <v>19</v>
      </c>
      <c r="DJ26" s="92">
        <v>896.3</v>
      </c>
      <c r="DK26" s="291">
        <v>44816</v>
      </c>
      <c r="DL26" s="918">
        <v>896.3</v>
      </c>
      <c r="DM26" s="919" t="s">
        <v>606</v>
      </c>
      <c r="DN26" s="292">
        <v>54</v>
      </c>
      <c r="DO26" s="410">
        <f t="shared" si="16"/>
        <v>48400.2</v>
      </c>
      <c r="DR26" s="106"/>
      <c r="DS26" s="15">
        <v>19</v>
      </c>
      <c r="DT26" s="92">
        <v>889.5</v>
      </c>
      <c r="DU26" s="291">
        <v>44814</v>
      </c>
      <c r="DV26" s="92">
        <v>889.5</v>
      </c>
      <c r="DW26" s="293" t="s">
        <v>593</v>
      </c>
      <c r="DX26" s="292">
        <v>53</v>
      </c>
      <c r="DY26" s="405">
        <f t="shared" si="17"/>
        <v>47143.5</v>
      </c>
      <c r="EB26" s="106"/>
      <c r="EC26" s="15">
        <v>19</v>
      </c>
      <c r="ED26" s="69">
        <v>917.16</v>
      </c>
      <c r="EE26" s="254">
        <v>44814</v>
      </c>
      <c r="EF26" s="69">
        <v>917.16</v>
      </c>
      <c r="EG26" s="70" t="s">
        <v>600</v>
      </c>
      <c r="EH26" s="71">
        <v>53</v>
      </c>
      <c r="EI26" s="405">
        <f t="shared" si="18"/>
        <v>48609.479999999996</v>
      </c>
      <c r="EL26" s="106"/>
      <c r="EM26" s="15">
        <v>19</v>
      </c>
      <c r="EN26" s="69">
        <v>874.5</v>
      </c>
      <c r="EO26" s="254">
        <v>44817</v>
      </c>
      <c r="EP26" s="69">
        <v>874.5</v>
      </c>
      <c r="EQ26" s="70" t="s">
        <v>622</v>
      </c>
      <c r="ER26" s="71">
        <v>55</v>
      </c>
      <c r="ES26" s="405">
        <f t="shared" si="19"/>
        <v>48097.5</v>
      </c>
      <c r="EV26" s="94"/>
      <c r="EW26" s="15">
        <v>19</v>
      </c>
      <c r="EX26" s="92">
        <v>919.9</v>
      </c>
      <c r="EY26" s="246">
        <v>44818</v>
      </c>
      <c r="EZ26" s="92">
        <v>919.9</v>
      </c>
      <c r="FA26" s="70" t="s">
        <v>629</v>
      </c>
      <c r="FB26" s="71">
        <v>55</v>
      </c>
      <c r="FC26" s="405">
        <f t="shared" si="20"/>
        <v>50594.5</v>
      </c>
      <c r="FF26" s="94"/>
      <c r="FG26" s="15">
        <v>19</v>
      </c>
      <c r="FH26" s="92">
        <v>946.64</v>
      </c>
      <c r="FI26" s="246">
        <v>44817</v>
      </c>
      <c r="FJ26" s="92">
        <v>946.64</v>
      </c>
      <c r="FK26" s="70" t="s">
        <v>625</v>
      </c>
      <c r="FL26" s="71">
        <v>55</v>
      </c>
      <c r="FM26" s="245">
        <f t="shared" si="21"/>
        <v>52065.2</v>
      </c>
      <c r="FP26" s="106"/>
      <c r="FQ26" s="15">
        <v>19</v>
      </c>
      <c r="FR26" s="92">
        <v>911.72</v>
      </c>
      <c r="FS26" s="246">
        <v>44819</v>
      </c>
      <c r="FT26" s="92">
        <v>911.72</v>
      </c>
      <c r="FU26" s="70" t="s">
        <v>650</v>
      </c>
      <c r="FV26" s="71">
        <v>57</v>
      </c>
      <c r="FW26" s="405">
        <f t="shared" si="22"/>
        <v>51968.04</v>
      </c>
      <c r="FX26" s="71"/>
      <c r="FZ26" s="106"/>
      <c r="GA26" s="15">
        <v>19</v>
      </c>
      <c r="GB26" s="69">
        <v>928</v>
      </c>
      <c r="GC26" s="254">
        <v>44820</v>
      </c>
      <c r="GD26" s="69">
        <v>928</v>
      </c>
      <c r="GE26" s="70" t="s">
        <v>655</v>
      </c>
      <c r="GF26" s="71">
        <v>57</v>
      </c>
      <c r="GG26" s="245">
        <f t="shared" si="23"/>
        <v>52896</v>
      </c>
      <c r="GJ26" s="106"/>
      <c r="GK26" s="15">
        <v>19</v>
      </c>
      <c r="GL26" s="359">
        <v>922.6</v>
      </c>
      <c r="GM26" s="246">
        <v>44820</v>
      </c>
      <c r="GN26" s="359">
        <v>922.6</v>
      </c>
      <c r="GO26" s="95" t="s">
        <v>660</v>
      </c>
      <c r="GP26" s="71">
        <v>57</v>
      </c>
      <c r="GQ26" s="405">
        <f t="shared" si="24"/>
        <v>52588.200000000004</v>
      </c>
      <c r="GT26" s="106"/>
      <c r="GU26" s="15">
        <v>19</v>
      </c>
      <c r="GV26" s="92">
        <v>905.4</v>
      </c>
      <c r="GW26" s="246">
        <v>44824</v>
      </c>
      <c r="GX26" s="92">
        <v>905.4</v>
      </c>
      <c r="GY26" s="95" t="s">
        <v>681</v>
      </c>
      <c r="GZ26" s="71">
        <v>57</v>
      </c>
      <c r="HA26" s="405">
        <f t="shared" si="25"/>
        <v>51607.799999999996</v>
      </c>
      <c r="HD26" s="106"/>
      <c r="HE26" s="15">
        <v>19</v>
      </c>
      <c r="HF26" s="92">
        <v>880</v>
      </c>
      <c r="HG26" s="246">
        <v>44824</v>
      </c>
      <c r="HH26" s="92">
        <v>880</v>
      </c>
      <c r="HI26" s="95" t="s">
        <v>755</v>
      </c>
      <c r="HJ26" s="71">
        <v>57</v>
      </c>
      <c r="HK26" s="245">
        <f t="shared" si="26"/>
        <v>50160</v>
      </c>
      <c r="HN26" s="214"/>
      <c r="HO26" s="15">
        <v>19</v>
      </c>
      <c r="HP26" s="92">
        <v>911.7</v>
      </c>
      <c r="HQ26" s="246">
        <v>44824</v>
      </c>
      <c r="HR26" s="92">
        <v>911.7</v>
      </c>
      <c r="HS26" s="294" t="s">
        <v>686</v>
      </c>
      <c r="HT26" s="71">
        <v>57</v>
      </c>
      <c r="HU26" s="245">
        <f t="shared" si="27"/>
        <v>51966.9</v>
      </c>
      <c r="HX26" s="106"/>
      <c r="HY26" s="15">
        <v>19</v>
      </c>
      <c r="HZ26" s="69">
        <v>884.5</v>
      </c>
      <c r="IA26" s="254">
        <v>44825</v>
      </c>
      <c r="IB26" s="69">
        <v>884.5</v>
      </c>
      <c r="IC26" s="70" t="s">
        <v>698</v>
      </c>
      <c r="ID26" s="71">
        <v>57</v>
      </c>
      <c r="IE26" s="405">
        <f t="shared" si="5"/>
        <v>50416.5</v>
      </c>
      <c r="IH26" s="106"/>
      <c r="II26" s="15">
        <v>19</v>
      </c>
      <c r="IJ26" s="69">
        <v>879.1</v>
      </c>
      <c r="IK26" s="254">
        <v>44826</v>
      </c>
      <c r="IL26" s="69">
        <v>879.1</v>
      </c>
      <c r="IM26" s="70" t="s">
        <v>701</v>
      </c>
      <c r="IN26" s="71">
        <v>57</v>
      </c>
      <c r="IO26" s="405">
        <f t="shared" si="28"/>
        <v>50108.700000000004</v>
      </c>
      <c r="IR26" s="106"/>
      <c r="IS26" s="15">
        <v>19</v>
      </c>
      <c r="IT26" s="92">
        <v>901.7</v>
      </c>
      <c r="IU26" s="135">
        <v>44827</v>
      </c>
      <c r="IV26" s="92">
        <v>901.7</v>
      </c>
      <c r="IW26" s="370" t="s">
        <v>710</v>
      </c>
      <c r="IX26" s="71">
        <v>57</v>
      </c>
      <c r="IY26" s="245">
        <f t="shared" si="29"/>
        <v>51396.9</v>
      </c>
      <c r="JA26" s="69"/>
      <c r="JB26" s="106"/>
      <c r="JC26" s="15">
        <v>19</v>
      </c>
      <c r="JD26" s="92">
        <v>923.1</v>
      </c>
      <c r="JE26" s="254">
        <v>44827</v>
      </c>
      <c r="JF26" s="92">
        <v>923.1</v>
      </c>
      <c r="JG26" s="70" t="s">
        <v>706</v>
      </c>
      <c r="JH26" s="71">
        <v>57</v>
      </c>
      <c r="JI26" s="405">
        <f t="shared" si="30"/>
        <v>52616.700000000004</v>
      </c>
      <c r="JL26" s="106"/>
      <c r="JM26" s="15">
        <v>19</v>
      </c>
      <c r="JN26" s="92">
        <v>948.91</v>
      </c>
      <c r="JO26" s="246">
        <v>44831</v>
      </c>
      <c r="JP26" s="92">
        <v>948.91</v>
      </c>
      <c r="JQ26" s="70" t="s">
        <v>727</v>
      </c>
      <c r="JR26" s="71">
        <v>57</v>
      </c>
      <c r="JS26" s="405">
        <f t="shared" si="31"/>
        <v>54087.869999999995</v>
      </c>
      <c r="JV26" s="94"/>
      <c r="JW26" s="15">
        <v>19</v>
      </c>
      <c r="JX26" s="69">
        <v>935.3</v>
      </c>
      <c r="JY26" s="254">
        <v>44832</v>
      </c>
      <c r="JZ26" s="69">
        <v>935.3</v>
      </c>
      <c r="KA26" s="70" t="s">
        <v>732</v>
      </c>
      <c r="KB26" s="71">
        <v>57</v>
      </c>
      <c r="KC26" s="405">
        <f t="shared" si="32"/>
        <v>53312.1</v>
      </c>
      <c r="KF26" s="94"/>
      <c r="KG26" s="15">
        <v>19</v>
      </c>
      <c r="KH26" s="69">
        <v>902.6</v>
      </c>
      <c r="KI26" s="254">
        <v>44833</v>
      </c>
      <c r="KJ26" s="69">
        <v>902.6</v>
      </c>
      <c r="KK26" s="70" t="s">
        <v>733</v>
      </c>
      <c r="KL26" s="71">
        <v>57</v>
      </c>
      <c r="KM26" s="405">
        <f t="shared" si="33"/>
        <v>51448.200000000004</v>
      </c>
      <c r="KP26" s="94"/>
      <c r="KQ26" s="15">
        <v>19</v>
      </c>
      <c r="KR26" s="69">
        <v>921.7</v>
      </c>
      <c r="KS26" s="254">
        <v>44834</v>
      </c>
      <c r="KT26" s="934">
        <v>921.7</v>
      </c>
      <c r="KU26" s="932" t="s">
        <v>738</v>
      </c>
      <c r="KV26" s="933">
        <v>57</v>
      </c>
      <c r="KW26" s="405">
        <f t="shared" si="34"/>
        <v>52536.9</v>
      </c>
      <c r="KZ26" s="106"/>
      <c r="LA26" s="15">
        <v>19</v>
      </c>
      <c r="LB26" s="92">
        <v>944.83</v>
      </c>
      <c r="LC26" s="246">
        <v>44834</v>
      </c>
      <c r="LD26" s="92">
        <v>944.83</v>
      </c>
      <c r="LE26" s="95" t="s">
        <v>747</v>
      </c>
      <c r="LF26" s="71">
        <v>57</v>
      </c>
      <c r="LG26" s="405">
        <f t="shared" si="35"/>
        <v>53855.310000000005</v>
      </c>
      <c r="LJ26" s="106"/>
      <c r="LK26" s="15">
        <v>19</v>
      </c>
      <c r="LL26" s="92">
        <v>898.1</v>
      </c>
      <c r="LM26" s="246">
        <v>44834</v>
      </c>
      <c r="LN26" s="92">
        <v>898.1</v>
      </c>
      <c r="LO26" s="95" t="s">
        <v>740</v>
      </c>
      <c r="LP26" s="71">
        <v>57</v>
      </c>
      <c r="LQ26" s="405">
        <f t="shared" si="36"/>
        <v>51191.700000000004</v>
      </c>
      <c r="LT26" s="106"/>
      <c r="LU26" s="15">
        <v>19</v>
      </c>
      <c r="LV26" s="92">
        <v>905.4</v>
      </c>
      <c r="LW26" s="246">
        <v>44835</v>
      </c>
      <c r="LX26" s="92">
        <v>905.4</v>
      </c>
      <c r="LY26" s="95" t="s">
        <v>752</v>
      </c>
      <c r="LZ26" s="71">
        <v>57</v>
      </c>
      <c r="MA26" s="405">
        <f t="shared" si="37"/>
        <v>51607.799999999996</v>
      </c>
      <c r="MB26" s="405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7" t="str">
        <f t="shared" si="65"/>
        <v>Seaboard</v>
      </c>
      <c r="D27" s="102" t="str">
        <f t="shared" si="65"/>
        <v>PED. 87518661</v>
      </c>
      <c r="E27" s="135">
        <f t="shared" si="65"/>
        <v>44826</v>
      </c>
      <c r="F27" s="86">
        <f t="shared" si="65"/>
        <v>19078.37</v>
      </c>
      <c r="G27" s="73">
        <f t="shared" si="65"/>
        <v>21</v>
      </c>
      <c r="H27" s="48">
        <f t="shared" si="65"/>
        <v>19098.400000000001</v>
      </c>
      <c r="I27" s="105">
        <f t="shared" si="65"/>
        <v>-20.030000000002474</v>
      </c>
      <c r="L27" s="94"/>
      <c r="M27" s="15">
        <v>20</v>
      </c>
      <c r="N27" s="69">
        <v>870</v>
      </c>
      <c r="O27" s="254">
        <v>44803</v>
      </c>
      <c r="P27" s="69">
        <v>870</v>
      </c>
      <c r="Q27" s="70" t="s">
        <v>508</v>
      </c>
      <c r="R27" s="71">
        <v>53</v>
      </c>
      <c r="S27" s="405">
        <f t="shared" si="7"/>
        <v>46110</v>
      </c>
      <c r="V27" s="94"/>
      <c r="W27" s="15">
        <v>20</v>
      </c>
      <c r="X27" s="69">
        <v>899.9</v>
      </c>
      <c r="Y27" s="254">
        <v>44806</v>
      </c>
      <c r="Z27" s="69">
        <v>899.9</v>
      </c>
      <c r="AA27" s="70" t="s">
        <v>551</v>
      </c>
      <c r="AB27" s="71">
        <v>51</v>
      </c>
      <c r="AC27" s="405">
        <f t="shared" si="8"/>
        <v>45894.9</v>
      </c>
      <c r="AF27" s="106"/>
      <c r="AG27" s="15">
        <v>20</v>
      </c>
      <c r="AH27" s="92">
        <v>941.2</v>
      </c>
      <c r="AI27" s="246">
        <v>44805</v>
      </c>
      <c r="AJ27" s="92">
        <v>941.2</v>
      </c>
      <c r="AK27" s="95" t="s">
        <v>534</v>
      </c>
      <c r="AL27" s="71">
        <v>49</v>
      </c>
      <c r="AM27" s="405">
        <f t="shared" si="9"/>
        <v>46118.8</v>
      </c>
      <c r="AP27" s="106"/>
      <c r="AQ27" s="15">
        <v>20</v>
      </c>
      <c r="AR27" s="92">
        <v>917.61</v>
      </c>
      <c r="AS27" s="246">
        <v>44803</v>
      </c>
      <c r="AT27" s="92">
        <v>917.61</v>
      </c>
      <c r="AU27" s="95" t="s">
        <v>513</v>
      </c>
      <c r="AV27" s="71">
        <v>53</v>
      </c>
      <c r="AW27" s="405">
        <f t="shared" si="10"/>
        <v>48633.33</v>
      </c>
      <c r="AZ27" s="106"/>
      <c r="BA27" s="15">
        <v>20</v>
      </c>
      <c r="BB27" s="92">
        <v>922.15</v>
      </c>
      <c r="BC27" s="246">
        <v>44804</v>
      </c>
      <c r="BD27" s="92">
        <v>922.15</v>
      </c>
      <c r="BE27" s="95" t="s">
        <v>524</v>
      </c>
      <c r="BF27" s="71">
        <v>49</v>
      </c>
      <c r="BG27" s="405">
        <f t="shared" si="11"/>
        <v>45185.35</v>
      </c>
      <c r="BJ27" s="106"/>
      <c r="BK27" s="15">
        <v>20</v>
      </c>
      <c r="BL27" s="92">
        <v>915.3</v>
      </c>
      <c r="BM27" s="135">
        <v>44807</v>
      </c>
      <c r="BN27" s="92">
        <v>915.3</v>
      </c>
      <c r="BO27" s="95" t="s">
        <v>562</v>
      </c>
      <c r="BP27" s="290">
        <v>51</v>
      </c>
      <c r="BQ27" s="496">
        <f t="shared" si="12"/>
        <v>46680.299999999996</v>
      </c>
      <c r="BR27" s="405"/>
      <c r="BT27" s="106"/>
      <c r="BU27" s="15">
        <v>20</v>
      </c>
      <c r="BV27" s="92">
        <v>913.5</v>
      </c>
      <c r="BW27" s="291">
        <v>44809</v>
      </c>
      <c r="BX27" s="92">
        <v>913.5</v>
      </c>
      <c r="BY27" s="621" t="s">
        <v>567</v>
      </c>
      <c r="BZ27" s="292">
        <v>51</v>
      </c>
      <c r="CA27" s="405">
        <f t="shared" si="13"/>
        <v>46588.5</v>
      </c>
      <c r="CD27" s="214"/>
      <c r="CE27" s="15">
        <v>20</v>
      </c>
      <c r="CF27" s="92">
        <v>933.5</v>
      </c>
      <c r="CG27" s="291">
        <v>44812</v>
      </c>
      <c r="CH27" s="92">
        <v>933.5</v>
      </c>
      <c r="CI27" s="293" t="s">
        <v>578</v>
      </c>
      <c r="CJ27" s="292">
        <v>53</v>
      </c>
      <c r="CK27" s="405">
        <f t="shared" si="14"/>
        <v>49475.5</v>
      </c>
      <c r="CN27" s="423"/>
      <c r="CO27" s="15">
        <v>20</v>
      </c>
      <c r="CP27" s="92">
        <v>919</v>
      </c>
      <c r="CQ27" s="291">
        <v>44811</v>
      </c>
      <c r="CR27" s="92">
        <v>919</v>
      </c>
      <c r="CS27" s="293" t="s">
        <v>542</v>
      </c>
      <c r="CT27" s="292">
        <v>51</v>
      </c>
      <c r="CU27" s="410">
        <f t="shared" si="48"/>
        <v>46869</v>
      </c>
      <c r="CX27" s="106"/>
      <c r="CY27" s="15">
        <v>20</v>
      </c>
      <c r="CZ27" s="92">
        <v>890.9</v>
      </c>
      <c r="DA27" s="246">
        <v>44812</v>
      </c>
      <c r="DB27" s="92">
        <v>890.9</v>
      </c>
      <c r="DC27" s="95" t="s">
        <v>583</v>
      </c>
      <c r="DD27" s="71">
        <v>53</v>
      </c>
      <c r="DE27" s="405">
        <f t="shared" si="15"/>
        <v>47217.7</v>
      </c>
      <c r="DH27" s="106"/>
      <c r="DI27" s="15">
        <v>20</v>
      </c>
      <c r="DJ27" s="92">
        <v>901.3</v>
      </c>
      <c r="DK27" s="291">
        <v>44816</v>
      </c>
      <c r="DL27" s="918">
        <v>901.3</v>
      </c>
      <c r="DM27" s="919" t="s">
        <v>610</v>
      </c>
      <c r="DN27" s="292">
        <v>54</v>
      </c>
      <c r="DO27" s="410">
        <f t="shared" si="16"/>
        <v>48670.2</v>
      </c>
      <c r="DR27" s="106"/>
      <c r="DS27" s="15">
        <v>20</v>
      </c>
      <c r="DT27" s="92">
        <v>919.9</v>
      </c>
      <c r="DU27" s="291">
        <v>44814</v>
      </c>
      <c r="DV27" s="92">
        <v>919.9</v>
      </c>
      <c r="DW27" s="293" t="s">
        <v>593</v>
      </c>
      <c r="DX27" s="292">
        <v>53</v>
      </c>
      <c r="DY27" s="405">
        <f t="shared" si="17"/>
        <v>48754.7</v>
      </c>
      <c r="EB27" s="106"/>
      <c r="EC27" s="15">
        <v>20</v>
      </c>
      <c r="ED27" s="69">
        <v>906.27</v>
      </c>
      <c r="EE27" s="254">
        <v>44814</v>
      </c>
      <c r="EF27" s="69">
        <v>906.27</v>
      </c>
      <c r="EG27" s="70" t="s">
        <v>604</v>
      </c>
      <c r="EH27" s="71">
        <v>54</v>
      </c>
      <c r="EI27" s="405">
        <f t="shared" si="18"/>
        <v>48938.58</v>
      </c>
      <c r="EL27" s="106"/>
      <c r="EM27" s="15">
        <v>20</v>
      </c>
      <c r="EN27" s="69">
        <v>936.2</v>
      </c>
      <c r="EO27" s="254">
        <v>44817</v>
      </c>
      <c r="EP27" s="69">
        <v>936.2</v>
      </c>
      <c r="EQ27" s="70" t="s">
        <v>622</v>
      </c>
      <c r="ER27" s="71">
        <v>55</v>
      </c>
      <c r="ES27" s="405">
        <f t="shared" si="19"/>
        <v>51491</v>
      </c>
      <c r="EV27" s="94"/>
      <c r="EW27" s="15">
        <v>20</v>
      </c>
      <c r="EX27" s="92">
        <v>907.2</v>
      </c>
      <c r="EY27" s="246">
        <v>44817</v>
      </c>
      <c r="EZ27" s="92">
        <v>907.2</v>
      </c>
      <c r="FA27" s="70" t="s">
        <v>627</v>
      </c>
      <c r="FB27" s="71">
        <v>55</v>
      </c>
      <c r="FC27" s="405">
        <f t="shared" si="20"/>
        <v>49896</v>
      </c>
      <c r="FF27" s="94"/>
      <c r="FG27" s="15">
        <v>20</v>
      </c>
      <c r="FH27" s="92">
        <v>945.74</v>
      </c>
      <c r="FI27" s="246">
        <v>44817</v>
      </c>
      <c r="FJ27" s="92">
        <v>945.74</v>
      </c>
      <c r="FK27" s="70" t="s">
        <v>625</v>
      </c>
      <c r="FL27" s="71">
        <v>55</v>
      </c>
      <c r="FM27" s="245">
        <f t="shared" si="21"/>
        <v>52015.7</v>
      </c>
      <c r="FP27" s="106"/>
      <c r="FQ27" s="15">
        <v>20</v>
      </c>
      <c r="FR27" s="92">
        <v>948</v>
      </c>
      <c r="FS27" s="246">
        <v>44819</v>
      </c>
      <c r="FT27" s="92">
        <v>948</v>
      </c>
      <c r="FU27" s="70" t="s">
        <v>650</v>
      </c>
      <c r="FV27" s="71">
        <v>57</v>
      </c>
      <c r="FW27" s="405">
        <f t="shared" si="22"/>
        <v>54036</v>
      </c>
      <c r="FX27" s="71"/>
      <c r="FZ27" s="106"/>
      <c r="GA27" s="15">
        <v>20</v>
      </c>
      <c r="GB27" s="69">
        <v>870</v>
      </c>
      <c r="GC27" s="254">
        <v>44820</v>
      </c>
      <c r="GD27" s="69">
        <v>870</v>
      </c>
      <c r="GE27" s="70" t="s">
        <v>652</v>
      </c>
      <c r="GF27" s="71">
        <v>57</v>
      </c>
      <c r="GG27" s="245">
        <f t="shared" si="23"/>
        <v>49590</v>
      </c>
      <c r="GJ27" s="106"/>
      <c r="GK27" s="15">
        <v>20</v>
      </c>
      <c r="GL27" s="359">
        <v>940.7</v>
      </c>
      <c r="GM27" s="246">
        <v>44820</v>
      </c>
      <c r="GN27" s="359">
        <v>940.7</v>
      </c>
      <c r="GO27" s="95" t="s">
        <v>660</v>
      </c>
      <c r="GP27" s="71">
        <v>57</v>
      </c>
      <c r="GQ27" s="405">
        <f t="shared" si="24"/>
        <v>53619.9</v>
      </c>
      <c r="GT27" s="106"/>
      <c r="GU27" s="15">
        <v>20</v>
      </c>
      <c r="GV27" s="92">
        <v>882.7</v>
      </c>
      <c r="GW27" s="246">
        <v>44824</v>
      </c>
      <c r="GX27" s="92">
        <v>882.7</v>
      </c>
      <c r="GY27" s="95" t="s">
        <v>681</v>
      </c>
      <c r="GZ27" s="71">
        <v>57</v>
      </c>
      <c r="HA27" s="405">
        <f t="shared" si="25"/>
        <v>50313.9</v>
      </c>
      <c r="HD27" s="106"/>
      <c r="HE27" s="15">
        <v>20</v>
      </c>
      <c r="HF27" s="92">
        <v>876.3</v>
      </c>
      <c r="HG27" s="246">
        <v>44824</v>
      </c>
      <c r="HH27" s="92">
        <v>876.3</v>
      </c>
      <c r="HI27" s="95" t="s">
        <v>755</v>
      </c>
      <c r="HJ27" s="71">
        <v>57</v>
      </c>
      <c r="HK27" s="245">
        <f t="shared" si="26"/>
        <v>49949.1</v>
      </c>
      <c r="HN27" s="214"/>
      <c r="HO27" s="15">
        <v>20</v>
      </c>
      <c r="HP27" s="92">
        <v>896.75</v>
      </c>
      <c r="HQ27" s="246">
        <v>44824</v>
      </c>
      <c r="HR27" s="92">
        <v>896.75</v>
      </c>
      <c r="HS27" s="294" t="s">
        <v>686</v>
      </c>
      <c r="HT27" s="71">
        <v>57</v>
      </c>
      <c r="HU27" s="245">
        <f t="shared" si="27"/>
        <v>51114.75</v>
      </c>
      <c r="HX27" s="106"/>
      <c r="HY27" s="15">
        <v>20</v>
      </c>
      <c r="HZ27" s="69">
        <v>917.61</v>
      </c>
      <c r="IA27" s="254">
        <v>44825</v>
      </c>
      <c r="IB27" s="69">
        <v>917.61</v>
      </c>
      <c r="IC27" s="70" t="s">
        <v>698</v>
      </c>
      <c r="ID27" s="71">
        <v>57</v>
      </c>
      <c r="IE27" s="405">
        <f t="shared" si="5"/>
        <v>52303.770000000004</v>
      </c>
      <c r="IH27" s="106"/>
      <c r="II27" s="15">
        <v>20</v>
      </c>
      <c r="IJ27" s="69">
        <v>912.6</v>
      </c>
      <c r="IK27" s="254">
        <v>44826</v>
      </c>
      <c r="IL27" s="69">
        <v>912.6</v>
      </c>
      <c r="IM27" s="70" t="s">
        <v>701</v>
      </c>
      <c r="IN27" s="71">
        <v>57</v>
      </c>
      <c r="IO27" s="405">
        <f t="shared" si="28"/>
        <v>52018.200000000004</v>
      </c>
      <c r="IR27" s="106"/>
      <c r="IS27" s="15">
        <v>20</v>
      </c>
      <c r="IT27" s="92">
        <v>897.2</v>
      </c>
      <c r="IU27" s="135">
        <v>44827</v>
      </c>
      <c r="IV27" s="92">
        <v>897.2</v>
      </c>
      <c r="IW27" s="370" t="s">
        <v>710</v>
      </c>
      <c r="IX27" s="71">
        <v>57</v>
      </c>
      <c r="IY27" s="245">
        <f t="shared" si="29"/>
        <v>51140.4</v>
      </c>
      <c r="JA27" s="69"/>
      <c r="JB27" s="106"/>
      <c r="JC27" s="15">
        <v>20</v>
      </c>
      <c r="JD27" s="92">
        <v>870.4</v>
      </c>
      <c r="JE27" s="254">
        <v>44827</v>
      </c>
      <c r="JF27" s="92">
        <v>870.4</v>
      </c>
      <c r="JG27" s="70" t="s">
        <v>708</v>
      </c>
      <c r="JH27" s="71">
        <v>57</v>
      </c>
      <c r="JI27" s="405">
        <f t="shared" si="30"/>
        <v>49612.799999999996</v>
      </c>
      <c r="JL27" s="106"/>
      <c r="JM27" s="15">
        <v>20</v>
      </c>
      <c r="JN27" s="92">
        <v>950.72</v>
      </c>
      <c r="JO27" s="246">
        <v>44831</v>
      </c>
      <c r="JP27" s="92">
        <v>950.72</v>
      </c>
      <c r="JQ27" s="70" t="s">
        <v>727</v>
      </c>
      <c r="JR27" s="71">
        <v>57</v>
      </c>
      <c r="JS27" s="405">
        <f t="shared" si="31"/>
        <v>54191.040000000001</v>
      </c>
      <c r="JV27" s="94"/>
      <c r="JW27" s="15">
        <v>20</v>
      </c>
      <c r="JX27" s="69">
        <v>896.3</v>
      </c>
      <c r="JY27" s="254">
        <v>44832</v>
      </c>
      <c r="JZ27" s="69">
        <v>896.3</v>
      </c>
      <c r="KA27" s="70" t="s">
        <v>732</v>
      </c>
      <c r="KB27" s="71">
        <v>57</v>
      </c>
      <c r="KC27" s="405">
        <f t="shared" si="32"/>
        <v>51089.1</v>
      </c>
      <c r="KF27" s="94"/>
      <c r="KG27" s="15">
        <v>20</v>
      </c>
      <c r="KH27" s="69">
        <v>911.7</v>
      </c>
      <c r="KI27" s="254">
        <v>44833</v>
      </c>
      <c r="KJ27" s="69">
        <v>911.7</v>
      </c>
      <c r="KK27" s="70" t="s">
        <v>733</v>
      </c>
      <c r="KL27" s="71">
        <v>57</v>
      </c>
      <c r="KM27" s="405">
        <f t="shared" si="33"/>
        <v>51966.9</v>
      </c>
      <c r="KP27" s="94"/>
      <c r="KQ27" s="15">
        <v>20</v>
      </c>
      <c r="KR27" s="69">
        <v>935.3</v>
      </c>
      <c r="KS27" s="254">
        <v>44834</v>
      </c>
      <c r="KT27" s="934">
        <v>935.3</v>
      </c>
      <c r="KU27" s="932" t="s">
        <v>741</v>
      </c>
      <c r="KV27" s="933">
        <v>57</v>
      </c>
      <c r="KW27" s="405">
        <f t="shared" si="34"/>
        <v>53312.1</v>
      </c>
      <c r="KZ27" s="106"/>
      <c r="LA27" s="15">
        <v>20</v>
      </c>
      <c r="LB27" s="92">
        <v>895.39</v>
      </c>
      <c r="LC27" s="246">
        <v>44834</v>
      </c>
      <c r="LD27" s="92">
        <v>895.39</v>
      </c>
      <c r="LE27" s="95" t="s">
        <v>743</v>
      </c>
      <c r="LF27" s="71">
        <v>57</v>
      </c>
      <c r="LG27" s="405">
        <f t="shared" si="35"/>
        <v>51037.229999999996</v>
      </c>
      <c r="LJ27" s="106"/>
      <c r="LK27" s="15">
        <v>20</v>
      </c>
      <c r="LL27" s="92">
        <v>889.9</v>
      </c>
      <c r="LM27" s="246">
        <v>44834</v>
      </c>
      <c r="LN27" s="92">
        <v>889.9</v>
      </c>
      <c r="LO27" s="95" t="s">
        <v>740</v>
      </c>
      <c r="LP27" s="71">
        <v>57</v>
      </c>
      <c r="LQ27" s="405">
        <f t="shared" si="36"/>
        <v>50724.299999999996</v>
      </c>
      <c r="LT27" s="106"/>
      <c r="LU27" s="15">
        <v>20</v>
      </c>
      <c r="LV27" s="92">
        <v>906.3</v>
      </c>
      <c r="LW27" s="246">
        <v>44835</v>
      </c>
      <c r="LX27" s="92">
        <v>906.3</v>
      </c>
      <c r="LY27" s="95" t="s">
        <v>751</v>
      </c>
      <c r="LZ27" s="71">
        <v>57</v>
      </c>
      <c r="MA27" s="405">
        <f t="shared" si="37"/>
        <v>51659.1</v>
      </c>
      <c r="MB27" s="405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87516897</v>
      </c>
      <c r="E28" s="135">
        <f t="shared" si="66"/>
        <v>44826</v>
      </c>
      <c r="F28" s="86">
        <f t="shared" si="66"/>
        <v>18709.22</v>
      </c>
      <c r="G28" s="73">
        <f t="shared" si="66"/>
        <v>21</v>
      </c>
      <c r="H28" s="48">
        <f t="shared" si="66"/>
        <v>18727.599999999999</v>
      </c>
      <c r="I28" s="105">
        <f t="shared" si="66"/>
        <v>-18.379999999997381</v>
      </c>
      <c r="L28" s="94"/>
      <c r="M28" s="15">
        <v>21</v>
      </c>
      <c r="N28" s="69">
        <v>866.4</v>
      </c>
      <c r="O28" s="254">
        <v>44803</v>
      </c>
      <c r="P28" s="69">
        <v>866.4</v>
      </c>
      <c r="Q28" s="70" t="s">
        <v>508</v>
      </c>
      <c r="R28" s="71">
        <v>53</v>
      </c>
      <c r="S28" s="405">
        <f t="shared" si="7"/>
        <v>45919.199999999997</v>
      </c>
      <c r="V28" s="94"/>
      <c r="W28" s="15">
        <v>21</v>
      </c>
      <c r="X28" s="69">
        <v>891.8</v>
      </c>
      <c r="Y28" s="254">
        <v>44806</v>
      </c>
      <c r="Z28" s="69">
        <v>891.8</v>
      </c>
      <c r="AA28" s="70" t="s">
        <v>548</v>
      </c>
      <c r="AB28" s="71">
        <v>51</v>
      </c>
      <c r="AC28" s="405">
        <f t="shared" si="8"/>
        <v>45481.799999999996</v>
      </c>
      <c r="AF28" s="106"/>
      <c r="AG28" s="15">
        <v>21</v>
      </c>
      <c r="AH28" s="92">
        <v>924</v>
      </c>
      <c r="AI28" s="246">
        <v>44805</v>
      </c>
      <c r="AJ28" s="92">
        <v>924</v>
      </c>
      <c r="AK28" s="95" t="s">
        <v>533</v>
      </c>
      <c r="AL28" s="71">
        <v>49</v>
      </c>
      <c r="AM28" s="405">
        <f t="shared" si="9"/>
        <v>45276</v>
      </c>
      <c r="AP28" s="106"/>
      <c r="AQ28" s="15">
        <v>21</v>
      </c>
      <c r="AR28" s="92"/>
      <c r="AS28" s="246"/>
      <c r="AT28" s="92"/>
      <c r="AU28" s="95"/>
      <c r="AV28" s="71"/>
      <c r="AW28" s="405">
        <f t="shared" si="10"/>
        <v>0</v>
      </c>
      <c r="AZ28" s="106"/>
      <c r="BA28" s="15">
        <v>21</v>
      </c>
      <c r="BB28" s="92"/>
      <c r="BC28" s="246"/>
      <c r="BD28" s="92"/>
      <c r="BE28" s="95"/>
      <c r="BF28" s="71"/>
      <c r="BG28" s="405">
        <f t="shared" si="11"/>
        <v>0</v>
      </c>
      <c r="BJ28" s="106"/>
      <c r="BK28" s="15">
        <v>21</v>
      </c>
      <c r="BL28" s="92">
        <v>919</v>
      </c>
      <c r="BM28" s="135">
        <v>44807</v>
      </c>
      <c r="BN28" s="92">
        <v>919</v>
      </c>
      <c r="BO28" s="95" t="s">
        <v>556</v>
      </c>
      <c r="BP28" s="290">
        <v>51</v>
      </c>
      <c r="BQ28" s="415">
        <f t="shared" si="12"/>
        <v>46869</v>
      </c>
      <c r="BR28" s="405"/>
      <c r="BT28" s="106"/>
      <c r="BU28" s="15">
        <v>21</v>
      </c>
      <c r="BV28" s="92">
        <v>907.2</v>
      </c>
      <c r="BW28" s="291">
        <v>44809</v>
      </c>
      <c r="BX28" s="92">
        <v>907.2</v>
      </c>
      <c r="BY28" s="621" t="s">
        <v>567</v>
      </c>
      <c r="BZ28" s="292">
        <v>51</v>
      </c>
      <c r="CA28" s="405">
        <f t="shared" si="13"/>
        <v>46267.200000000004</v>
      </c>
      <c r="CD28" s="506"/>
      <c r="CE28" s="15">
        <v>21</v>
      </c>
      <c r="CF28" s="92">
        <v>922.6</v>
      </c>
      <c r="CG28" s="291">
        <v>44812</v>
      </c>
      <c r="CH28" s="92">
        <v>922.6</v>
      </c>
      <c r="CI28" s="293" t="s">
        <v>561</v>
      </c>
      <c r="CJ28" s="292">
        <v>53</v>
      </c>
      <c r="CK28" s="405">
        <f t="shared" si="14"/>
        <v>48897.8</v>
      </c>
      <c r="CN28" s="423"/>
      <c r="CO28" s="15">
        <v>21</v>
      </c>
      <c r="CP28" s="92">
        <v>938.9</v>
      </c>
      <c r="CQ28" s="291">
        <v>44811</v>
      </c>
      <c r="CR28" s="92">
        <v>938.9</v>
      </c>
      <c r="CS28" s="293" t="s">
        <v>542</v>
      </c>
      <c r="CT28" s="292">
        <v>51</v>
      </c>
      <c r="CU28" s="410">
        <f t="shared" si="48"/>
        <v>47883.9</v>
      </c>
      <c r="CX28" s="106"/>
      <c r="CY28" s="15">
        <v>21</v>
      </c>
      <c r="CZ28" s="92">
        <v>900.8</v>
      </c>
      <c r="DA28" s="246">
        <v>44812</v>
      </c>
      <c r="DB28" s="92">
        <v>900.8</v>
      </c>
      <c r="DC28" s="95" t="s">
        <v>583</v>
      </c>
      <c r="DD28" s="71">
        <v>53</v>
      </c>
      <c r="DE28" s="405">
        <f t="shared" si="15"/>
        <v>47742.399999999994</v>
      </c>
      <c r="DH28" s="106"/>
      <c r="DI28" s="15">
        <v>21</v>
      </c>
      <c r="DJ28" s="92">
        <v>939.4</v>
      </c>
      <c r="DK28" s="291">
        <v>44814</v>
      </c>
      <c r="DL28" s="92">
        <v>939.4</v>
      </c>
      <c r="DM28" s="293" t="s">
        <v>604</v>
      </c>
      <c r="DN28" s="292">
        <v>54</v>
      </c>
      <c r="DO28" s="410">
        <f t="shared" si="16"/>
        <v>50727.6</v>
      </c>
      <c r="DR28" s="106"/>
      <c r="DS28" s="15">
        <v>21</v>
      </c>
      <c r="DT28" s="92">
        <v>870.9</v>
      </c>
      <c r="DU28" s="291">
        <v>44814</v>
      </c>
      <c r="DV28" s="92">
        <v>870.9</v>
      </c>
      <c r="DW28" s="293" t="s">
        <v>593</v>
      </c>
      <c r="DX28" s="292">
        <v>53</v>
      </c>
      <c r="DY28" s="405">
        <f t="shared" si="17"/>
        <v>46157.7</v>
      </c>
      <c r="EB28" s="106"/>
      <c r="EC28" s="15">
        <v>21</v>
      </c>
      <c r="ED28" s="69"/>
      <c r="EE28" s="254"/>
      <c r="EF28" s="69"/>
      <c r="EG28" s="70"/>
      <c r="EH28" s="71"/>
      <c r="EI28" s="405">
        <f t="shared" si="18"/>
        <v>0</v>
      </c>
      <c r="EL28" s="106"/>
      <c r="EM28" s="15">
        <v>21</v>
      </c>
      <c r="EN28" s="69">
        <v>910.8</v>
      </c>
      <c r="EO28" s="254">
        <v>44817</v>
      </c>
      <c r="EP28" s="69">
        <v>910.8</v>
      </c>
      <c r="EQ28" s="70" t="s">
        <v>622</v>
      </c>
      <c r="ER28" s="71">
        <v>55</v>
      </c>
      <c r="ES28" s="405">
        <f t="shared" si="19"/>
        <v>50094</v>
      </c>
      <c r="EV28" s="94"/>
      <c r="EW28" s="15">
        <v>21</v>
      </c>
      <c r="EX28" s="92">
        <v>886.3</v>
      </c>
      <c r="EY28" s="246">
        <v>44817</v>
      </c>
      <c r="EZ28" s="92">
        <v>886.3</v>
      </c>
      <c r="FA28" s="70" t="s">
        <v>627</v>
      </c>
      <c r="FB28" s="71">
        <v>55</v>
      </c>
      <c r="FC28" s="405">
        <f t="shared" si="20"/>
        <v>48746.5</v>
      </c>
      <c r="FF28" s="94"/>
      <c r="FG28" s="15">
        <v>21</v>
      </c>
      <c r="FH28" s="92"/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/>
      <c r="FS28" s="246"/>
      <c r="FT28" s="92"/>
      <c r="FU28" s="70"/>
      <c r="FV28" s="71"/>
      <c r="FW28" s="405">
        <f t="shared" si="22"/>
        <v>0</v>
      </c>
      <c r="FX28" s="71"/>
      <c r="FZ28" s="106"/>
      <c r="GA28" s="15">
        <v>21</v>
      </c>
      <c r="GB28" s="69">
        <v>936.2</v>
      </c>
      <c r="GC28" s="254">
        <v>44820</v>
      </c>
      <c r="GD28" s="69">
        <v>936.2</v>
      </c>
      <c r="GE28" s="70" t="s">
        <v>652</v>
      </c>
      <c r="GF28" s="71">
        <v>57</v>
      </c>
      <c r="GG28" s="245">
        <f t="shared" si="23"/>
        <v>53363.4</v>
      </c>
      <c r="GJ28" s="106"/>
      <c r="GK28" s="15">
        <v>21</v>
      </c>
      <c r="GL28" s="359">
        <v>918.1</v>
      </c>
      <c r="GM28" s="246">
        <v>44820</v>
      </c>
      <c r="GN28" s="359">
        <v>918.1</v>
      </c>
      <c r="GO28" s="95" t="s">
        <v>660</v>
      </c>
      <c r="GP28" s="71">
        <v>57</v>
      </c>
      <c r="GQ28" s="405">
        <f t="shared" si="24"/>
        <v>52331.700000000004</v>
      </c>
      <c r="GT28" s="106"/>
      <c r="GU28" s="15">
        <v>21</v>
      </c>
      <c r="GV28" s="92">
        <v>906.3</v>
      </c>
      <c r="GW28" s="246">
        <v>44824</v>
      </c>
      <c r="GX28" s="92">
        <v>906.3</v>
      </c>
      <c r="GY28" s="95" t="s">
        <v>681</v>
      </c>
      <c r="GZ28" s="71">
        <v>57</v>
      </c>
      <c r="HA28" s="405">
        <f t="shared" si="25"/>
        <v>51659.1</v>
      </c>
      <c r="HD28" s="106"/>
      <c r="HE28" s="15">
        <v>21</v>
      </c>
      <c r="HF28" s="92">
        <v>940.7</v>
      </c>
      <c r="HG28" s="246">
        <v>44824</v>
      </c>
      <c r="HH28" s="92">
        <v>940.7</v>
      </c>
      <c r="HI28" s="95" t="s">
        <v>755</v>
      </c>
      <c r="HJ28" s="71">
        <v>57</v>
      </c>
      <c r="HK28" s="245">
        <f t="shared" si="26"/>
        <v>53619.9</v>
      </c>
      <c r="HN28" s="106"/>
      <c r="HO28" s="15">
        <v>21</v>
      </c>
      <c r="HP28" s="92"/>
      <c r="HQ28" s="246"/>
      <c r="HR28" s="92"/>
      <c r="HS28" s="294"/>
      <c r="HT28" s="71"/>
      <c r="HU28" s="405">
        <f t="shared" si="27"/>
        <v>0</v>
      </c>
      <c r="HX28" s="106"/>
      <c r="HY28" s="15">
        <v>21</v>
      </c>
      <c r="HZ28" s="69"/>
      <c r="IA28" s="254"/>
      <c r="IB28" s="69"/>
      <c r="IC28" s="70"/>
      <c r="ID28" s="71"/>
      <c r="IE28" s="405">
        <f t="shared" si="5"/>
        <v>0</v>
      </c>
      <c r="IH28" s="106"/>
      <c r="II28" s="15">
        <v>21</v>
      </c>
      <c r="IJ28" s="69">
        <v>889</v>
      </c>
      <c r="IK28" s="254">
        <v>44826</v>
      </c>
      <c r="IL28" s="69">
        <v>889</v>
      </c>
      <c r="IM28" s="70" t="s">
        <v>701</v>
      </c>
      <c r="IN28" s="71">
        <v>57</v>
      </c>
      <c r="IO28" s="405">
        <f t="shared" si="28"/>
        <v>50673</v>
      </c>
      <c r="IR28" s="106"/>
      <c r="IS28" s="15">
        <v>21</v>
      </c>
      <c r="IT28" s="92">
        <v>917.2</v>
      </c>
      <c r="IU28" s="135">
        <v>44827</v>
      </c>
      <c r="IV28" s="92">
        <v>917.2</v>
      </c>
      <c r="IW28" s="370" t="s">
        <v>710</v>
      </c>
      <c r="IX28" s="71">
        <v>57</v>
      </c>
      <c r="IY28" s="245">
        <f t="shared" si="29"/>
        <v>52280.4</v>
      </c>
      <c r="JA28" s="69"/>
      <c r="JB28" s="106"/>
      <c r="JC28" s="15">
        <v>21</v>
      </c>
      <c r="JD28" s="69">
        <v>895.8</v>
      </c>
      <c r="JE28" s="254">
        <v>44827</v>
      </c>
      <c r="JF28" s="69">
        <v>895.8</v>
      </c>
      <c r="JG28" s="70" t="s">
        <v>710</v>
      </c>
      <c r="JH28" s="71">
        <v>57</v>
      </c>
      <c r="JI28" s="405">
        <f t="shared" si="30"/>
        <v>51060.6</v>
      </c>
      <c r="JL28" s="106"/>
      <c r="JM28" s="15">
        <v>21</v>
      </c>
      <c r="JN28" s="92"/>
      <c r="JO28" s="246"/>
      <c r="JP28" s="92"/>
      <c r="JQ28" s="70"/>
      <c r="JR28" s="71"/>
      <c r="JS28" s="405">
        <f>JR28*JP28</f>
        <v>0</v>
      </c>
      <c r="JV28" s="94"/>
      <c r="JW28" s="15">
        <v>21</v>
      </c>
      <c r="JX28" s="69">
        <v>896.3</v>
      </c>
      <c r="JY28" s="254">
        <v>44832</v>
      </c>
      <c r="JZ28" s="69">
        <v>896.3</v>
      </c>
      <c r="KA28" s="70" t="s">
        <v>732</v>
      </c>
      <c r="KB28" s="71">
        <v>57</v>
      </c>
      <c r="KC28" s="405">
        <f t="shared" si="32"/>
        <v>51089.1</v>
      </c>
      <c r="KF28" s="94"/>
      <c r="KG28" s="15">
        <v>21</v>
      </c>
      <c r="KH28" s="69">
        <v>903.6</v>
      </c>
      <c r="KI28" s="254">
        <v>44833</v>
      </c>
      <c r="KJ28" s="69">
        <v>903.6</v>
      </c>
      <c r="KK28" s="70" t="s">
        <v>733</v>
      </c>
      <c r="KL28" s="71">
        <v>57</v>
      </c>
      <c r="KM28" s="405">
        <f t="shared" si="33"/>
        <v>51505.200000000004</v>
      </c>
      <c r="KP28" s="94"/>
      <c r="KQ28" s="15">
        <v>21</v>
      </c>
      <c r="KR28" s="69">
        <v>899</v>
      </c>
      <c r="KS28" s="254">
        <v>44834</v>
      </c>
      <c r="KT28" s="934">
        <v>899</v>
      </c>
      <c r="KU28" s="932" t="s">
        <v>743</v>
      </c>
      <c r="KV28" s="933">
        <v>57</v>
      </c>
      <c r="KW28" s="405">
        <f t="shared" si="34"/>
        <v>51243</v>
      </c>
      <c r="KZ28" s="106"/>
      <c r="LA28" s="15">
        <v>21</v>
      </c>
      <c r="LB28" s="92"/>
      <c r="LC28" s="246"/>
      <c r="LD28" s="92"/>
      <c r="LE28" s="95"/>
      <c r="LF28" s="71"/>
      <c r="LG28" s="405">
        <f t="shared" si="35"/>
        <v>0</v>
      </c>
      <c r="LJ28" s="106"/>
      <c r="LK28" s="15">
        <v>21</v>
      </c>
      <c r="LL28" s="92">
        <v>898.1</v>
      </c>
      <c r="LM28" s="246">
        <v>44834</v>
      </c>
      <c r="LN28" s="92">
        <v>898.1</v>
      </c>
      <c r="LO28" s="95" t="s">
        <v>740</v>
      </c>
      <c r="LP28" s="71">
        <v>57</v>
      </c>
      <c r="LQ28" s="405">
        <f t="shared" si="36"/>
        <v>51191.700000000004</v>
      </c>
      <c r="LT28" s="106"/>
      <c r="LU28" s="15">
        <v>21</v>
      </c>
      <c r="LV28" s="92">
        <v>902.6</v>
      </c>
      <c r="LW28" s="246">
        <v>44835</v>
      </c>
      <c r="LX28" s="92">
        <v>902.6</v>
      </c>
      <c r="LY28" s="95" t="s">
        <v>751</v>
      </c>
      <c r="LZ28" s="71">
        <v>57</v>
      </c>
      <c r="MA28" s="405">
        <f t="shared" si="37"/>
        <v>51448.200000000004</v>
      </c>
      <c r="MB28" s="405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87573555</v>
      </c>
      <c r="E29" s="135">
        <f t="shared" si="67"/>
        <v>44827</v>
      </c>
      <c r="F29" s="86">
        <f t="shared" si="67"/>
        <v>18948.98</v>
      </c>
      <c r="G29" s="73">
        <f t="shared" si="67"/>
        <v>21</v>
      </c>
      <c r="H29" s="48">
        <f t="shared" si="67"/>
        <v>19005.7</v>
      </c>
      <c r="I29" s="105">
        <f t="shared" si="67"/>
        <v>-56.720000000001164</v>
      </c>
      <c r="L29" s="106"/>
      <c r="M29" s="15"/>
      <c r="N29" s="69"/>
      <c r="O29" s="254"/>
      <c r="P29" s="69"/>
      <c r="Q29" s="70"/>
      <c r="R29" s="71"/>
      <c r="S29" s="405">
        <f>SUM(S8:S28)</f>
        <v>1005314.5999999999</v>
      </c>
      <c r="V29" s="106"/>
      <c r="W29" s="15"/>
      <c r="X29" s="69"/>
      <c r="Y29" s="254"/>
      <c r="Z29" s="69"/>
      <c r="AA29" s="70"/>
      <c r="AB29" s="71"/>
      <c r="AC29" s="405">
        <f>SUM(AC8:AC28)</f>
        <v>969365.00000000012</v>
      </c>
      <c r="AF29" s="106"/>
      <c r="AG29" s="15"/>
      <c r="AH29" s="92"/>
      <c r="AI29" s="246"/>
      <c r="AJ29" s="92"/>
      <c r="AK29" s="95"/>
      <c r="AL29" s="71"/>
      <c r="AM29" s="405">
        <f>AL29*AJ29</f>
        <v>0</v>
      </c>
      <c r="AP29" s="106"/>
      <c r="AQ29" s="15"/>
      <c r="AR29" s="92"/>
      <c r="AS29" s="246"/>
      <c r="AT29" s="92"/>
      <c r="AU29" s="95"/>
      <c r="AV29" s="71"/>
      <c r="AW29" s="405">
        <f t="shared" si="10"/>
        <v>0</v>
      </c>
      <c r="AZ29" s="106"/>
      <c r="BA29" s="15"/>
      <c r="BB29" s="92"/>
      <c r="BC29" s="246"/>
      <c r="BD29" s="92"/>
      <c r="BE29" s="95"/>
      <c r="BF29" s="71"/>
      <c r="BG29" s="405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5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5">
        <v>0</v>
      </c>
      <c r="CD29" s="106"/>
      <c r="CE29" s="15">
        <v>22</v>
      </c>
      <c r="CF29" s="92"/>
      <c r="CG29" s="291"/>
      <c r="CH29" s="92"/>
      <c r="CI29" s="300"/>
      <c r="CJ29" s="292"/>
      <c r="CK29" s="405">
        <f t="shared" si="14"/>
        <v>0</v>
      </c>
      <c r="CN29" s="423"/>
      <c r="CO29" s="15">
        <v>22</v>
      </c>
      <c r="CP29" s="92"/>
      <c r="CQ29" s="291"/>
      <c r="CR29" s="92"/>
      <c r="CS29" s="293"/>
      <c r="CT29" s="292"/>
      <c r="CU29" s="410">
        <f t="shared" si="48"/>
        <v>0</v>
      </c>
      <c r="CX29" s="106"/>
      <c r="CY29" s="15"/>
      <c r="CZ29" s="92"/>
      <c r="DA29" s="246"/>
      <c r="DB29" s="92"/>
      <c r="DC29" s="95"/>
      <c r="DD29" s="71"/>
      <c r="DE29" s="405">
        <f t="shared" si="15"/>
        <v>0</v>
      </c>
      <c r="DH29" s="106"/>
      <c r="DI29" s="15"/>
      <c r="DJ29" s="92"/>
      <c r="DK29" s="246"/>
      <c r="DL29" s="92"/>
      <c r="DM29" s="95"/>
      <c r="DN29" s="71"/>
      <c r="DO29" s="410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5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5">
        <f>SUM(EI8:EI28)</f>
        <v>977143.38</v>
      </c>
      <c r="EL29" s="106"/>
      <c r="EM29" s="15">
        <v>22</v>
      </c>
      <c r="EN29" s="69"/>
      <c r="EO29" s="254"/>
      <c r="EP29" s="69"/>
      <c r="EQ29" s="70"/>
      <c r="ER29" s="71"/>
      <c r="ES29" s="405">
        <f>SUM(ES8:ES28)</f>
        <v>1047068</v>
      </c>
      <c r="EV29" s="94"/>
      <c r="EW29" s="15">
        <v>22</v>
      </c>
      <c r="EX29" s="92"/>
      <c r="EY29" s="246"/>
      <c r="EZ29" s="92"/>
      <c r="FA29" s="70"/>
      <c r="FB29" s="71"/>
      <c r="FC29" s="405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5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5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5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5">
        <f>SUM(HA8:HA28)</f>
        <v>1086984.3</v>
      </c>
      <c r="HD29" s="106"/>
      <c r="HE29" s="15"/>
      <c r="HF29" s="92"/>
      <c r="HG29" s="246"/>
      <c r="HH29" s="92"/>
      <c r="HI29" s="95"/>
      <c r="HJ29" s="71"/>
      <c r="HK29" s="405">
        <f>SUM(HK8:HK28)</f>
        <v>1066384.5</v>
      </c>
      <c r="HN29" s="106"/>
      <c r="HO29" s="15">
        <v>22</v>
      </c>
      <c r="HP29" s="92"/>
      <c r="HQ29" s="246"/>
      <c r="HR29" s="92"/>
      <c r="HS29" s="70"/>
      <c r="HT29" s="71"/>
      <c r="HU29" s="405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5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5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5">
        <f t="shared" si="30"/>
        <v>0</v>
      </c>
      <c r="JL29" s="106"/>
      <c r="JM29" s="15"/>
      <c r="JN29" s="92"/>
      <c r="JO29" s="246"/>
      <c r="JP29" s="92"/>
      <c r="JQ29" s="70"/>
      <c r="JR29" s="71"/>
      <c r="JS29" s="405">
        <f>SUM(JS8:JS28)</f>
        <v>1077776.52</v>
      </c>
      <c r="JV29" s="106"/>
      <c r="JW29" s="15"/>
      <c r="JX29" s="69"/>
      <c r="JY29" s="254"/>
      <c r="JZ29" s="69"/>
      <c r="KA29" s="70"/>
      <c r="KB29" s="71"/>
      <c r="KC29" s="405">
        <f>SUM(KC8:KC28)</f>
        <v>1087981.8</v>
      </c>
      <c r="KF29" s="106"/>
      <c r="KG29" s="15"/>
      <c r="KH29" s="69"/>
      <c r="KI29" s="254"/>
      <c r="KJ29" s="69"/>
      <c r="KK29" s="70"/>
      <c r="KL29" s="71"/>
      <c r="KM29" s="405">
        <f>SUM(KM8:KM28)</f>
        <v>1085166.0000000002</v>
      </c>
      <c r="KP29" s="106"/>
      <c r="KQ29" s="15"/>
      <c r="KR29" s="69"/>
      <c r="KS29" s="254"/>
      <c r="KT29" s="934"/>
      <c r="KU29" s="932"/>
      <c r="KV29" s="933"/>
      <c r="KW29" s="405">
        <f>SUM(KW8:KW28)</f>
        <v>1076992.2000000002</v>
      </c>
      <c r="KZ29" s="106"/>
      <c r="LA29" s="15"/>
      <c r="LB29" s="92"/>
      <c r="LC29" s="246"/>
      <c r="LD29" s="92"/>
      <c r="LE29" s="95"/>
      <c r="LF29" s="71"/>
      <c r="LG29" s="405">
        <f>LF29*LD29</f>
        <v>0</v>
      </c>
      <c r="LJ29" s="106"/>
      <c r="LK29" s="15"/>
      <c r="LL29" s="92"/>
      <c r="LM29" s="246"/>
      <c r="LN29" s="92"/>
      <c r="LO29" s="95"/>
      <c r="LP29" s="71"/>
      <c r="LQ29" s="405">
        <f t="shared" si="36"/>
        <v>0</v>
      </c>
      <c r="LT29" s="106"/>
      <c r="LU29" s="15"/>
      <c r="LV29" s="92"/>
      <c r="LW29" s="246"/>
      <c r="LX29" s="92"/>
      <c r="LY29" s="95"/>
      <c r="LZ29" s="71"/>
      <c r="MA29" s="405">
        <f t="shared" si="37"/>
        <v>0</v>
      </c>
      <c r="MB29" s="405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5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>I B P</v>
      </c>
      <c r="D30" s="102" t="str">
        <f t="shared" si="68"/>
        <v>PED. 87717007</v>
      </c>
      <c r="E30" s="135">
        <f t="shared" si="68"/>
        <v>44831</v>
      </c>
      <c r="F30" s="86">
        <f t="shared" si="68"/>
        <v>18852.580000000002</v>
      </c>
      <c r="G30" s="73">
        <f t="shared" si="68"/>
        <v>20</v>
      </c>
      <c r="H30" s="48">
        <f t="shared" si="68"/>
        <v>18908.36</v>
      </c>
      <c r="I30" s="105">
        <f>F30-H30</f>
        <v>-55.779999999998836</v>
      </c>
      <c r="L30" s="106"/>
      <c r="M30" s="15"/>
      <c r="N30" s="69"/>
      <c r="O30" s="254"/>
      <c r="P30" s="105"/>
      <c r="Q30" s="70"/>
      <c r="R30" s="71"/>
      <c r="S30" s="405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5">
        <f>SUM(AM8:AM29)</f>
        <v>942201.40000000014</v>
      </c>
      <c r="AP30" s="106"/>
      <c r="AQ30" s="15"/>
      <c r="AR30" s="92"/>
      <c r="AS30" s="246"/>
      <c r="AT30" s="92"/>
      <c r="AU30" s="95"/>
      <c r="AV30" s="71"/>
      <c r="AW30" s="405">
        <f>SUM(AW8:AW29)</f>
        <v>992765.26000000013</v>
      </c>
      <c r="AZ30" s="106"/>
      <c r="BA30" s="15"/>
      <c r="BB30" s="92"/>
      <c r="BC30" s="246"/>
      <c r="BD30" s="92"/>
      <c r="BE30" s="95"/>
      <c r="BF30" s="71"/>
      <c r="BG30" s="405">
        <f>SUM(BG8:BG29)</f>
        <v>918619.66</v>
      </c>
      <c r="BJ30" s="106"/>
      <c r="BK30" s="15"/>
      <c r="BL30" s="69"/>
      <c r="BM30" s="135"/>
      <c r="BN30" s="69"/>
      <c r="BO30" s="95"/>
      <c r="BP30" s="71"/>
      <c r="BQ30" s="405">
        <f>SUM(BQ8:BQ29)</f>
        <v>970667.70000000007</v>
      </c>
      <c r="BT30" s="106"/>
      <c r="BU30" s="15"/>
      <c r="BV30" s="69"/>
      <c r="BW30" s="79"/>
      <c r="BX30" s="69"/>
      <c r="BY30" s="95"/>
      <c r="BZ30" s="71"/>
      <c r="CA30" s="405">
        <f>SUM(CA8:CA29)</f>
        <v>976915.20000000007</v>
      </c>
      <c r="CD30" s="106"/>
      <c r="CE30" s="15">
        <v>23</v>
      </c>
      <c r="CF30" s="69"/>
      <c r="CG30" s="291"/>
      <c r="CH30" s="69"/>
      <c r="CI30" s="300"/>
      <c r="CJ30" s="292"/>
      <c r="CK30" s="405">
        <f>SUM(CK8:CK29)</f>
        <v>1004659.7000000001</v>
      </c>
      <c r="CN30" s="106"/>
      <c r="CO30" s="15"/>
      <c r="CP30" s="69"/>
      <c r="CQ30" s="246"/>
      <c r="CR30" s="69"/>
      <c r="CS30" s="95"/>
      <c r="CT30" s="71"/>
      <c r="CU30" s="410">
        <f t="shared" si="48"/>
        <v>0</v>
      </c>
      <c r="CX30" s="106"/>
      <c r="CY30" s="15"/>
      <c r="CZ30" s="69"/>
      <c r="DA30" s="246"/>
      <c r="DB30" s="69"/>
      <c r="DC30" s="95"/>
      <c r="DD30" s="71"/>
      <c r="DE30" s="405">
        <f>SUM(DE8:DE29)</f>
        <v>1005849.9</v>
      </c>
      <c r="DH30" s="106"/>
      <c r="DI30" s="15"/>
      <c r="DJ30" s="69"/>
      <c r="DK30" s="246"/>
      <c r="DL30" s="69"/>
      <c r="DM30" s="95"/>
      <c r="DN30" s="71"/>
      <c r="DO30" s="405">
        <f>SUM(DO8:DO29)</f>
        <v>1042483.4999999997</v>
      </c>
      <c r="DR30" s="106"/>
      <c r="DS30" s="15"/>
      <c r="DT30" s="69"/>
      <c r="DU30" s="246"/>
      <c r="DV30" s="69"/>
      <c r="DW30" s="95"/>
      <c r="DX30" s="71"/>
      <c r="DY30" s="405">
        <f>SUM(DY8:DY29)</f>
        <v>1003491.3999999999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5">
        <f>SUM(FC8:FC29)</f>
        <v>1046897.5</v>
      </c>
      <c r="FF30" s="94"/>
      <c r="FG30" s="15"/>
      <c r="FH30" s="92"/>
      <c r="FI30" s="246"/>
      <c r="FJ30" s="105"/>
      <c r="FK30" s="70"/>
      <c r="FL30" s="71"/>
      <c r="FM30" s="405">
        <f>SUM(FM18:FM29)</f>
        <v>520878.05</v>
      </c>
      <c r="FP30" s="106"/>
      <c r="FQ30" s="15"/>
      <c r="FR30" s="92"/>
      <c r="FS30" s="246"/>
      <c r="FT30" s="92"/>
      <c r="FU30" s="70"/>
      <c r="FV30" s="71"/>
      <c r="FW30" s="405">
        <f>SUM(FW8:FW29)</f>
        <v>1053006.6000000001</v>
      </c>
      <c r="FZ30" s="106"/>
      <c r="GA30" s="15"/>
      <c r="GB30" s="69"/>
      <c r="GC30" s="254"/>
      <c r="GD30" s="105"/>
      <c r="GE30" s="70"/>
      <c r="GF30" s="71"/>
      <c r="GG30" s="405">
        <f>SUM(GG8:GG29)</f>
        <v>1078092.3</v>
      </c>
      <c r="GJ30" s="106"/>
      <c r="GK30" s="15"/>
      <c r="GL30" s="359"/>
      <c r="GM30" s="246"/>
      <c r="GN30" s="69"/>
      <c r="GO30" s="95"/>
      <c r="GP30" s="71"/>
      <c r="GQ30" s="405">
        <f>SUM(GQ8:GQ29)</f>
        <v>1089213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10"/>
      <c r="HN30" s="106"/>
      <c r="HO30" s="15"/>
      <c r="HP30" s="92"/>
      <c r="HQ30" s="246"/>
      <c r="HR30" s="105"/>
      <c r="HS30" s="70"/>
      <c r="HT30" s="71"/>
      <c r="HU30" s="405">
        <f>SUM(HU8:HU29)</f>
        <v>1037804.13</v>
      </c>
      <c r="HX30" s="106"/>
      <c r="HY30" s="15"/>
      <c r="HZ30" s="69"/>
      <c r="IA30" s="254"/>
      <c r="IB30" s="105"/>
      <c r="IC30" s="70"/>
      <c r="ID30" s="71"/>
      <c r="IE30" s="405">
        <f>SUM(IE8:IE29)</f>
        <v>1044758.1300000001</v>
      </c>
      <c r="IH30" s="106"/>
      <c r="II30" s="15">
        <v>23</v>
      </c>
      <c r="IJ30" s="69"/>
      <c r="IK30" s="254"/>
      <c r="IL30" s="105"/>
      <c r="IM30" s="70"/>
      <c r="IN30" s="71"/>
      <c r="IO30" s="405">
        <f>SUM(IO8:IO29)</f>
        <v>1088608.8</v>
      </c>
      <c r="IR30" s="106"/>
      <c r="IS30" s="15"/>
      <c r="IT30" s="69"/>
      <c r="IU30" s="79"/>
      <c r="IV30" s="69"/>
      <c r="IW30" s="95"/>
      <c r="IX30" s="71"/>
      <c r="IY30" s="405">
        <f>SUM(IY8:IY29)</f>
        <v>1067473.2000000002</v>
      </c>
      <c r="JB30" s="106"/>
      <c r="JC30" s="15"/>
      <c r="JD30" s="69"/>
      <c r="JE30" s="254"/>
      <c r="JF30" s="105"/>
      <c r="JG30" s="70"/>
      <c r="JH30" s="71"/>
      <c r="JI30" s="405">
        <f>SUM(JI8:JI29)</f>
        <v>1083324.9000000001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5">
        <f>SUM(LG8:LG29)</f>
        <v>1068959.1900000002</v>
      </c>
      <c r="LJ30" s="106"/>
      <c r="LK30" s="15"/>
      <c r="LL30" s="92"/>
      <c r="LM30" s="246"/>
      <c r="LN30" s="92"/>
      <c r="LO30" s="95"/>
      <c r="LP30" s="71"/>
      <c r="LQ30" s="405">
        <f>SUM(LQ8:LQ29)</f>
        <v>1080201.3</v>
      </c>
      <c r="LT30" s="106"/>
      <c r="LU30" s="15"/>
      <c r="LV30" s="69"/>
      <c r="LW30" s="246"/>
      <c r="LX30" s="69"/>
      <c r="LY30" s="95"/>
      <c r="LZ30" s="71"/>
      <c r="MA30" s="405">
        <f>SUM(MA8:MA29)</f>
        <v>1075031.3999999999</v>
      </c>
      <c r="MB30" s="405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87746868</v>
      </c>
      <c r="E31" s="135">
        <f t="shared" si="69"/>
        <v>44832</v>
      </c>
      <c r="F31" s="86">
        <f t="shared" si="69"/>
        <v>19023.8</v>
      </c>
      <c r="G31" s="73">
        <f t="shared" si="69"/>
        <v>21</v>
      </c>
      <c r="H31" s="48">
        <f t="shared" si="69"/>
        <v>19087.400000000001</v>
      </c>
      <c r="I31" s="105">
        <f t="shared" ref="I31:I92" si="70">F31-H31</f>
        <v>-63.600000000002183</v>
      </c>
      <c r="L31" s="184"/>
      <c r="M31" s="37"/>
      <c r="N31" s="302"/>
      <c r="O31" s="303"/>
      <c r="P31" s="205"/>
      <c r="Q31" s="139"/>
      <c r="R31" s="199"/>
      <c r="S31" s="409"/>
      <c r="V31" s="184"/>
      <c r="W31" s="37"/>
      <c r="X31" s="302"/>
      <c r="Y31" s="303"/>
      <c r="Z31" s="205"/>
      <c r="AA31" s="139"/>
      <c r="AB31" s="199"/>
      <c r="AC31" s="409"/>
      <c r="AF31" s="184"/>
      <c r="AG31" s="307"/>
      <c r="AH31" s="302"/>
      <c r="AI31" s="204"/>
      <c r="AJ31" s="302"/>
      <c r="AK31" s="318"/>
      <c r="AL31" s="199"/>
      <c r="AM31" s="409"/>
      <c r="AP31" s="184"/>
      <c r="AQ31" s="37"/>
      <c r="AR31" s="311"/>
      <c r="AS31" s="303"/>
      <c r="AT31" s="311"/>
      <c r="AU31" s="318"/>
      <c r="AV31" s="199"/>
      <c r="AW31" s="409"/>
      <c r="AZ31" s="184"/>
      <c r="BA31" s="37"/>
      <c r="BB31" s="311"/>
      <c r="BC31" s="303"/>
      <c r="BD31" s="311"/>
      <c r="BE31" s="318"/>
      <c r="BF31" s="199"/>
      <c r="BG31" s="409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10">
        <f>SUM(CU8:CU30)</f>
        <v>974686.5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09"/>
      <c r="EL31" s="184"/>
      <c r="EM31" s="37"/>
      <c r="EN31" s="302"/>
      <c r="EO31" s="303"/>
      <c r="EP31" s="205"/>
      <c r="EQ31" s="139"/>
      <c r="ER31" s="199"/>
      <c r="ES31" s="409"/>
      <c r="EV31" s="184"/>
      <c r="EW31" s="37"/>
      <c r="EX31" s="302"/>
      <c r="EY31" s="303"/>
      <c r="EZ31" s="205"/>
      <c r="FA31" s="139"/>
      <c r="FB31" s="199"/>
      <c r="FC31" s="409"/>
      <c r="FF31" s="312"/>
      <c r="FG31" s="37"/>
      <c r="FH31" s="302"/>
      <c r="FI31" s="204"/>
      <c r="FJ31" s="302"/>
      <c r="FK31" s="139"/>
      <c r="FL31" s="199"/>
      <c r="FM31" s="409"/>
      <c r="FP31" s="184"/>
      <c r="FQ31" s="37"/>
      <c r="FR31" s="311"/>
      <c r="FS31" s="303"/>
      <c r="FT31" s="311"/>
      <c r="FU31" s="139"/>
      <c r="FV31" s="199"/>
      <c r="FW31" s="409"/>
      <c r="FZ31" s="184"/>
      <c r="GA31" s="37"/>
      <c r="GB31" s="302"/>
      <c r="GC31" s="303"/>
      <c r="GD31" s="205"/>
      <c r="GE31" s="139"/>
      <c r="GF31" s="199"/>
      <c r="GG31" s="409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12"/>
      <c r="HD31" s="264"/>
      <c r="HE31" s="52"/>
      <c r="HF31" s="313"/>
      <c r="HG31" s="314"/>
      <c r="HH31" s="315"/>
      <c r="HI31" s="316"/>
      <c r="HJ31" s="317"/>
      <c r="HK31" s="412"/>
      <c r="HN31" s="184"/>
      <c r="HO31" s="37"/>
      <c r="HP31" s="311"/>
      <c r="HQ31" s="303"/>
      <c r="HR31" s="205"/>
      <c r="HS31" s="139"/>
      <c r="HT31" s="199"/>
      <c r="HU31" s="409"/>
      <c r="HX31" s="184"/>
      <c r="HY31" s="37"/>
      <c r="HZ31" s="302"/>
      <c r="IA31" s="303"/>
      <c r="IB31" s="205"/>
      <c r="IC31" s="139"/>
      <c r="ID31" s="199"/>
      <c r="IE31" s="409"/>
      <c r="IH31" s="184"/>
      <c r="II31" s="37"/>
      <c r="IJ31" s="302"/>
      <c r="IK31" s="303"/>
      <c r="IL31" s="205"/>
      <c r="IM31" s="139"/>
      <c r="IN31" s="199"/>
      <c r="IO31" s="409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09"/>
      <c r="JL31" s="184"/>
      <c r="JM31" s="37"/>
      <c r="JN31" s="311"/>
      <c r="JO31" s="303"/>
      <c r="JP31" s="205"/>
      <c r="JQ31" s="139"/>
      <c r="JR31" s="199"/>
      <c r="JS31" s="409"/>
      <c r="JV31" s="184"/>
      <c r="JW31" s="37"/>
      <c r="JX31" s="302"/>
      <c r="JY31" s="303"/>
      <c r="JZ31" s="205"/>
      <c r="KA31" s="139"/>
      <c r="KB31" s="199"/>
      <c r="KC31" s="409"/>
      <c r="KF31" s="184"/>
      <c r="KG31" s="37"/>
      <c r="KH31" s="302"/>
      <c r="KI31" s="303"/>
      <c r="KJ31" s="205"/>
      <c r="KK31" s="139"/>
      <c r="KL31" s="199"/>
      <c r="KM31" s="409"/>
      <c r="KP31" s="184"/>
      <c r="KQ31" s="37"/>
      <c r="KR31" s="302"/>
      <c r="KS31" s="303"/>
      <c r="KT31" s="205"/>
      <c r="KU31" s="139"/>
      <c r="KV31" s="199"/>
      <c r="KW31" s="409"/>
      <c r="KZ31" s="184"/>
      <c r="LA31" s="307"/>
      <c r="LB31" s="302"/>
      <c r="LC31" s="204"/>
      <c r="LD31" s="302"/>
      <c r="LE31" s="318"/>
      <c r="LF31" s="199"/>
      <c r="LG31" s="409"/>
      <c r="LJ31" s="184"/>
      <c r="LK31" s="37"/>
      <c r="LL31" s="311"/>
      <c r="LM31" s="303"/>
      <c r="LN31" s="311"/>
      <c r="LO31" s="318"/>
      <c r="LP31" s="199"/>
      <c r="LQ31" s="409"/>
      <c r="LT31" s="184"/>
      <c r="LU31" s="37"/>
      <c r="LV31" s="205"/>
      <c r="LW31" s="204"/>
      <c r="LX31" s="302"/>
      <c r="LY31" s="318"/>
      <c r="LZ31" s="319"/>
      <c r="MA31" s="409"/>
      <c r="MB31" s="409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87811472</v>
      </c>
      <c r="E32" s="135">
        <f t="shared" si="71"/>
        <v>44833</v>
      </c>
      <c r="F32" s="86">
        <f t="shared" si="71"/>
        <v>18953.61</v>
      </c>
      <c r="G32" s="73">
        <f t="shared" si="71"/>
        <v>21</v>
      </c>
      <c r="H32" s="48">
        <f t="shared" si="71"/>
        <v>19038</v>
      </c>
      <c r="I32" s="105">
        <f t="shared" si="70"/>
        <v>-84.389999999999418</v>
      </c>
      <c r="N32" s="105">
        <f>SUM(N8:N31)</f>
        <v>18968.2</v>
      </c>
      <c r="P32" s="105">
        <f>SUM(P8:P31)</f>
        <v>18968.2</v>
      </c>
      <c r="S32" s="405"/>
      <c r="X32" s="105">
        <f>SUM(X8:X31)</f>
        <v>18971.599999999999</v>
      </c>
      <c r="Z32" s="105">
        <f>SUM(Z8:Z31)</f>
        <v>18971.599999999999</v>
      </c>
      <c r="AH32" s="105">
        <f>SUM(AH8:AH31)</f>
        <v>19228.600000000002</v>
      </c>
      <c r="AJ32" s="105">
        <f>SUM(AJ8:AJ31)</f>
        <v>19228.600000000002</v>
      </c>
      <c r="AM32" s="405"/>
      <c r="AR32" s="86">
        <f>SUM(AR8:AR31)</f>
        <v>18731.420000000002</v>
      </c>
      <c r="AT32" s="105">
        <f>SUM(AT8:AT31)</f>
        <v>18731.420000000002</v>
      </c>
      <c r="AZ32" s="75"/>
      <c r="BB32" s="86">
        <f>SUM(BB8:BB31)</f>
        <v>18747.34</v>
      </c>
      <c r="BD32" s="105">
        <f>SUM(BD8:BD31)</f>
        <v>18747.34</v>
      </c>
      <c r="BL32" s="105">
        <f>SUM(BL8:BL31)</f>
        <v>19032.699999999997</v>
      </c>
      <c r="BN32" s="105">
        <f>SUM(BN8:BN31)</f>
        <v>19032.699999999997</v>
      </c>
      <c r="BV32" s="105">
        <f>SUM(BV8:BV31)</f>
        <v>19155.199999999997</v>
      </c>
      <c r="BX32" s="105">
        <f>SUM(BX8:BX31)</f>
        <v>19155.199999999997</v>
      </c>
      <c r="CE32" s="15"/>
      <c r="CF32" s="105">
        <f>SUM(CF8:CF31)</f>
        <v>18972.599999999999</v>
      </c>
      <c r="CH32" s="105">
        <f>SUM(CH8:CH31)</f>
        <v>18972.599999999999</v>
      </c>
      <c r="CP32" s="105">
        <f>SUM(CP8:CP31)</f>
        <v>19111.5</v>
      </c>
      <c r="CR32" s="105">
        <f>SUM(CR8:CR31)</f>
        <v>19111.5</v>
      </c>
      <c r="CZ32" s="105">
        <f>SUM(CZ8:CZ31)</f>
        <v>18978.300000000003</v>
      </c>
      <c r="DB32" s="105">
        <f>SUM(DB8:DB31)</f>
        <v>18978.300000000003</v>
      </c>
      <c r="DJ32" s="105">
        <f>SUM(DJ8:DJ31)</f>
        <v>19288.399999999998</v>
      </c>
      <c r="DL32" s="105">
        <f>SUM(DL8:DL31)</f>
        <v>19288.399999999998</v>
      </c>
      <c r="DT32" s="105">
        <f>SUM(DT8:DT31)</f>
        <v>18933.800000000003</v>
      </c>
      <c r="DV32" s="105">
        <f>SUM(DV8:DV31)</f>
        <v>18933.800000000003</v>
      </c>
      <c r="ED32" s="105">
        <f>SUM(ED8:ED31)</f>
        <v>18314.13</v>
      </c>
      <c r="EF32" s="105">
        <f>SUM(EF8:EF31)</f>
        <v>18314.13</v>
      </c>
      <c r="EN32" s="105">
        <f>SUM(EN8:EN31)</f>
        <v>19037.599999999999</v>
      </c>
      <c r="EP32" s="105">
        <f>SUM(EP8:EP31)</f>
        <v>19037.599999999999</v>
      </c>
      <c r="EX32" s="105">
        <f>SUM(EX8:EX31)</f>
        <v>19034.5</v>
      </c>
      <c r="EZ32" s="105">
        <f>SUM(EZ8:EZ31)</f>
        <v>19034.5</v>
      </c>
      <c r="FH32" s="132">
        <f>SUM(FH8:FH31)</f>
        <v>18866.189999999999</v>
      </c>
      <c r="FJ32" s="105">
        <f>SUM(FJ8:FJ31)</f>
        <v>18866.189999999999</v>
      </c>
      <c r="FR32" s="105">
        <f>SUM(FR8:FR31)</f>
        <v>18473.8</v>
      </c>
      <c r="FS32" s="105"/>
      <c r="FT32" s="105">
        <f>SUM(FT8:FT31)</f>
        <v>18473.8</v>
      </c>
      <c r="FU32" s="75" t="s">
        <v>36</v>
      </c>
      <c r="GB32" s="105">
        <f>SUM(GB8:GB31)</f>
        <v>18913.899999999998</v>
      </c>
      <c r="GD32" s="105">
        <f>SUM(GD8:GD31)</f>
        <v>18913.899999999998</v>
      </c>
      <c r="GL32" s="105">
        <f>SUM(GL8:GL31)</f>
        <v>19109</v>
      </c>
      <c r="GN32" s="105">
        <f>SUM(GN8:GN31)</f>
        <v>19109</v>
      </c>
      <c r="GV32" s="105">
        <f>SUM(GV8:GV31)</f>
        <v>19069.900000000001</v>
      </c>
      <c r="GX32" s="105">
        <f>SUM(GX8:GX31)</f>
        <v>19069.900000000001</v>
      </c>
      <c r="HF32" s="105">
        <f>SUM(HF8:HF31)</f>
        <v>18708.5</v>
      </c>
      <c r="HH32" s="105">
        <f>SUM(HH8:HH31)</f>
        <v>18708.5</v>
      </c>
      <c r="HP32" s="105">
        <f>SUM(HP8:HP31)</f>
        <v>18207.09</v>
      </c>
      <c r="HR32" s="105">
        <f>SUM(HR8:HR31)</f>
        <v>18207.09</v>
      </c>
      <c r="HZ32" s="105">
        <f>SUM(HZ8:HZ31)</f>
        <v>18329.09</v>
      </c>
      <c r="IB32" s="105">
        <f>SUM(IB8:IB31)</f>
        <v>18329.09</v>
      </c>
      <c r="IJ32" s="105">
        <f>SUM(IJ8:IJ31)</f>
        <v>19098.399999999998</v>
      </c>
      <c r="IL32" s="105">
        <f>SUM(IL8:IL31)</f>
        <v>19098.399999999998</v>
      </c>
      <c r="IT32" s="105">
        <f>SUM(IT8:IT31)</f>
        <v>18727.600000000002</v>
      </c>
      <c r="IV32" s="105">
        <f>SUM(IV8:IV31)</f>
        <v>18727.600000000002</v>
      </c>
      <c r="JD32" s="105">
        <f>SUM(JD8:JD31)</f>
        <v>19005.7</v>
      </c>
      <c r="JF32" s="105">
        <f>SUM(JF8:JF31)</f>
        <v>19005.7</v>
      </c>
      <c r="JN32" s="105">
        <f>SUM(JN8:JN31)</f>
        <v>18908.36</v>
      </c>
      <c r="JP32" s="105">
        <f>SUM(JP8:JP31)</f>
        <v>18908.36</v>
      </c>
      <c r="JX32" s="105">
        <f>SUM(JX8:JX31)</f>
        <v>19087.400000000001</v>
      </c>
      <c r="JZ32" s="105">
        <f>SUM(JZ8:JZ31)</f>
        <v>19087.400000000001</v>
      </c>
      <c r="KH32" s="105">
        <f>SUM(KH8:KH31)</f>
        <v>19038</v>
      </c>
      <c r="KJ32" s="105">
        <f>SUM(KJ8:KJ31)</f>
        <v>19038</v>
      </c>
      <c r="KR32" s="105">
        <f>SUM(KR8:KR31)</f>
        <v>18894.599999999999</v>
      </c>
      <c r="KT32" s="105">
        <f>SUM(KT8:KT31)</f>
        <v>18894.599999999999</v>
      </c>
      <c r="LB32" s="105">
        <f>SUM(LB8:LB31)</f>
        <v>18753.670000000002</v>
      </c>
      <c r="LD32" s="105">
        <f>SUM(LD8:LD31)</f>
        <v>18753.670000000002</v>
      </c>
      <c r="LL32" s="86">
        <f>SUM(LL8:LL31)</f>
        <v>18950.899999999998</v>
      </c>
      <c r="LN32" s="105">
        <f>SUM(LN8:LN31)</f>
        <v>18950.899999999998</v>
      </c>
      <c r="LU32" s="140"/>
      <c r="LV32" s="86">
        <f>SUM(LV8:LV31)</f>
        <v>18860.199999999993</v>
      </c>
      <c r="LW32" s="86"/>
      <c r="LX32" s="86">
        <f>SUM(LX8:LX31)</f>
        <v>18860.199999999993</v>
      </c>
      <c r="MA32" s="405"/>
      <c r="MB32" s="405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87810987</v>
      </c>
      <c r="E33" s="135">
        <f t="shared" si="72"/>
        <v>44833</v>
      </c>
      <c r="F33" s="86">
        <f t="shared" si="72"/>
        <v>18809.29</v>
      </c>
      <c r="G33" s="73">
        <f t="shared" si="72"/>
        <v>21</v>
      </c>
      <c r="H33" s="48">
        <f t="shared" si="72"/>
        <v>18894.599999999999</v>
      </c>
      <c r="I33" s="105">
        <f t="shared" si="70"/>
        <v>-85.309999999997672</v>
      </c>
      <c r="N33" s="262" t="s">
        <v>21</v>
      </c>
      <c r="O33" s="263"/>
      <c r="P33" s="141">
        <f>Q5-P32</f>
        <v>0</v>
      </c>
      <c r="S33" s="405"/>
      <c r="X33" s="262" t="s">
        <v>21</v>
      </c>
      <c r="Y33" s="263"/>
      <c r="Z33" s="141">
        <f>AA5-Z32</f>
        <v>0</v>
      </c>
      <c r="AH33" s="262" t="s">
        <v>21</v>
      </c>
      <c r="AI33" s="263"/>
      <c r="AJ33" s="218">
        <f>AK5-AJ32</f>
        <v>0</v>
      </c>
      <c r="AM33" s="405"/>
      <c r="AR33" s="262" t="s">
        <v>21</v>
      </c>
      <c r="AS33" s="263"/>
      <c r="AT33" s="141">
        <f>AU5-AT32</f>
        <v>0</v>
      </c>
      <c r="AZ33" s="75"/>
      <c r="BB33" s="262" t="s">
        <v>21</v>
      </c>
      <c r="BC33" s="263"/>
      <c r="BD33" s="141">
        <f>BE5-BD32</f>
        <v>0</v>
      </c>
      <c r="BL33" s="262" t="s">
        <v>21</v>
      </c>
      <c r="BM33" s="263"/>
      <c r="BN33" s="141">
        <f>BL32-BN32</f>
        <v>0</v>
      </c>
      <c r="BV33" s="262" t="s">
        <v>21</v>
      </c>
      <c r="BW33" s="263"/>
      <c r="BX33" s="141">
        <f>BV32-BX32</f>
        <v>0</v>
      </c>
      <c r="CE33" s="15"/>
      <c r="CF33" s="262" t="s">
        <v>21</v>
      </c>
      <c r="CG33" s="263"/>
      <c r="CH33" s="141">
        <f>CF32-CH32</f>
        <v>0</v>
      </c>
      <c r="CP33" s="262" t="s">
        <v>21</v>
      </c>
      <c r="CQ33" s="263"/>
      <c r="CR33" s="141">
        <f>CP32-CR32</f>
        <v>0</v>
      </c>
      <c r="CZ33" s="262" t="s">
        <v>21</v>
      </c>
      <c r="DA33" s="263"/>
      <c r="DB33" s="141">
        <f>CZ32-DB32</f>
        <v>0</v>
      </c>
      <c r="DJ33" s="262" t="s">
        <v>21</v>
      </c>
      <c r="DK33" s="263"/>
      <c r="DL33" s="141">
        <f>DJ32-DL32</f>
        <v>0</v>
      </c>
      <c r="DT33" s="262" t="s">
        <v>21</v>
      </c>
      <c r="DU33" s="263"/>
      <c r="DV33" s="141">
        <f>DT32-DV32</f>
        <v>0</v>
      </c>
      <c r="ED33" s="262" t="s">
        <v>21</v>
      </c>
      <c r="EE33" s="263"/>
      <c r="EF33" s="141">
        <f>ED32-EF32</f>
        <v>0</v>
      </c>
      <c r="EN33" s="262" t="s">
        <v>21</v>
      </c>
      <c r="EO33" s="263"/>
      <c r="EP33" s="141">
        <f>EN32-EP32</f>
        <v>0</v>
      </c>
      <c r="EX33" s="262" t="s">
        <v>21</v>
      </c>
      <c r="EY33" s="263"/>
      <c r="EZ33" s="141">
        <f>EX32-EZ32</f>
        <v>0</v>
      </c>
      <c r="FH33" s="262" t="s">
        <v>21</v>
      </c>
      <c r="FI33" s="263"/>
      <c r="FJ33" s="141">
        <f>FH32-FJ32</f>
        <v>0</v>
      </c>
      <c r="FR33" s="262" t="s">
        <v>21</v>
      </c>
      <c r="FS33" s="263"/>
      <c r="FT33" s="141">
        <f>FR32-FT32</f>
        <v>0</v>
      </c>
      <c r="GB33" s="262" t="s">
        <v>21</v>
      </c>
      <c r="GC33" s="263"/>
      <c r="GD33" s="141">
        <f>GE5-GD32</f>
        <v>0</v>
      </c>
      <c r="GL33" s="262" t="s">
        <v>21</v>
      </c>
      <c r="GM33" s="263"/>
      <c r="GN33" s="141">
        <f>GL32-GN32</f>
        <v>0</v>
      </c>
      <c r="GV33" s="262" t="s">
        <v>21</v>
      </c>
      <c r="GW33" s="263"/>
      <c r="GX33" s="141">
        <f>GV32-GX32</f>
        <v>0</v>
      </c>
      <c r="HF33" s="262" t="s">
        <v>21</v>
      </c>
      <c r="HG33" s="263"/>
      <c r="HH33" s="141">
        <f>HF32-HH32</f>
        <v>0</v>
      </c>
      <c r="HP33" s="262" t="s">
        <v>21</v>
      </c>
      <c r="HQ33" s="263"/>
      <c r="HR33" s="141">
        <f>HP32-HR32</f>
        <v>0</v>
      </c>
      <c r="HZ33" s="262" t="s">
        <v>21</v>
      </c>
      <c r="IA33" s="263"/>
      <c r="IB33" s="141">
        <f>IC5-IB32</f>
        <v>0</v>
      </c>
      <c r="IJ33" s="262" t="s">
        <v>21</v>
      </c>
      <c r="IK33" s="263"/>
      <c r="IL33" s="141">
        <f>IJ32-IL32</f>
        <v>0</v>
      </c>
      <c r="IT33" s="262" t="s">
        <v>21</v>
      </c>
      <c r="IU33" s="263"/>
      <c r="IV33" s="141">
        <f>IT32-IV32</f>
        <v>0</v>
      </c>
      <c r="JD33" s="262" t="s">
        <v>21</v>
      </c>
      <c r="JE33" s="263"/>
      <c r="JF33" s="141">
        <f>JD32-JF32</f>
        <v>0</v>
      </c>
      <c r="JN33" s="262" t="s">
        <v>21</v>
      </c>
      <c r="JO33" s="263"/>
      <c r="JP33" s="141">
        <f>JN32-JP32</f>
        <v>0</v>
      </c>
      <c r="JX33" s="262" t="s">
        <v>21</v>
      </c>
      <c r="JY33" s="263"/>
      <c r="JZ33" s="141">
        <f>KA5-JZ32</f>
        <v>0</v>
      </c>
      <c r="KH33" s="262" t="s">
        <v>21</v>
      </c>
      <c r="KI33" s="263"/>
      <c r="KJ33" s="141">
        <f>KK5-KJ32</f>
        <v>0</v>
      </c>
      <c r="KR33" s="262" t="s">
        <v>21</v>
      </c>
      <c r="KS33" s="263"/>
      <c r="KT33" s="141">
        <f>KU5-KT32</f>
        <v>0</v>
      </c>
      <c r="LB33" s="262" t="s">
        <v>21</v>
      </c>
      <c r="LC33" s="263"/>
      <c r="LD33" s="218">
        <f>LE5-LD32</f>
        <v>0</v>
      </c>
      <c r="LL33" s="262" t="s">
        <v>21</v>
      </c>
      <c r="LM33" s="263"/>
      <c r="LN33" s="141">
        <f>LO5-LN32</f>
        <v>0</v>
      </c>
      <c r="MA33" s="405"/>
      <c r="MB33" s="405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1048" t="s">
        <v>21</v>
      </c>
      <c r="RU33" s="1049"/>
      <c r="RV33" s="141">
        <f>SUM(RW5-RV32)</f>
        <v>0</v>
      </c>
      <c r="SC33" s="1048" t="s">
        <v>21</v>
      </c>
      <c r="SD33" s="1049"/>
      <c r="SE33" s="141">
        <f>SUM(SF5-SE32)</f>
        <v>0</v>
      </c>
      <c r="SL33" s="1048" t="s">
        <v>21</v>
      </c>
      <c r="SM33" s="1049"/>
      <c r="SN33" s="218">
        <f>SUM(SO5-SN32)</f>
        <v>0</v>
      </c>
      <c r="SU33" s="1048" t="s">
        <v>21</v>
      </c>
      <c r="SV33" s="1049"/>
      <c r="SW33" s="141">
        <f>SUM(SX5-SW32)</f>
        <v>0</v>
      </c>
      <c r="TD33" s="1048" t="s">
        <v>21</v>
      </c>
      <c r="TE33" s="1049"/>
      <c r="TF33" s="141">
        <f>SUM(TG5-TF32)</f>
        <v>0</v>
      </c>
      <c r="TM33" s="1048" t="s">
        <v>21</v>
      </c>
      <c r="TN33" s="1049"/>
      <c r="TO33" s="141">
        <f>SUM(TP5-TO32)</f>
        <v>0</v>
      </c>
      <c r="TV33" s="1048" t="s">
        <v>21</v>
      </c>
      <c r="TW33" s="1049"/>
      <c r="TX33" s="141">
        <f>SUM(TY5-TX32)</f>
        <v>0</v>
      </c>
      <c r="UE33" s="1048" t="s">
        <v>21</v>
      </c>
      <c r="UF33" s="1049"/>
      <c r="UG33" s="141">
        <f>SUM(UH5-UG32)</f>
        <v>0</v>
      </c>
      <c r="UN33" s="1048" t="s">
        <v>21</v>
      </c>
      <c r="UO33" s="1049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1048" t="s">
        <v>21</v>
      </c>
      <c r="VP33" s="1049"/>
      <c r="VQ33" s="141">
        <f>VR5-VQ32</f>
        <v>-22</v>
      </c>
      <c r="VX33" s="1048" t="s">
        <v>21</v>
      </c>
      <c r="VY33" s="1049"/>
      <c r="VZ33" s="141">
        <f>WA5-VZ32</f>
        <v>-22</v>
      </c>
      <c r="WG33" s="1048" t="s">
        <v>21</v>
      </c>
      <c r="WH33" s="1049"/>
      <c r="WI33" s="141">
        <f>WJ5-WI32</f>
        <v>-22</v>
      </c>
      <c r="WP33" s="1048" t="s">
        <v>21</v>
      </c>
      <c r="WQ33" s="1049"/>
      <c r="WR33" s="141">
        <f>WS5-WR32</f>
        <v>-22</v>
      </c>
      <c r="WY33" s="1048" t="s">
        <v>21</v>
      </c>
      <c r="WZ33" s="1049"/>
      <c r="XA33" s="141">
        <f>XB5-XA32</f>
        <v>-22</v>
      </c>
      <c r="XH33" s="1048" t="s">
        <v>21</v>
      </c>
      <c r="XI33" s="1049"/>
      <c r="XJ33" s="141">
        <f>XK5-XJ32</f>
        <v>-22</v>
      </c>
      <c r="XQ33" s="1048" t="s">
        <v>21</v>
      </c>
      <c r="XR33" s="1049"/>
      <c r="XS33" s="141">
        <f>XT5-XS32</f>
        <v>-22</v>
      </c>
      <c r="XZ33" s="1048" t="s">
        <v>21</v>
      </c>
      <c r="YA33" s="1049"/>
      <c r="YB33" s="141">
        <f>YC5-YB32</f>
        <v>-22</v>
      </c>
      <c r="YI33" s="1048" t="s">
        <v>21</v>
      </c>
      <c r="YJ33" s="1049"/>
      <c r="YK33" s="141">
        <f>YL5-YK32</f>
        <v>-22</v>
      </c>
      <c r="YR33" s="1048" t="s">
        <v>21</v>
      </c>
      <c r="YS33" s="1049"/>
      <c r="YT33" s="141">
        <f>YU5-YT32</f>
        <v>-22</v>
      </c>
      <c r="ZA33" s="1048" t="s">
        <v>21</v>
      </c>
      <c r="ZB33" s="1049"/>
      <c r="ZC33" s="141">
        <f>ZD5-ZC32</f>
        <v>-22</v>
      </c>
      <c r="ZJ33" s="1048" t="s">
        <v>21</v>
      </c>
      <c r="ZK33" s="1049"/>
      <c r="ZL33" s="141">
        <f>ZM5-ZL32</f>
        <v>-22</v>
      </c>
      <c r="ZS33" s="1048" t="s">
        <v>21</v>
      </c>
      <c r="ZT33" s="1049"/>
      <c r="ZU33" s="141">
        <f>ZV5-ZU32</f>
        <v>-22</v>
      </c>
      <c r="AAB33" s="1048" t="s">
        <v>21</v>
      </c>
      <c r="AAC33" s="1049"/>
      <c r="AAD33" s="141">
        <f>AAE5-AAD32</f>
        <v>-22</v>
      </c>
      <c r="AAK33" s="1048" t="s">
        <v>21</v>
      </c>
      <c r="AAL33" s="1049"/>
      <c r="AAM33" s="141">
        <f>AAN5-AAM32</f>
        <v>-22</v>
      </c>
      <c r="AAT33" s="1048" t="s">
        <v>21</v>
      </c>
      <c r="AAU33" s="1049"/>
      <c r="AAV33" s="141">
        <f>AAV32-AAT32</f>
        <v>22</v>
      </c>
      <c r="ABC33" s="1048" t="s">
        <v>21</v>
      </c>
      <c r="ABD33" s="1049"/>
      <c r="ABE33" s="141">
        <f>ABF5-ABE32</f>
        <v>-22</v>
      </c>
      <c r="ABL33" s="1048" t="s">
        <v>21</v>
      </c>
      <c r="ABM33" s="1049"/>
      <c r="ABN33" s="141">
        <f>ABO5-ABN32</f>
        <v>-22</v>
      </c>
      <c r="ABU33" s="1048" t="s">
        <v>21</v>
      </c>
      <c r="ABV33" s="1049"/>
      <c r="ABW33" s="141">
        <f>ABX5-ABW32</f>
        <v>-22</v>
      </c>
      <c r="ACD33" s="1048" t="s">
        <v>21</v>
      </c>
      <c r="ACE33" s="1049"/>
      <c r="ACF33" s="141">
        <f>ACG5-ACF32</f>
        <v>-22</v>
      </c>
      <c r="ACM33" s="1048" t="s">
        <v>21</v>
      </c>
      <c r="ACN33" s="1049"/>
      <c r="ACO33" s="141">
        <f>ACP5-ACO32</f>
        <v>-22</v>
      </c>
      <c r="ACV33" s="1048" t="s">
        <v>21</v>
      </c>
      <c r="ACW33" s="1049"/>
      <c r="ACX33" s="141">
        <f>ACY5-ACX32</f>
        <v>-22</v>
      </c>
      <c r="ADE33" s="1048" t="s">
        <v>21</v>
      </c>
      <c r="ADF33" s="1049"/>
      <c r="ADG33" s="141">
        <f>ADH5-ADG32</f>
        <v>-22</v>
      </c>
      <c r="ADN33" s="1048" t="s">
        <v>21</v>
      </c>
      <c r="ADO33" s="1049"/>
      <c r="ADP33" s="141">
        <f>ADQ5-ADP32</f>
        <v>-22</v>
      </c>
      <c r="ADW33" s="1048" t="s">
        <v>21</v>
      </c>
      <c r="ADX33" s="1049"/>
      <c r="ADY33" s="141">
        <f>ADZ5-ADY32</f>
        <v>-22</v>
      </c>
      <c r="AEF33" s="1048" t="s">
        <v>21</v>
      </c>
      <c r="AEG33" s="1049"/>
      <c r="AEH33" s="141">
        <f>AEI5-AEH32</f>
        <v>-22</v>
      </c>
      <c r="AEO33" s="1048" t="s">
        <v>21</v>
      </c>
      <c r="AEP33" s="1049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TYSON FRESH MEATS</v>
      </c>
      <c r="C34" s="75" t="str">
        <f t="shared" si="73"/>
        <v xml:space="preserve">I B P </v>
      </c>
      <c r="D34" s="102" t="str">
        <f t="shared" si="73"/>
        <v>PED.87859590</v>
      </c>
      <c r="E34" s="135">
        <f t="shared" si="73"/>
        <v>44834</v>
      </c>
      <c r="F34" s="86">
        <f t="shared" si="73"/>
        <v>18717.740000000002</v>
      </c>
      <c r="G34" s="73">
        <f t="shared" si="73"/>
        <v>20</v>
      </c>
      <c r="H34" s="48">
        <f t="shared" si="73"/>
        <v>18753.669999999998</v>
      </c>
      <c r="I34" s="105">
        <f t="shared" si="70"/>
        <v>-35.929999999996653</v>
      </c>
      <c r="N34" s="264" t="s">
        <v>4</v>
      </c>
      <c r="O34" s="265"/>
      <c r="P34" s="49"/>
      <c r="S34" s="405"/>
      <c r="X34" s="264" t="s">
        <v>4</v>
      </c>
      <c r="Y34" s="265"/>
      <c r="Z34" s="49"/>
      <c r="AH34" s="264" t="s">
        <v>4</v>
      </c>
      <c r="AI34" s="265"/>
      <c r="AJ34" s="49"/>
      <c r="AM34" s="405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0</v>
      </c>
      <c r="MA34" s="405"/>
      <c r="MB34" s="405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1050" t="s">
        <v>4</v>
      </c>
      <c r="RU34" s="1051"/>
      <c r="RV34" s="49"/>
      <c r="SC34" s="1050" t="s">
        <v>4</v>
      </c>
      <c r="SD34" s="1051"/>
      <c r="SE34" s="49"/>
      <c r="SL34" s="1050" t="s">
        <v>4</v>
      </c>
      <c r="SM34" s="1051"/>
      <c r="SN34" s="49"/>
      <c r="SU34" s="1050" t="s">
        <v>4</v>
      </c>
      <c r="SV34" s="1051"/>
      <c r="SW34" s="49"/>
      <c r="TD34" s="1050" t="s">
        <v>4</v>
      </c>
      <c r="TE34" s="1051"/>
      <c r="TF34" s="49"/>
      <c r="TM34" s="1050" t="s">
        <v>4</v>
      </c>
      <c r="TN34" s="1051"/>
      <c r="TO34" s="49"/>
      <c r="TV34" s="1050" t="s">
        <v>4</v>
      </c>
      <c r="TW34" s="1051"/>
      <c r="TX34" s="49"/>
      <c r="UE34" s="1050" t="s">
        <v>4</v>
      </c>
      <c r="UF34" s="1051"/>
      <c r="UG34" s="49"/>
      <c r="UN34" s="1050" t="s">
        <v>4</v>
      </c>
      <c r="UO34" s="1051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1050" t="s">
        <v>4</v>
      </c>
      <c r="VP34" s="1051"/>
      <c r="VQ34" s="49"/>
      <c r="VX34" s="1050" t="s">
        <v>4</v>
      </c>
      <c r="VY34" s="1051"/>
      <c r="VZ34" s="49"/>
      <c r="WG34" s="1050" t="s">
        <v>4</v>
      </c>
      <c r="WH34" s="1051"/>
      <c r="WI34" s="49"/>
      <c r="WP34" s="1050" t="s">
        <v>4</v>
      </c>
      <c r="WQ34" s="1051"/>
      <c r="WR34" s="49"/>
      <c r="WY34" s="1050" t="s">
        <v>4</v>
      </c>
      <c r="WZ34" s="1051"/>
      <c r="XA34" s="49"/>
      <c r="XH34" s="1050" t="s">
        <v>4</v>
      </c>
      <c r="XI34" s="1051"/>
      <c r="XJ34" s="49"/>
      <c r="XQ34" s="1050" t="s">
        <v>4</v>
      </c>
      <c r="XR34" s="1051"/>
      <c r="XS34" s="49"/>
      <c r="XZ34" s="1050" t="s">
        <v>4</v>
      </c>
      <c r="YA34" s="1051"/>
      <c r="YB34" s="49"/>
      <c r="YI34" s="1050" t="s">
        <v>4</v>
      </c>
      <c r="YJ34" s="1051"/>
      <c r="YK34" s="49"/>
      <c r="YR34" s="1050" t="s">
        <v>4</v>
      </c>
      <c r="YS34" s="1051"/>
      <c r="YT34" s="49"/>
      <c r="ZA34" s="1050" t="s">
        <v>4</v>
      </c>
      <c r="ZB34" s="1051"/>
      <c r="ZC34" s="49"/>
      <c r="ZJ34" s="1050" t="s">
        <v>4</v>
      </c>
      <c r="ZK34" s="1051"/>
      <c r="ZL34" s="49"/>
      <c r="ZS34" s="1050" t="s">
        <v>4</v>
      </c>
      <c r="ZT34" s="1051"/>
      <c r="ZU34" s="49"/>
      <c r="AAB34" s="1050" t="s">
        <v>4</v>
      </c>
      <c r="AAC34" s="1051"/>
      <c r="AAD34" s="49"/>
      <c r="AAK34" s="1050" t="s">
        <v>4</v>
      </c>
      <c r="AAL34" s="1051"/>
      <c r="AAM34" s="49"/>
      <c r="AAT34" s="1050" t="s">
        <v>4</v>
      </c>
      <c r="AAU34" s="1051"/>
      <c r="AAV34" s="49"/>
      <c r="ABC34" s="1050" t="s">
        <v>4</v>
      </c>
      <c r="ABD34" s="1051"/>
      <c r="ABE34" s="49"/>
      <c r="ABL34" s="1050" t="s">
        <v>4</v>
      </c>
      <c r="ABM34" s="1051"/>
      <c r="ABN34" s="49"/>
      <c r="ABU34" s="1050" t="s">
        <v>4</v>
      </c>
      <c r="ABV34" s="1051"/>
      <c r="ABW34" s="49"/>
      <c r="ACD34" s="1050" t="s">
        <v>4</v>
      </c>
      <c r="ACE34" s="1051"/>
      <c r="ACF34" s="49"/>
      <c r="ACM34" s="1050" t="s">
        <v>4</v>
      </c>
      <c r="ACN34" s="1051"/>
      <c r="ACO34" s="49"/>
      <c r="ACV34" s="1050" t="s">
        <v>4</v>
      </c>
      <c r="ACW34" s="1051"/>
      <c r="ACX34" s="49"/>
      <c r="ADE34" s="1050" t="s">
        <v>4</v>
      </c>
      <c r="ADF34" s="1051"/>
      <c r="ADG34" s="49"/>
      <c r="ADN34" s="1050" t="s">
        <v>4</v>
      </c>
      <c r="ADO34" s="1051"/>
      <c r="ADP34" s="49"/>
      <c r="ADW34" s="1050" t="s">
        <v>4</v>
      </c>
      <c r="ADX34" s="1051"/>
      <c r="ADY34" s="49"/>
      <c r="AEF34" s="1050" t="s">
        <v>4</v>
      </c>
      <c r="AEG34" s="1051"/>
      <c r="AEH34" s="49"/>
      <c r="AEO34" s="1050" t="s">
        <v>4</v>
      </c>
      <c r="AEP34" s="1051"/>
      <c r="AEQ34" s="49"/>
    </row>
    <row r="35" spans="1:823" ht="16.5" thickBot="1" x14ac:dyDescent="0.3">
      <c r="A35" s="137">
        <v>32</v>
      </c>
      <c r="B35" s="75" t="str">
        <f t="shared" ref="B35:H35" si="74">LI5</f>
        <v>SEABOARD FOODS</v>
      </c>
      <c r="C35" s="75" t="str">
        <f t="shared" si="74"/>
        <v>Seaboard</v>
      </c>
      <c r="D35" s="102" t="str">
        <f t="shared" si="74"/>
        <v>PED. 87859194</v>
      </c>
      <c r="E35" s="135">
        <f t="shared" si="74"/>
        <v>44834</v>
      </c>
      <c r="F35" s="86">
        <f t="shared" si="74"/>
        <v>18895.86</v>
      </c>
      <c r="G35" s="73">
        <f t="shared" si="74"/>
        <v>21</v>
      </c>
      <c r="H35" s="48">
        <f t="shared" si="74"/>
        <v>18950.900000000001</v>
      </c>
      <c r="I35" s="105">
        <f t="shared" si="70"/>
        <v>-55.040000000000873</v>
      </c>
      <c r="S35" s="405"/>
      <c r="AM35" s="405"/>
      <c r="AZ35" s="75"/>
      <c r="CP35" s="75" t="s">
        <v>41</v>
      </c>
      <c r="LV35" s="264" t="s">
        <v>4</v>
      </c>
      <c r="LW35" s="265"/>
      <c r="LX35" s="49"/>
      <c r="MA35" s="405"/>
      <c r="MB35" s="405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87859192</v>
      </c>
      <c r="E36" s="135">
        <f t="shared" si="75"/>
        <v>44834</v>
      </c>
      <c r="F36" s="86">
        <f t="shared" si="75"/>
        <v>18787.43</v>
      </c>
      <c r="G36" s="73">
        <f t="shared" si="75"/>
        <v>21</v>
      </c>
      <c r="H36" s="48">
        <f t="shared" si="75"/>
        <v>18860.2</v>
      </c>
      <c r="I36" s="105">
        <f t="shared" si="70"/>
        <v>-72.770000000000437</v>
      </c>
      <c r="S36" s="405"/>
      <c r="AM36" s="405"/>
      <c r="AZ36" s="75"/>
      <c r="MA36" s="405"/>
      <c r="MB36" s="405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5"/>
      <c r="AM37" s="405"/>
      <c r="AZ37" s="75"/>
      <c r="MA37" s="405"/>
      <c r="MB37" s="405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5"/>
      <c r="AM38" s="405"/>
      <c r="AZ38" s="75"/>
      <c r="MA38" s="405"/>
      <c r="MB38" s="405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5"/>
      <c r="MB39" s="405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5"/>
      <c r="MB40" s="405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5"/>
      <c r="MB41" s="405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5"/>
      <c r="MB42" s="405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5"/>
      <c r="MB43" s="405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5"/>
      <c r="MB44" s="405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43"/>
      <c r="B1" s="1043"/>
      <c r="C1" s="1043"/>
      <c r="D1" s="1043"/>
      <c r="E1" s="1043"/>
      <c r="F1" s="1043"/>
      <c r="G1" s="1043"/>
      <c r="H1" s="270">
        <v>1</v>
      </c>
      <c r="I1" s="40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5"/>
    </row>
    <row r="3" spans="1:10" ht="16.5" thickTop="1" thickBot="1" x14ac:dyDescent="0.3">
      <c r="A3" s="72"/>
      <c r="B3" s="520" t="s">
        <v>1</v>
      </c>
      <c r="C3" s="72"/>
      <c r="D3" s="72"/>
      <c r="E3" s="72"/>
      <c r="F3" s="72"/>
      <c r="G3" s="280" t="s">
        <v>20</v>
      </c>
      <c r="H3" s="279" t="s">
        <v>6</v>
      </c>
      <c r="I3" s="407"/>
    </row>
    <row r="4" spans="1:10" ht="15.75" customHeight="1" thickTop="1" x14ac:dyDescent="0.25">
      <c r="A4" s="75"/>
      <c r="B4" s="608"/>
      <c r="C4" s="245"/>
      <c r="D4" s="134"/>
      <c r="E4" s="387"/>
      <c r="F4" s="73"/>
      <c r="G4" s="239"/>
      <c r="H4" s="148"/>
      <c r="I4" s="411"/>
    </row>
    <row r="5" spans="1:10" ht="14.25" customHeight="1" x14ac:dyDescent="0.25">
      <c r="A5" s="1044"/>
      <c r="B5" s="1076" t="s">
        <v>99</v>
      </c>
      <c r="C5" s="403"/>
      <c r="D5" s="134"/>
      <c r="E5" s="86"/>
      <c r="F5" s="73"/>
      <c r="G5" s="48">
        <f>F30</f>
        <v>0</v>
      </c>
      <c r="H5" s="138">
        <f>E5-G5+E4+E6+E7</f>
        <v>0</v>
      </c>
      <c r="I5" s="408"/>
    </row>
    <row r="6" spans="1:10" x14ac:dyDescent="0.25">
      <c r="A6" s="1044"/>
      <c r="B6" s="1076"/>
      <c r="C6" s="405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4"/>
      <c r="C7" s="405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9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94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94"/>
      <c r="F25" s="92">
        <f t="shared" si="0"/>
        <v>0</v>
      </c>
      <c r="G25" s="591"/>
      <c r="H25" s="592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94"/>
      <c r="F26" s="92">
        <f t="shared" si="0"/>
        <v>0</v>
      </c>
      <c r="G26" s="591"/>
      <c r="H26" s="592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94"/>
      <c r="F27" s="92">
        <f t="shared" si="0"/>
        <v>0</v>
      </c>
      <c r="G27" s="591"/>
      <c r="H27" s="592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48" t="s">
        <v>21</v>
      </c>
      <c r="E32" s="1049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58"/>
      <c r="B1" s="1058"/>
      <c r="C1" s="1058"/>
      <c r="D1" s="1058"/>
      <c r="E1" s="1058"/>
      <c r="F1" s="1058"/>
      <c r="G1" s="105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10" t="s">
        <v>76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74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8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28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28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28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28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28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28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28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28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28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28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28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28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28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28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28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28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28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48" t="s">
        <v>21</v>
      </c>
      <c r="E29" s="1049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D19" sqref="D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58" t="s">
        <v>306</v>
      </c>
      <c r="B1" s="1058"/>
      <c r="C1" s="1058"/>
      <c r="D1" s="1058"/>
      <c r="E1" s="1058"/>
      <c r="F1" s="1058"/>
      <c r="G1" s="105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 t="s">
        <v>133</v>
      </c>
      <c r="B5" s="73"/>
      <c r="C5" s="156">
        <v>24</v>
      </c>
      <c r="D5" s="149">
        <v>44811</v>
      </c>
      <c r="E5" s="132">
        <v>2818.62</v>
      </c>
      <c r="F5" s="73">
        <v>3</v>
      </c>
      <c r="G5" s="88">
        <f>F30</f>
        <v>2818.62</v>
      </c>
      <c r="H5" s="154">
        <f>E5-G5+E6</f>
        <v>0</v>
      </c>
    </row>
    <row r="6" spans="1:10" ht="15.75" x14ac:dyDescent="0.25">
      <c r="A6" s="227"/>
      <c r="B6" s="444" t="s">
        <v>58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32" t="s">
        <v>7</v>
      </c>
      <c r="C8" s="433" t="s">
        <v>8</v>
      </c>
      <c r="D8" s="434" t="s">
        <v>17</v>
      </c>
      <c r="E8" s="435" t="s">
        <v>2</v>
      </c>
      <c r="F8" s="436" t="s">
        <v>18</v>
      </c>
      <c r="G8" s="431" t="s">
        <v>56</v>
      </c>
      <c r="H8" s="24"/>
    </row>
    <row r="9" spans="1:10" ht="15.75" thickTop="1" x14ac:dyDescent="0.25">
      <c r="A9" s="55" t="s">
        <v>32</v>
      </c>
      <c r="B9" s="89"/>
      <c r="C9" s="437">
        <v>1</v>
      </c>
      <c r="D9" s="438">
        <v>965.7</v>
      </c>
      <c r="E9" s="439">
        <v>44812</v>
      </c>
      <c r="F9" s="440">
        <f>D9</f>
        <v>965.7</v>
      </c>
      <c r="G9" s="70" t="s">
        <v>580</v>
      </c>
      <c r="H9" s="71">
        <v>25</v>
      </c>
      <c r="I9" s="132">
        <f>E5+E6+E4+E7-F9</f>
        <v>1852.9199999999998</v>
      </c>
      <c r="J9" s="60">
        <f>H9*F9</f>
        <v>24142.5</v>
      </c>
    </row>
    <row r="10" spans="1:10" x14ac:dyDescent="0.25">
      <c r="B10" s="89"/>
      <c r="C10" s="338">
        <v>1</v>
      </c>
      <c r="D10" s="339">
        <v>919.88</v>
      </c>
      <c r="E10" s="356">
        <v>44812</v>
      </c>
      <c r="F10" s="339">
        <f>D10</f>
        <v>919.88</v>
      </c>
      <c r="G10" s="70" t="s">
        <v>580</v>
      </c>
      <c r="H10" s="71">
        <v>25</v>
      </c>
      <c r="I10" s="132">
        <f>I9-F10</f>
        <v>933.03999999999985</v>
      </c>
      <c r="J10" s="60">
        <f t="shared" ref="J10:J28" si="0">H10*F10</f>
        <v>22997</v>
      </c>
    </row>
    <row r="11" spans="1:10" x14ac:dyDescent="0.25">
      <c r="B11" s="89"/>
      <c r="C11" s="338">
        <v>1</v>
      </c>
      <c r="D11" s="339">
        <v>933.04</v>
      </c>
      <c r="E11" s="356">
        <v>44812</v>
      </c>
      <c r="F11" s="339">
        <f t="shared" ref="F11:F29" si="1">D11</f>
        <v>933.04</v>
      </c>
      <c r="G11" s="70" t="s">
        <v>580</v>
      </c>
      <c r="H11" s="71">
        <v>25</v>
      </c>
      <c r="I11" s="132">
        <f t="shared" ref="I11:I28" si="2">I10-F11</f>
        <v>0</v>
      </c>
      <c r="J11" s="60">
        <f t="shared" si="0"/>
        <v>23326</v>
      </c>
    </row>
    <row r="12" spans="1:10" x14ac:dyDescent="0.25">
      <c r="A12" s="55" t="s">
        <v>33</v>
      </c>
      <c r="B12" s="89"/>
      <c r="C12" s="338"/>
      <c r="D12" s="339"/>
      <c r="E12" s="356"/>
      <c r="F12" s="339">
        <f t="shared" si="1"/>
        <v>0</v>
      </c>
      <c r="G12" s="909"/>
      <c r="H12" s="910"/>
      <c r="I12" s="615">
        <f t="shared" si="2"/>
        <v>0</v>
      </c>
      <c r="J12" s="898">
        <f t="shared" si="0"/>
        <v>0</v>
      </c>
    </row>
    <row r="13" spans="1:10" x14ac:dyDescent="0.25">
      <c r="B13" s="89"/>
      <c r="C13" s="338"/>
      <c r="D13" s="339"/>
      <c r="E13" s="356"/>
      <c r="F13" s="339">
        <f t="shared" si="1"/>
        <v>0</v>
      </c>
      <c r="G13" s="909"/>
      <c r="H13" s="910"/>
      <c r="I13" s="615">
        <f t="shared" si="2"/>
        <v>0</v>
      </c>
      <c r="J13" s="898">
        <f t="shared" si="0"/>
        <v>0</v>
      </c>
    </row>
    <row r="14" spans="1:10" x14ac:dyDescent="0.25">
      <c r="A14" s="19"/>
      <c r="B14" s="89"/>
      <c r="C14" s="338"/>
      <c r="D14" s="339"/>
      <c r="E14" s="356"/>
      <c r="F14" s="339">
        <f t="shared" si="1"/>
        <v>0</v>
      </c>
      <c r="G14" s="909"/>
      <c r="H14" s="910"/>
      <c r="I14" s="615">
        <f t="shared" si="2"/>
        <v>0</v>
      </c>
      <c r="J14" s="898">
        <f t="shared" si="0"/>
        <v>0</v>
      </c>
    </row>
    <row r="15" spans="1:10" x14ac:dyDescent="0.25">
      <c r="B15" s="89"/>
      <c r="C15" s="338"/>
      <c r="D15" s="339"/>
      <c r="E15" s="356"/>
      <c r="F15" s="339">
        <f t="shared" si="1"/>
        <v>0</v>
      </c>
      <c r="G15" s="909"/>
      <c r="H15" s="910"/>
      <c r="I15" s="615">
        <f t="shared" si="2"/>
        <v>0</v>
      </c>
      <c r="J15" s="898">
        <f t="shared" si="0"/>
        <v>0</v>
      </c>
    </row>
    <row r="16" spans="1:10" x14ac:dyDescent="0.25">
      <c r="B16" s="89"/>
      <c r="C16" s="338"/>
      <c r="D16" s="339"/>
      <c r="E16" s="356"/>
      <c r="F16" s="339">
        <f t="shared" si="1"/>
        <v>0</v>
      </c>
      <c r="G16" s="70"/>
      <c r="H16" s="71"/>
      <c r="I16" s="132">
        <f t="shared" si="2"/>
        <v>0</v>
      </c>
      <c r="J16" s="60">
        <f t="shared" si="0"/>
        <v>0</v>
      </c>
    </row>
    <row r="17" spans="1:10" x14ac:dyDescent="0.25">
      <c r="B17" s="89"/>
      <c r="C17" s="338"/>
      <c r="D17" s="339"/>
      <c r="E17" s="356"/>
      <c r="F17" s="339">
        <f t="shared" si="1"/>
        <v>0</v>
      </c>
      <c r="G17" s="70"/>
      <c r="H17" s="71"/>
      <c r="I17" s="132">
        <f t="shared" si="2"/>
        <v>0</v>
      </c>
      <c r="J17" s="60">
        <f t="shared" si="0"/>
        <v>0</v>
      </c>
    </row>
    <row r="18" spans="1:10" x14ac:dyDescent="0.25">
      <c r="B18" s="89"/>
      <c r="C18" s="338"/>
      <c r="D18" s="339"/>
      <c r="E18" s="356"/>
      <c r="F18" s="339">
        <f t="shared" si="1"/>
        <v>0</v>
      </c>
      <c r="G18" s="70"/>
      <c r="H18" s="71"/>
      <c r="I18" s="132">
        <f t="shared" si="2"/>
        <v>0</v>
      </c>
      <c r="J18" s="60">
        <f t="shared" si="0"/>
        <v>0</v>
      </c>
    </row>
    <row r="19" spans="1:10" x14ac:dyDescent="0.25">
      <c r="B19" s="89"/>
      <c r="C19" s="338"/>
      <c r="D19" s="339"/>
      <c r="E19" s="356"/>
      <c r="F19" s="339">
        <f t="shared" si="1"/>
        <v>0</v>
      </c>
      <c r="G19" s="70"/>
      <c r="H19" s="71"/>
      <c r="I19" s="132">
        <f t="shared" si="2"/>
        <v>0</v>
      </c>
      <c r="J19" s="60">
        <f t="shared" si="0"/>
        <v>0</v>
      </c>
    </row>
    <row r="20" spans="1:10" x14ac:dyDescent="0.25">
      <c r="B20" s="89"/>
      <c r="C20" s="338"/>
      <c r="D20" s="339"/>
      <c r="E20" s="356"/>
      <c r="F20" s="339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8"/>
      <c r="D21" s="339"/>
      <c r="E21" s="356"/>
      <c r="F21" s="339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8"/>
      <c r="D22" s="339"/>
      <c r="E22" s="356"/>
      <c r="F22" s="339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8"/>
      <c r="D23" s="339"/>
      <c r="E23" s="356"/>
      <c r="F23" s="339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8"/>
      <c r="D24" s="339"/>
      <c r="E24" s="356"/>
      <c r="F24" s="339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8"/>
      <c r="D25" s="339"/>
      <c r="E25" s="356"/>
      <c r="F25" s="339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8"/>
      <c r="D26" s="339"/>
      <c r="E26" s="356"/>
      <c r="F26" s="339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8"/>
      <c r="D27" s="339"/>
      <c r="E27" s="356"/>
      <c r="F27" s="339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8"/>
      <c r="D28" s="339"/>
      <c r="E28" s="356"/>
      <c r="F28" s="339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41"/>
      <c r="D29" s="442"/>
      <c r="E29" s="443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3</v>
      </c>
      <c r="D30" s="105">
        <f>SUM(D9:D29)</f>
        <v>2818.62</v>
      </c>
      <c r="E30" s="75"/>
      <c r="F30" s="105">
        <f>SUM(F9:F29)</f>
        <v>2818.62</v>
      </c>
    </row>
    <row r="31" spans="1:10" ht="15.75" thickBot="1" x14ac:dyDescent="0.3">
      <c r="A31" s="47"/>
    </row>
    <row r="32" spans="1:10" x14ac:dyDescent="0.25">
      <c r="B32" s="5"/>
      <c r="D32" s="1048" t="s">
        <v>21</v>
      </c>
      <c r="E32" s="1049"/>
      <c r="F32" s="141">
        <f>E5-F30+E6+E7</f>
        <v>0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E16" sqref="E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054" t="s">
        <v>284</v>
      </c>
      <c r="B1" s="1054"/>
      <c r="C1" s="1054"/>
      <c r="D1" s="1054"/>
      <c r="E1" s="1054"/>
      <c r="F1" s="1054"/>
      <c r="G1" s="105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044" t="s">
        <v>100</v>
      </c>
      <c r="B5" s="1067" t="s">
        <v>101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1044"/>
      <c r="B6" s="1067"/>
      <c r="C6" s="66"/>
      <c r="D6" s="134"/>
      <c r="E6" s="105"/>
      <c r="F6" s="73"/>
      <c r="G6" s="88">
        <f>F27</f>
        <v>394.85999999999996</v>
      </c>
      <c r="H6" s="7">
        <f>E6-G6+E5+E7+E4</f>
        <v>624.56999999999994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74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8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224</v>
      </c>
      <c r="H9" s="71">
        <v>61</v>
      </c>
      <c r="I9" s="132">
        <f>E5+E6+E7-F9+E4</f>
        <v>814.18999999999994</v>
      </c>
    </row>
    <row r="10" spans="1:9" x14ac:dyDescent="0.25">
      <c r="B10" s="428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225</v>
      </c>
      <c r="H10" s="71">
        <v>61</v>
      </c>
      <c r="I10" s="132">
        <f>I9-F10</f>
        <v>786.68</v>
      </c>
    </row>
    <row r="11" spans="1:9" x14ac:dyDescent="0.25">
      <c r="B11" s="428">
        <f>B10-C11</f>
        <v>24</v>
      </c>
      <c r="C11" s="73">
        <v>1</v>
      </c>
      <c r="D11" s="124">
        <v>29.71</v>
      </c>
      <c r="E11" s="291">
        <v>44795</v>
      </c>
      <c r="F11" s="479">
        <f t="shared" si="0"/>
        <v>29.71</v>
      </c>
      <c r="G11" s="480" t="s">
        <v>253</v>
      </c>
      <c r="H11" s="388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28">
        <f t="shared" ref="B12:B14" si="2">B11-C12</f>
        <v>23</v>
      </c>
      <c r="C12" s="73">
        <v>1</v>
      </c>
      <c r="D12" s="694">
        <v>34.119999999999997</v>
      </c>
      <c r="E12" s="697">
        <v>44807</v>
      </c>
      <c r="F12" s="698">
        <f t="shared" si="0"/>
        <v>34.119999999999997</v>
      </c>
      <c r="G12" s="696" t="s">
        <v>550</v>
      </c>
      <c r="H12" s="388">
        <v>61</v>
      </c>
      <c r="I12" s="132">
        <f t="shared" si="1"/>
        <v>722.84999999999991</v>
      </c>
    </row>
    <row r="13" spans="1:9" x14ac:dyDescent="0.25">
      <c r="B13" s="428">
        <f t="shared" si="2"/>
        <v>22</v>
      </c>
      <c r="C13" s="73">
        <v>1</v>
      </c>
      <c r="D13" s="694">
        <v>32.950000000000003</v>
      </c>
      <c r="E13" s="697">
        <v>44818</v>
      </c>
      <c r="F13" s="698">
        <f t="shared" si="0"/>
        <v>32.950000000000003</v>
      </c>
      <c r="G13" s="696" t="s">
        <v>635</v>
      </c>
      <c r="H13" s="388">
        <v>62</v>
      </c>
      <c r="I13" s="132">
        <f t="shared" si="1"/>
        <v>689.89999999999986</v>
      </c>
    </row>
    <row r="14" spans="1:9" x14ac:dyDescent="0.25">
      <c r="A14" s="19"/>
      <c r="B14" s="428">
        <f t="shared" si="2"/>
        <v>21</v>
      </c>
      <c r="C14" s="73">
        <v>1</v>
      </c>
      <c r="D14" s="694">
        <v>32.700000000000003</v>
      </c>
      <c r="E14" s="697">
        <v>44819</v>
      </c>
      <c r="F14" s="698">
        <f t="shared" si="0"/>
        <v>32.700000000000003</v>
      </c>
      <c r="G14" s="696" t="s">
        <v>638</v>
      </c>
      <c r="H14" s="388">
        <v>61</v>
      </c>
      <c r="I14" s="132">
        <f t="shared" si="1"/>
        <v>657.19999999999982</v>
      </c>
    </row>
    <row r="15" spans="1:9" x14ac:dyDescent="0.25">
      <c r="B15" s="428">
        <f>B14-C15</f>
        <v>20</v>
      </c>
      <c r="C15" s="73">
        <v>1</v>
      </c>
      <c r="D15" s="694">
        <v>32.630000000000003</v>
      </c>
      <c r="E15" s="697">
        <v>44819</v>
      </c>
      <c r="F15" s="698">
        <f t="shared" si="0"/>
        <v>32.630000000000003</v>
      </c>
      <c r="G15" s="696" t="s">
        <v>644</v>
      </c>
      <c r="H15" s="388">
        <v>61</v>
      </c>
      <c r="I15" s="132">
        <f t="shared" si="1"/>
        <v>624.56999999999982</v>
      </c>
    </row>
    <row r="16" spans="1:9" x14ac:dyDescent="0.25">
      <c r="B16" s="428">
        <f t="shared" ref="B16:B26" si="3">B15-C16</f>
        <v>20</v>
      </c>
      <c r="C16" s="73"/>
      <c r="D16" s="694">
        <v>0</v>
      </c>
      <c r="E16" s="697"/>
      <c r="F16" s="698">
        <f t="shared" si="0"/>
        <v>0</v>
      </c>
      <c r="G16" s="696"/>
      <c r="H16" s="388"/>
      <c r="I16" s="132">
        <f t="shared" si="1"/>
        <v>624.56999999999982</v>
      </c>
    </row>
    <row r="17" spans="1:9" x14ac:dyDescent="0.25">
      <c r="B17" s="428">
        <f t="shared" si="3"/>
        <v>20</v>
      </c>
      <c r="C17" s="73"/>
      <c r="D17" s="694">
        <v>0</v>
      </c>
      <c r="E17" s="697"/>
      <c r="F17" s="698">
        <f t="shared" si="0"/>
        <v>0</v>
      </c>
      <c r="G17" s="696"/>
      <c r="H17" s="388"/>
      <c r="I17" s="132">
        <f t="shared" si="1"/>
        <v>624.56999999999982</v>
      </c>
    </row>
    <row r="18" spans="1:9" x14ac:dyDescent="0.25">
      <c r="B18" s="428">
        <f t="shared" si="3"/>
        <v>20</v>
      </c>
      <c r="C18" s="73"/>
      <c r="D18" s="694">
        <v>0</v>
      </c>
      <c r="E18" s="697"/>
      <c r="F18" s="698">
        <f t="shared" si="0"/>
        <v>0</v>
      </c>
      <c r="G18" s="696"/>
      <c r="H18" s="388"/>
      <c r="I18" s="132">
        <f t="shared" si="1"/>
        <v>624.56999999999982</v>
      </c>
    </row>
    <row r="19" spans="1:9" x14ac:dyDescent="0.25">
      <c r="B19" s="428">
        <f t="shared" si="3"/>
        <v>20</v>
      </c>
      <c r="C19" s="73"/>
      <c r="D19" s="694">
        <v>0</v>
      </c>
      <c r="E19" s="697"/>
      <c r="F19" s="698">
        <f t="shared" si="0"/>
        <v>0</v>
      </c>
      <c r="G19" s="696"/>
      <c r="H19" s="388"/>
      <c r="I19" s="132">
        <f t="shared" si="1"/>
        <v>624.56999999999982</v>
      </c>
    </row>
    <row r="20" spans="1:9" x14ac:dyDescent="0.25">
      <c r="B20" s="428">
        <f t="shared" si="3"/>
        <v>20</v>
      </c>
      <c r="C20" s="73"/>
      <c r="D20" s="694">
        <v>0</v>
      </c>
      <c r="E20" s="697"/>
      <c r="F20" s="698">
        <f t="shared" si="0"/>
        <v>0</v>
      </c>
      <c r="G20" s="696"/>
      <c r="H20" s="388"/>
      <c r="I20" s="132">
        <f t="shared" si="1"/>
        <v>624.56999999999982</v>
      </c>
    </row>
    <row r="21" spans="1:9" x14ac:dyDescent="0.25">
      <c r="B21" s="428">
        <f t="shared" si="3"/>
        <v>20</v>
      </c>
      <c r="C21" s="73"/>
      <c r="D21" s="694">
        <v>0</v>
      </c>
      <c r="E21" s="697"/>
      <c r="F21" s="698">
        <f t="shared" si="0"/>
        <v>0</v>
      </c>
      <c r="G21" s="696"/>
      <c r="H21" s="388"/>
      <c r="I21" s="132">
        <f t="shared" si="1"/>
        <v>624.56999999999982</v>
      </c>
    </row>
    <row r="22" spans="1:9" x14ac:dyDescent="0.25">
      <c r="B22" s="428">
        <f t="shared" si="3"/>
        <v>20</v>
      </c>
      <c r="C22" s="73"/>
      <c r="D22" s="694">
        <v>0</v>
      </c>
      <c r="E22" s="697"/>
      <c r="F22" s="698">
        <f t="shared" si="0"/>
        <v>0</v>
      </c>
      <c r="G22" s="696"/>
      <c r="H22" s="388"/>
      <c r="I22" s="132">
        <f t="shared" si="1"/>
        <v>624.56999999999982</v>
      </c>
    </row>
    <row r="23" spans="1:9" x14ac:dyDescent="0.25">
      <c r="B23" s="428">
        <f t="shared" si="3"/>
        <v>20</v>
      </c>
      <c r="C23" s="15"/>
      <c r="D23" s="694">
        <v>0</v>
      </c>
      <c r="E23" s="697"/>
      <c r="F23" s="698">
        <f t="shared" si="0"/>
        <v>0</v>
      </c>
      <c r="G23" s="696"/>
      <c r="H23" s="388"/>
      <c r="I23" s="132">
        <f t="shared" si="1"/>
        <v>624.56999999999982</v>
      </c>
    </row>
    <row r="24" spans="1:9" x14ac:dyDescent="0.25">
      <c r="B24" s="428">
        <f t="shared" si="3"/>
        <v>20</v>
      </c>
      <c r="C24" s="15"/>
      <c r="D24" s="694">
        <v>0</v>
      </c>
      <c r="E24" s="697"/>
      <c r="F24" s="698">
        <f t="shared" si="0"/>
        <v>0</v>
      </c>
      <c r="G24" s="696"/>
      <c r="H24" s="388"/>
      <c r="I24" s="132">
        <f t="shared" si="1"/>
        <v>624.56999999999982</v>
      </c>
    </row>
    <row r="25" spans="1:9" x14ac:dyDescent="0.25">
      <c r="B25" s="428">
        <f t="shared" si="3"/>
        <v>20</v>
      </c>
      <c r="C25" s="15"/>
      <c r="D25" s="694">
        <v>0</v>
      </c>
      <c r="E25" s="697"/>
      <c r="F25" s="698">
        <f t="shared" si="0"/>
        <v>0</v>
      </c>
      <c r="G25" s="696"/>
      <c r="H25" s="388"/>
      <c r="I25" s="132">
        <f t="shared" si="1"/>
        <v>624.56999999999982</v>
      </c>
    </row>
    <row r="26" spans="1:9" ht="15.75" thickBot="1" x14ac:dyDescent="0.3">
      <c r="A26" s="121"/>
      <c r="B26" s="428">
        <f t="shared" si="3"/>
        <v>20</v>
      </c>
      <c r="C26" s="37"/>
      <c r="D26" s="124">
        <v>0</v>
      </c>
      <c r="E26" s="733"/>
      <c r="F26" s="479">
        <f t="shared" si="0"/>
        <v>0</v>
      </c>
      <c r="G26" s="734"/>
      <c r="H26" s="699"/>
      <c r="I26" s="132">
        <f t="shared" si="1"/>
        <v>624.56999999999982</v>
      </c>
    </row>
    <row r="27" spans="1:9" ht="15.75" thickTop="1" x14ac:dyDescent="0.25">
      <c r="A27" s="47">
        <f>SUM(A26:A26)</f>
        <v>0</v>
      </c>
      <c r="C27" s="73">
        <f>SUM(C9:C26)</f>
        <v>13</v>
      </c>
      <c r="D27" s="105">
        <f>SUM(D9:D26)</f>
        <v>394.85999999999996</v>
      </c>
      <c r="E27" s="75"/>
      <c r="F27" s="105">
        <f>SUM(F9:F26)</f>
        <v>394.85999999999996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48" t="s">
        <v>21</v>
      </c>
      <c r="E29" s="1049"/>
      <c r="F29" s="141">
        <f>E5+E6-F27+E7+E4</f>
        <v>624.56999999999994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58"/>
      <c r="B1" s="1058"/>
      <c r="C1" s="1058"/>
      <c r="D1" s="1058"/>
      <c r="E1" s="1058"/>
      <c r="F1" s="1058"/>
      <c r="G1" s="105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90"/>
    </row>
    <row r="6" spans="1:8" ht="15.75" customHeight="1" thickTop="1" x14ac:dyDescent="0.25">
      <c r="A6" s="1052"/>
      <c r="B6" s="1077" t="s">
        <v>71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1052"/>
      <c r="B7" s="1078"/>
      <c r="C7" s="373"/>
      <c r="D7" s="118"/>
      <c r="E7" s="363"/>
      <c r="F7" s="73"/>
      <c r="G7" s="5">
        <f>D28</f>
        <v>320</v>
      </c>
      <c r="H7" s="522">
        <f>E7-G7</f>
        <v>-320</v>
      </c>
    </row>
    <row r="8" spans="1:8" ht="16.5" customHeight="1" thickBot="1" x14ac:dyDescent="0.3">
      <c r="A8" s="575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78"/>
      <c r="F10" s="479">
        <f>D10</f>
        <v>0</v>
      </c>
      <c r="G10" s="480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31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31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700"/>
      <c r="F16" s="105">
        <f t="shared" si="1"/>
        <v>20</v>
      </c>
      <c r="G16" s="696"/>
      <c r="H16" s="388"/>
    </row>
    <row r="17" spans="1:8" x14ac:dyDescent="0.25">
      <c r="B17" s="364">
        <f t="shared" si="0"/>
        <v>0</v>
      </c>
      <c r="C17" s="15"/>
      <c r="D17" s="124">
        <v>20</v>
      </c>
      <c r="E17" s="700"/>
      <c r="F17" s="105">
        <f t="shared" si="1"/>
        <v>20</v>
      </c>
      <c r="G17" s="696"/>
      <c r="H17" s="388"/>
    </row>
    <row r="18" spans="1:8" x14ac:dyDescent="0.25">
      <c r="B18" s="364">
        <f t="shared" si="0"/>
        <v>0</v>
      </c>
      <c r="C18" s="15"/>
      <c r="D18" s="124">
        <v>20</v>
      </c>
      <c r="E18" s="700"/>
      <c r="F18" s="105">
        <f t="shared" si="1"/>
        <v>20</v>
      </c>
      <c r="G18" s="696"/>
      <c r="H18" s="388"/>
    </row>
    <row r="19" spans="1:8" x14ac:dyDescent="0.25">
      <c r="B19" s="364">
        <f t="shared" si="0"/>
        <v>0</v>
      </c>
      <c r="C19" s="15"/>
      <c r="D19" s="124">
        <v>20</v>
      </c>
      <c r="E19" s="700"/>
      <c r="F19" s="105">
        <f t="shared" si="1"/>
        <v>20</v>
      </c>
      <c r="G19" s="696"/>
      <c r="H19" s="388"/>
    </row>
    <row r="20" spans="1:8" x14ac:dyDescent="0.25">
      <c r="B20" s="364">
        <f t="shared" si="0"/>
        <v>0</v>
      </c>
      <c r="C20" s="15"/>
      <c r="D20" s="124">
        <v>20</v>
      </c>
      <c r="E20" s="700"/>
      <c r="F20" s="105">
        <f t="shared" si="1"/>
        <v>20</v>
      </c>
      <c r="G20" s="696"/>
      <c r="H20" s="388"/>
    </row>
    <row r="21" spans="1:8" x14ac:dyDescent="0.25">
      <c r="B21" s="364">
        <f t="shared" si="0"/>
        <v>0</v>
      </c>
      <c r="C21" s="15"/>
      <c r="D21" s="124">
        <v>20</v>
      </c>
      <c r="E21" s="700"/>
      <c r="F21" s="105">
        <f t="shared" si="1"/>
        <v>20</v>
      </c>
      <c r="G21" s="696"/>
      <c r="H21" s="388"/>
    </row>
    <row r="22" spans="1:8" x14ac:dyDescent="0.25">
      <c r="B22" s="364">
        <f t="shared" si="0"/>
        <v>0</v>
      </c>
      <c r="C22" s="15"/>
      <c r="D22" s="124">
        <v>20</v>
      </c>
      <c r="E22" s="700"/>
      <c r="F22" s="105">
        <f t="shared" si="1"/>
        <v>20</v>
      </c>
      <c r="G22" s="696"/>
      <c r="H22" s="388"/>
    </row>
    <row r="23" spans="1:8" x14ac:dyDescent="0.25">
      <c r="B23" s="364">
        <f t="shared" si="0"/>
        <v>0</v>
      </c>
      <c r="C23" s="15"/>
      <c r="D23" s="124">
        <v>20</v>
      </c>
      <c r="E23" s="700"/>
      <c r="F23" s="105">
        <f t="shared" si="1"/>
        <v>20</v>
      </c>
      <c r="G23" s="696"/>
      <c r="H23" s="388"/>
    </row>
    <row r="24" spans="1:8" x14ac:dyDescent="0.25">
      <c r="B24" s="364">
        <f t="shared" si="0"/>
        <v>0</v>
      </c>
      <c r="C24" s="15"/>
      <c r="D24" s="124">
        <v>20</v>
      </c>
      <c r="E24" s="700"/>
      <c r="F24" s="105">
        <f t="shared" si="1"/>
        <v>20</v>
      </c>
      <c r="G24" s="696"/>
      <c r="H24" s="388"/>
    </row>
    <row r="25" spans="1:8" x14ac:dyDescent="0.25">
      <c r="B25" s="364">
        <f t="shared" si="0"/>
        <v>0</v>
      </c>
      <c r="C25" s="15"/>
      <c r="D25" s="124">
        <v>20</v>
      </c>
      <c r="E25" s="700"/>
      <c r="F25" s="105">
        <f t="shared" si="1"/>
        <v>20</v>
      </c>
      <c r="G25" s="696"/>
      <c r="H25" s="388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048" t="s">
        <v>21</v>
      </c>
      <c r="E30" s="1049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K1" zoomScaleNormal="100" workbookViewId="0">
      <pane ySplit="8" topLeftCell="A9" activePane="bottomLeft" state="frozen"/>
      <selection pane="bottomLeft" activeCell="P6" sqref="P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079" t="s">
        <v>285</v>
      </c>
      <c r="B1" s="1079"/>
      <c r="C1" s="1079"/>
      <c r="D1" s="1079"/>
      <c r="E1" s="1079"/>
      <c r="F1" s="1079"/>
      <c r="G1" s="1079"/>
      <c r="H1" s="1079"/>
      <c r="I1" s="1079"/>
      <c r="J1" s="1079"/>
      <c r="K1" s="493">
        <v>1</v>
      </c>
      <c r="N1" s="1079" t="s">
        <v>285</v>
      </c>
      <c r="O1" s="1079"/>
      <c r="P1" s="1079"/>
      <c r="Q1" s="1079"/>
      <c r="R1" s="1079"/>
      <c r="S1" s="1079"/>
      <c r="T1" s="1079"/>
      <c r="U1" s="1079"/>
      <c r="V1" s="1079"/>
      <c r="W1" s="1079"/>
      <c r="X1" s="493">
        <v>1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243"/>
      <c r="C4" s="426"/>
      <c r="D4" s="135"/>
      <c r="E4" s="132"/>
      <c r="F4" s="73"/>
      <c r="G4" s="387"/>
      <c r="O4" s="243"/>
      <c r="P4" s="426"/>
      <c r="Q4" s="135"/>
      <c r="R4" s="132"/>
      <c r="S4" s="73"/>
      <c r="T4" s="387"/>
    </row>
    <row r="5" spans="1:24" ht="15.75" customHeight="1" thickTop="1" x14ac:dyDescent="0.25">
      <c r="A5" s="1080" t="s">
        <v>100</v>
      </c>
      <c r="B5" s="73" t="s">
        <v>48</v>
      </c>
      <c r="C5" s="573">
        <v>69.5</v>
      </c>
      <c r="D5" s="135">
        <v>44802</v>
      </c>
      <c r="E5" s="132">
        <v>18509.599999999999</v>
      </c>
      <c r="F5" s="73">
        <v>680</v>
      </c>
      <c r="G5" s="47">
        <f>F115</f>
        <v>18509.599999999999</v>
      </c>
      <c r="H5" s="154">
        <f>E5+E6-G5+E4</f>
        <v>0</v>
      </c>
      <c r="N5" s="1080" t="s">
        <v>100</v>
      </c>
      <c r="O5" s="73" t="s">
        <v>48</v>
      </c>
      <c r="P5" s="573"/>
      <c r="Q5" s="135"/>
      <c r="R5" s="132">
        <v>81.66</v>
      </c>
      <c r="S5" s="73">
        <v>3</v>
      </c>
      <c r="T5" s="47">
        <f>S115</f>
        <v>1959.84</v>
      </c>
      <c r="U5" s="154">
        <f>R5+R6-T5+R4</f>
        <v>16631.419999999998</v>
      </c>
    </row>
    <row r="6" spans="1:24" ht="15.75" customHeight="1" x14ac:dyDescent="0.25">
      <c r="A6" s="1047"/>
      <c r="B6" s="752" t="s">
        <v>296</v>
      </c>
      <c r="C6" s="156"/>
      <c r="D6" s="135"/>
      <c r="E6" s="78"/>
      <c r="F6" s="62"/>
      <c r="N6" s="1047"/>
      <c r="O6" s="752" t="s">
        <v>296</v>
      </c>
      <c r="P6" s="156">
        <v>77.5</v>
      </c>
      <c r="Q6" s="135">
        <v>44824</v>
      </c>
      <c r="R6" s="78">
        <v>18509.599999999999</v>
      </c>
      <c r="S6" s="62">
        <v>680</v>
      </c>
    </row>
    <row r="7" spans="1:24" ht="15.75" customHeight="1" thickBot="1" x14ac:dyDescent="0.3">
      <c r="A7" s="579"/>
      <c r="B7" s="158"/>
      <c r="C7" s="535"/>
      <c r="D7" s="536"/>
      <c r="E7" s="537"/>
      <c r="F7" s="495"/>
      <c r="N7" s="579"/>
      <c r="O7" s="158"/>
      <c r="P7" s="535"/>
      <c r="Q7" s="536"/>
      <c r="R7" s="537"/>
      <c r="S7" s="495"/>
    </row>
    <row r="8" spans="1:24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6" t="s">
        <v>59</v>
      </c>
      <c r="I8" s="263" t="s">
        <v>60</v>
      </c>
      <c r="J8" s="263" t="s">
        <v>61</v>
      </c>
      <c r="K8" s="220" t="s">
        <v>62</v>
      </c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446" t="s">
        <v>59</v>
      </c>
      <c r="V8" s="908" t="s">
        <v>60</v>
      </c>
      <c r="W8" s="908" t="s">
        <v>61</v>
      </c>
      <c r="X8" s="220" t="s">
        <v>62</v>
      </c>
    </row>
    <row r="9" spans="1:24" ht="15.75" thickTop="1" x14ac:dyDescent="0.25">
      <c r="A9" s="55" t="s">
        <v>32</v>
      </c>
      <c r="B9">
        <v>27.22</v>
      </c>
      <c r="C9" s="15">
        <v>5</v>
      </c>
      <c r="D9" s="298">
        <f t="shared" ref="D9:D13" si="0">C9*B9</f>
        <v>136.1</v>
      </c>
      <c r="E9" s="246">
        <v>44802</v>
      </c>
      <c r="F9" s="69">
        <f t="shared" ref="F9:F13" si="1">D9</f>
        <v>136.1</v>
      </c>
      <c r="G9" s="70" t="s">
        <v>509</v>
      </c>
      <c r="H9" s="71">
        <v>75</v>
      </c>
      <c r="I9" s="447">
        <f>E5-F9+E4+E6+E7</f>
        <v>18373.5</v>
      </c>
      <c r="J9" s="448">
        <f>F5-C9+F4+F6+F7</f>
        <v>675</v>
      </c>
      <c r="K9" s="449">
        <f>F9*H9</f>
        <v>10207.5</v>
      </c>
      <c r="N9" s="55" t="s">
        <v>32</v>
      </c>
      <c r="O9">
        <v>27.22</v>
      </c>
      <c r="P9" s="15">
        <v>24</v>
      </c>
      <c r="Q9" s="298">
        <f>P9*O9</f>
        <v>653.28</v>
      </c>
      <c r="R9" s="947">
        <v>44834</v>
      </c>
      <c r="S9" s="69">
        <f>Q9</f>
        <v>653.28</v>
      </c>
      <c r="T9" s="70" t="s">
        <v>745</v>
      </c>
      <c r="U9" s="71">
        <v>84</v>
      </c>
      <c r="V9" s="447">
        <f>R5-S9+R4+R6+R7</f>
        <v>17937.98</v>
      </c>
      <c r="W9" s="448">
        <f>S5-P9+S4+S6+S7</f>
        <v>659</v>
      </c>
      <c r="X9" s="449">
        <f>S9*U9</f>
        <v>54875.519999999997</v>
      </c>
    </row>
    <row r="10" spans="1:24" x14ac:dyDescent="0.25">
      <c r="A10" s="580"/>
      <c r="B10">
        <v>27.22</v>
      </c>
      <c r="C10" s="15">
        <v>36</v>
      </c>
      <c r="D10" s="298">
        <f t="shared" si="0"/>
        <v>979.92</v>
      </c>
      <c r="E10" s="246">
        <v>44802</v>
      </c>
      <c r="F10" s="69">
        <f t="shared" si="1"/>
        <v>979.92</v>
      </c>
      <c r="G10" s="70" t="s">
        <v>509</v>
      </c>
      <c r="H10" s="71">
        <v>75</v>
      </c>
      <c r="I10" s="450">
        <f>I9-F10</f>
        <v>17393.580000000002</v>
      </c>
      <c r="J10" s="451">
        <f>J9-C10</f>
        <v>639</v>
      </c>
      <c r="K10" s="452">
        <f t="shared" ref="K10:K73" si="2">F10*H10</f>
        <v>73494</v>
      </c>
      <c r="N10" s="580"/>
      <c r="O10">
        <v>27.22</v>
      </c>
      <c r="P10" s="15">
        <v>48</v>
      </c>
      <c r="Q10" s="946">
        <f>P10*O10</f>
        <v>1306.56</v>
      </c>
      <c r="R10" s="247">
        <v>44835</v>
      </c>
      <c r="S10" s="69">
        <f>Q10</f>
        <v>1306.56</v>
      </c>
      <c r="T10" s="70" t="s">
        <v>750</v>
      </c>
      <c r="U10" s="71">
        <v>84</v>
      </c>
      <c r="V10" s="450">
        <f>V9-S10</f>
        <v>16631.419999999998</v>
      </c>
      <c r="W10" s="451">
        <f>W9-P10</f>
        <v>611</v>
      </c>
      <c r="X10" s="452">
        <f t="shared" ref="X10:X73" si="3">S10*U10</f>
        <v>109751.03999999999</v>
      </c>
    </row>
    <row r="11" spans="1:24" x14ac:dyDescent="0.25">
      <c r="A11" s="581"/>
      <c r="B11">
        <v>27.22</v>
      </c>
      <c r="C11" s="15">
        <v>2</v>
      </c>
      <c r="D11" s="298">
        <f t="shared" si="0"/>
        <v>54.44</v>
      </c>
      <c r="E11" s="246">
        <v>44802</v>
      </c>
      <c r="F11" s="69">
        <f t="shared" si="1"/>
        <v>54.44</v>
      </c>
      <c r="G11" s="70" t="s">
        <v>510</v>
      </c>
      <c r="H11" s="71">
        <v>75</v>
      </c>
      <c r="I11" s="450">
        <f t="shared" ref="I11:I74" si="4">I10-F11</f>
        <v>17339.140000000003</v>
      </c>
      <c r="J11" s="451">
        <f t="shared" ref="J11" si="5">J10-C11</f>
        <v>637</v>
      </c>
      <c r="K11" s="452">
        <f t="shared" si="2"/>
        <v>4083</v>
      </c>
      <c r="N11" s="581"/>
      <c r="O11">
        <v>27.22</v>
      </c>
      <c r="P11" s="15"/>
      <c r="Q11" s="298">
        <f t="shared" ref="Q11:Q72" si="6">P11*O11</f>
        <v>0</v>
      </c>
      <c r="R11" s="246"/>
      <c r="S11" s="69">
        <f t="shared" ref="S11:S72" si="7">Q11</f>
        <v>0</v>
      </c>
      <c r="T11" s="70"/>
      <c r="U11" s="71"/>
      <c r="V11" s="450">
        <f t="shared" ref="V11:V74" si="8">V10-S11</f>
        <v>16631.419999999998</v>
      </c>
      <c r="W11" s="451">
        <f t="shared" ref="W11" si="9">W10-P11</f>
        <v>611</v>
      </c>
      <c r="X11" s="452">
        <f t="shared" si="3"/>
        <v>0</v>
      </c>
    </row>
    <row r="12" spans="1:24" x14ac:dyDescent="0.25">
      <c r="A12" s="55" t="s">
        <v>33</v>
      </c>
      <c r="B12">
        <v>27.22</v>
      </c>
      <c r="C12" s="15">
        <v>1</v>
      </c>
      <c r="D12" s="298">
        <f t="shared" si="0"/>
        <v>27.22</v>
      </c>
      <c r="E12" s="246">
        <v>44802</v>
      </c>
      <c r="F12" s="69">
        <f t="shared" si="1"/>
        <v>27.22</v>
      </c>
      <c r="G12" s="70" t="s">
        <v>511</v>
      </c>
      <c r="H12" s="71">
        <v>75</v>
      </c>
      <c r="I12" s="450">
        <f t="shared" si="4"/>
        <v>17311.920000000002</v>
      </c>
      <c r="J12" s="451">
        <f>J11-C12</f>
        <v>636</v>
      </c>
      <c r="K12" s="452">
        <f t="shared" si="2"/>
        <v>2041.5</v>
      </c>
      <c r="N12" s="55" t="s">
        <v>33</v>
      </c>
      <c r="O12">
        <v>27.22</v>
      </c>
      <c r="P12" s="15"/>
      <c r="Q12" s="298">
        <f t="shared" si="6"/>
        <v>0</v>
      </c>
      <c r="R12" s="246"/>
      <c r="S12" s="69">
        <f t="shared" si="7"/>
        <v>0</v>
      </c>
      <c r="T12" s="70"/>
      <c r="U12" s="71"/>
      <c r="V12" s="450">
        <f t="shared" si="8"/>
        <v>16631.419999999998</v>
      </c>
      <c r="W12" s="451">
        <f>W11-P12</f>
        <v>611</v>
      </c>
      <c r="X12" s="452">
        <f t="shared" si="3"/>
        <v>0</v>
      </c>
    </row>
    <row r="13" spans="1:24" ht="15" customHeight="1" x14ac:dyDescent="0.25">
      <c r="A13" s="425"/>
      <c r="B13">
        <v>27.22</v>
      </c>
      <c r="C13" s="15">
        <v>4</v>
      </c>
      <c r="D13" s="298">
        <f t="shared" si="0"/>
        <v>108.88</v>
      </c>
      <c r="E13" s="246">
        <v>44803</v>
      </c>
      <c r="F13" s="69">
        <f t="shared" si="1"/>
        <v>108.88</v>
      </c>
      <c r="G13" s="70" t="s">
        <v>516</v>
      </c>
      <c r="H13" s="71">
        <v>75</v>
      </c>
      <c r="I13" s="450">
        <f t="shared" si="4"/>
        <v>17203.04</v>
      </c>
      <c r="J13" s="451">
        <f t="shared" ref="J13:J76" si="10">J12-C13</f>
        <v>632</v>
      </c>
      <c r="K13" s="452">
        <f t="shared" si="2"/>
        <v>8166</v>
      </c>
      <c r="N13" s="425"/>
      <c r="O13">
        <v>27.22</v>
      </c>
      <c r="P13" s="15"/>
      <c r="Q13" s="298">
        <f t="shared" si="6"/>
        <v>0</v>
      </c>
      <c r="R13" s="246"/>
      <c r="S13" s="69">
        <f t="shared" si="7"/>
        <v>0</v>
      </c>
      <c r="T13" s="70"/>
      <c r="U13" s="71"/>
      <c r="V13" s="450">
        <f t="shared" si="8"/>
        <v>16631.419999999998</v>
      </c>
      <c r="W13" s="451">
        <f t="shared" ref="W13:W76" si="11">W12-P13</f>
        <v>611</v>
      </c>
      <c r="X13" s="452">
        <f t="shared" si="3"/>
        <v>0</v>
      </c>
    </row>
    <row r="14" spans="1:24" x14ac:dyDescent="0.25">
      <c r="A14" s="425"/>
      <c r="B14">
        <v>27.22</v>
      </c>
      <c r="C14" s="15">
        <v>32</v>
      </c>
      <c r="D14" s="298">
        <f t="shared" ref="D14:D73" si="12">C14*B14</f>
        <v>871.04</v>
      </c>
      <c r="E14" s="246">
        <v>44804</v>
      </c>
      <c r="F14" s="69">
        <f t="shared" ref="F14:F72" si="13">D14</f>
        <v>871.04</v>
      </c>
      <c r="G14" s="70" t="s">
        <v>518</v>
      </c>
      <c r="H14" s="71">
        <v>75</v>
      </c>
      <c r="I14" s="450">
        <f t="shared" si="4"/>
        <v>16332</v>
      </c>
      <c r="J14" s="451">
        <f t="shared" si="10"/>
        <v>600</v>
      </c>
      <c r="K14" s="452">
        <f t="shared" si="2"/>
        <v>65328</v>
      </c>
      <c r="N14" s="425"/>
      <c r="O14">
        <v>27.22</v>
      </c>
      <c r="P14" s="15"/>
      <c r="Q14" s="298">
        <f t="shared" si="6"/>
        <v>0</v>
      </c>
      <c r="R14" s="246"/>
      <c r="S14" s="69">
        <f t="shared" si="7"/>
        <v>0</v>
      </c>
      <c r="T14" s="70"/>
      <c r="U14" s="71"/>
      <c r="V14" s="450">
        <f t="shared" si="8"/>
        <v>16631.419999999998</v>
      </c>
      <c r="W14" s="451">
        <f t="shared" si="11"/>
        <v>611</v>
      </c>
      <c r="X14" s="452">
        <f t="shared" si="3"/>
        <v>0</v>
      </c>
    </row>
    <row r="15" spans="1:24" x14ac:dyDescent="0.25">
      <c r="A15" s="425"/>
      <c r="B15">
        <v>27.22</v>
      </c>
      <c r="C15" s="15">
        <v>3</v>
      </c>
      <c r="D15" s="298">
        <f t="shared" si="12"/>
        <v>81.66</v>
      </c>
      <c r="E15" s="246">
        <v>44804</v>
      </c>
      <c r="F15" s="69">
        <f t="shared" si="13"/>
        <v>81.66</v>
      </c>
      <c r="G15" s="70" t="s">
        <v>521</v>
      </c>
      <c r="H15" s="71">
        <v>75</v>
      </c>
      <c r="I15" s="450">
        <f t="shared" si="4"/>
        <v>16250.34</v>
      </c>
      <c r="J15" s="451">
        <f t="shared" si="10"/>
        <v>597</v>
      </c>
      <c r="K15" s="452">
        <f t="shared" si="2"/>
        <v>6124.5</v>
      </c>
      <c r="N15" s="425"/>
      <c r="O15">
        <v>27.22</v>
      </c>
      <c r="P15" s="15"/>
      <c r="Q15" s="298">
        <f t="shared" si="6"/>
        <v>0</v>
      </c>
      <c r="R15" s="246"/>
      <c r="S15" s="69">
        <f t="shared" si="7"/>
        <v>0</v>
      </c>
      <c r="T15" s="70"/>
      <c r="U15" s="71"/>
      <c r="V15" s="450">
        <f t="shared" si="8"/>
        <v>16631.419999999998</v>
      </c>
      <c r="W15" s="451">
        <f t="shared" si="11"/>
        <v>611</v>
      </c>
      <c r="X15" s="452">
        <f t="shared" si="3"/>
        <v>0</v>
      </c>
    </row>
    <row r="16" spans="1:24" x14ac:dyDescent="0.25">
      <c r="A16" s="425"/>
      <c r="B16">
        <v>27.22</v>
      </c>
      <c r="C16" s="15">
        <v>1</v>
      </c>
      <c r="D16" s="298">
        <f t="shared" si="12"/>
        <v>27.22</v>
      </c>
      <c r="E16" s="246">
        <v>44805</v>
      </c>
      <c r="F16" s="69">
        <f t="shared" si="13"/>
        <v>27.22</v>
      </c>
      <c r="G16" s="70" t="s">
        <v>531</v>
      </c>
      <c r="H16" s="71">
        <v>77</v>
      </c>
      <c r="I16" s="450">
        <f t="shared" si="4"/>
        <v>16223.12</v>
      </c>
      <c r="J16" s="451">
        <f t="shared" si="10"/>
        <v>596</v>
      </c>
      <c r="K16" s="452">
        <f t="shared" si="2"/>
        <v>2095.94</v>
      </c>
      <c r="N16" s="425"/>
      <c r="O16">
        <v>27.22</v>
      </c>
      <c r="P16" s="15"/>
      <c r="Q16" s="298">
        <f t="shared" si="6"/>
        <v>0</v>
      </c>
      <c r="R16" s="246"/>
      <c r="S16" s="69">
        <f t="shared" si="7"/>
        <v>0</v>
      </c>
      <c r="T16" s="70"/>
      <c r="U16" s="71"/>
      <c r="V16" s="450">
        <f t="shared" si="8"/>
        <v>16631.419999999998</v>
      </c>
      <c r="W16" s="451">
        <f t="shared" si="11"/>
        <v>611</v>
      </c>
      <c r="X16" s="452">
        <f t="shared" si="3"/>
        <v>0</v>
      </c>
    </row>
    <row r="17" spans="1:24" x14ac:dyDescent="0.25">
      <c r="A17" s="425"/>
      <c r="B17">
        <v>27.22</v>
      </c>
      <c r="C17" s="15">
        <v>1</v>
      </c>
      <c r="D17" s="298">
        <f t="shared" si="12"/>
        <v>27.22</v>
      </c>
      <c r="E17" s="246">
        <v>44806</v>
      </c>
      <c r="F17" s="69">
        <f t="shared" si="13"/>
        <v>27.22</v>
      </c>
      <c r="G17" s="70" t="s">
        <v>537</v>
      </c>
      <c r="H17" s="71">
        <v>79</v>
      </c>
      <c r="I17" s="450">
        <f t="shared" si="4"/>
        <v>16195.900000000001</v>
      </c>
      <c r="J17" s="451">
        <f t="shared" si="10"/>
        <v>595</v>
      </c>
      <c r="K17" s="452">
        <f t="shared" si="2"/>
        <v>2150.38</v>
      </c>
      <c r="N17" s="425"/>
      <c r="O17">
        <v>27.22</v>
      </c>
      <c r="P17" s="15"/>
      <c r="Q17" s="298">
        <f t="shared" si="6"/>
        <v>0</v>
      </c>
      <c r="R17" s="246"/>
      <c r="S17" s="69">
        <f t="shared" si="7"/>
        <v>0</v>
      </c>
      <c r="T17" s="70"/>
      <c r="U17" s="71"/>
      <c r="V17" s="450">
        <f t="shared" si="8"/>
        <v>16631.419999999998</v>
      </c>
      <c r="W17" s="451">
        <f t="shared" si="11"/>
        <v>611</v>
      </c>
      <c r="X17" s="452">
        <f t="shared" si="3"/>
        <v>0</v>
      </c>
    </row>
    <row r="18" spans="1:24" x14ac:dyDescent="0.25">
      <c r="B18">
        <v>27.22</v>
      </c>
      <c r="C18" s="15">
        <v>5</v>
      </c>
      <c r="D18" s="298">
        <f t="shared" si="12"/>
        <v>136.1</v>
      </c>
      <c r="E18" s="246">
        <v>44806</v>
      </c>
      <c r="F18" s="69">
        <f t="shared" si="13"/>
        <v>136.1</v>
      </c>
      <c r="G18" s="70" t="s">
        <v>538</v>
      </c>
      <c r="H18" s="71">
        <v>79</v>
      </c>
      <c r="I18" s="450">
        <f t="shared" si="4"/>
        <v>16059.800000000001</v>
      </c>
      <c r="J18" s="451">
        <f t="shared" si="10"/>
        <v>590</v>
      </c>
      <c r="K18" s="452">
        <f t="shared" si="2"/>
        <v>10751.9</v>
      </c>
      <c r="O18">
        <v>27.22</v>
      </c>
      <c r="P18" s="15"/>
      <c r="Q18" s="298">
        <f t="shared" si="6"/>
        <v>0</v>
      </c>
      <c r="R18" s="246"/>
      <c r="S18" s="69">
        <f t="shared" si="7"/>
        <v>0</v>
      </c>
      <c r="T18" s="70"/>
      <c r="U18" s="71"/>
      <c r="V18" s="450">
        <f t="shared" si="8"/>
        <v>16631.419999999998</v>
      </c>
      <c r="W18" s="451">
        <f t="shared" si="11"/>
        <v>611</v>
      </c>
      <c r="X18" s="452">
        <f t="shared" si="3"/>
        <v>0</v>
      </c>
    </row>
    <row r="19" spans="1:24" x14ac:dyDescent="0.25">
      <c r="B19">
        <v>27.22</v>
      </c>
      <c r="C19" s="15">
        <v>2</v>
      </c>
      <c r="D19" s="298">
        <f t="shared" si="12"/>
        <v>54.44</v>
      </c>
      <c r="E19" s="246">
        <v>44806</v>
      </c>
      <c r="F19" s="69">
        <f t="shared" si="13"/>
        <v>54.44</v>
      </c>
      <c r="G19" s="70" t="s">
        <v>543</v>
      </c>
      <c r="H19" s="71">
        <v>79</v>
      </c>
      <c r="I19" s="450">
        <f t="shared" si="4"/>
        <v>16005.36</v>
      </c>
      <c r="J19" s="451">
        <f t="shared" si="10"/>
        <v>588</v>
      </c>
      <c r="K19" s="452">
        <f t="shared" si="2"/>
        <v>4300.76</v>
      </c>
      <c r="O19">
        <v>27.22</v>
      </c>
      <c r="P19" s="15"/>
      <c r="Q19" s="298">
        <f t="shared" si="6"/>
        <v>0</v>
      </c>
      <c r="R19" s="246"/>
      <c r="S19" s="69">
        <f t="shared" si="7"/>
        <v>0</v>
      </c>
      <c r="T19" s="70"/>
      <c r="U19" s="71"/>
      <c r="V19" s="450">
        <f t="shared" si="8"/>
        <v>16631.419999999998</v>
      </c>
      <c r="W19" s="451">
        <f t="shared" si="11"/>
        <v>611</v>
      </c>
      <c r="X19" s="452">
        <f t="shared" si="3"/>
        <v>0</v>
      </c>
    </row>
    <row r="20" spans="1:24" x14ac:dyDescent="0.25">
      <c r="B20">
        <v>27.22</v>
      </c>
      <c r="C20" s="15">
        <v>1</v>
      </c>
      <c r="D20" s="298">
        <f t="shared" si="12"/>
        <v>27.22</v>
      </c>
      <c r="E20" s="246">
        <v>44806</v>
      </c>
      <c r="F20" s="69">
        <f t="shared" si="13"/>
        <v>27.22</v>
      </c>
      <c r="G20" s="70" t="s">
        <v>544</v>
      </c>
      <c r="H20" s="71">
        <v>79</v>
      </c>
      <c r="I20" s="450">
        <f t="shared" si="4"/>
        <v>15978.140000000001</v>
      </c>
      <c r="J20" s="451">
        <f t="shared" si="10"/>
        <v>587</v>
      </c>
      <c r="K20" s="452">
        <f t="shared" si="2"/>
        <v>2150.38</v>
      </c>
      <c r="O20">
        <v>27.22</v>
      </c>
      <c r="P20" s="15"/>
      <c r="Q20" s="298">
        <f t="shared" si="6"/>
        <v>0</v>
      </c>
      <c r="R20" s="246"/>
      <c r="S20" s="69">
        <f t="shared" si="7"/>
        <v>0</v>
      </c>
      <c r="T20" s="70"/>
      <c r="U20" s="71"/>
      <c r="V20" s="450">
        <f t="shared" si="8"/>
        <v>16631.419999999998</v>
      </c>
      <c r="W20" s="451">
        <f t="shared" si="11"/>
        <v>611</v>
      </c>
      <c r="X20" s="452">
        <f t="shared" si="3"/>
        <v>0</v>
      </c>
    </row>
    <row r="21" spans="1:24" x14ac:dyDescent="0.25">
      <c r="B21">
        <v>27.22</v>
      </c>
      <c r="C21" s="15">
        <v>8</v>
      </c>
      <c r="D21" s="298">
        <f t="shared" si="12"/>
        <v>217.76</v>
      </c>
      <c r="E21" s="246">
        <v>44806</v>
      </c>
      <c r="F21" s="69">
        <f t="shared" si="13"/>
        <v>217.76</v>
      </c>
      <c r="G21" s="70" t="s">
        <v>545</v>
      </c>
      <c r="H21" s="71">
        <v>79</v>
      </c>
      <c r="I21" s="450">
        <f t="shared" si="4"/>
        <v>15760.380000000001</v>
      </c>
      <c r="J21" s="451">
        <f t="shared" si="10"/>
        <v>579</v>
      </c>
      <c r="K21" s="452">
        <f t="shared" si="2"/>
        <v>17203.04</v>
      </c>
      <c r="O21">
        <v>27.22</v>
      </c>
      <c r="P21" s="15"/>
      <c r="Q21" s="298">
        <f t="shared" si="6"/>
        <v>0</v>
      </c>
      <c r="R21" s="246"/>
      <c r="S21" s="69">
        <f t="shared" si="7"/>
        <v>0</v>
      </c>
      <c r="T21" s="70"/>
      <c r="U21" s="71"/>
      <c r="V21" s="450">
        <f t="shared" si="8"/>
        <v>16631.419999999998</v>
      </c>
      <c r="W21" s="451">
        <f t="shared" si="11"/>
        <v>611</v>
      </c>
      <c r="X21" s="452">
        <f t="shared" si="3"/>
        <v>0</v>
      </c>
    </row>
    <row r="22" spans="1:24" x14ac:dyDescent="0.25">
      <c r="A22" t="s">
        <v>22</v>
      </c>
      <c r="B22">
        <v>27.22</v>
      </c>
      <c r="C22" s="15">
        <v>28</v>
      </c>
      <c r="D22" s="298">
        <f t="shared" si="12"/>
        <v>762.16</v>
      </c>
      <c r="E22" s="246">
        <v>44806</v>
      </c>
      <c r="F22" s="69">
        <f t="shared" si="13"/>
        <v>762.16</v>
      </c>
      <c r="G22" s="70" t="s">
        <v>546</v>
      </c>
      <c r="H22" s="71">
        <v>79</v>
      </c>
      <c r="I22" s="450">
        <f t="shared" si="4"/>
        <v>14998.220000000001</v>
      </c>
      <c r="J22" s="451">
        <f t="shared" si="10"/>
        <v>551</v>
      </c>
      <c r="K22" s="452">
        <f t="shared" si="2"/>
        <v>60210.64</v>
      </c>
      <c r="N22" t="s">
        <v>22</v>
      </c>
      <c r="O22">
        <v>27.22</v>
      </c>
      <c r="P22" s="15"/>
      <c r="Q22" s="298">
        <f t="shared" si="6"/>
        <v>0</v>
      </c>
      <c r="R22" s="246"/>
      <c r="S22" s="69">
        <f t="shared" si="7"/>
        <v>0</v>
      </c>
      <c r="T22" s="70"/>
      <c r="U22" s="71"/>
      <c r="V22" s="450">
        <f t="shared" si="8"/>
        <v>16631.419999999998</v>
      </c>
      <c r="W22" s="451">
        <f t="shared" si="11"/>
        <v>611</v>
      </c>
      <c r="X22" s="452">
        <f t="shared" si="3"/>
        <v>0</v>
      </c>
    </row>
    <row r="23" spans="1:24" x14ac:dyDescent="0.25">
      <c r="B23">
        <v>27.22</v>
      </c>
      <c r="C23" s="15">
        <v>1</v>
      </c>
      <c r="D23" s="298">
        <f t="shared" si="12"/>
        <v>27.22</v>
      </c>
      <c r="E23" s="246">
        <v>44807</v>
      </c>
      <c r="F23" s="69">
        <f t="shared" si="13"/>
        <v>27.22</v>
      </c>
      <c r="G23" s="70" t="s">
        <v>552</v>
      </c>
      <c r="H23" s="71">
        <v>79</v>
      </c>
      <c r="I23" s="450">
        <f t="shared" si="4"/>
        <v>14971.000000000002</v>
      </c>
      <c r="J23" s="451">
        <f t="shared" si="10"/>
        <v>550</v>
      </c>
      <c r="K23" s="452">
        <f t="shared" si="2"/>
        <v>2150.38</v>
      </c>
      <c r="O23">
        <v>27.22</v>
      </c>
      <c r="P23" s="15"/>
      <c r="Q23" s="298">
        <f t="shared" si="6"/>
        <v>0</v>
      </c>
      <c r="R23" s="246"/>
      <c r="S23" s="69">
        <f t="shared" si="7"/>
        <v>0</v>
      </c>
      <c r="T23" s="70"/>
      <c r="U23" s="71"/>
      <c r="V23" s="450">
        <f t="shared" si="8"/>
        <v>16631.419999999998</v>
      </c>
      <c r="W23" s="451">
        <f t="shared" si="11"/>
        <v>611</v>
      </c>
      <c r="X23" s="452">
        <f t="shared" si="3"/>
        <v>0</v>
      </c>
    </row>
    <row r="24" spans="1:24" x14ac:dyDescent="0.25">
      <c r="B24">
        <v>27.22</v>
      </c>
      <c r="C24" s="15">
        <v>3</v>
      </c>
      <c r="D24" s="298">
        <f t="shared" si="12"/>
        <v>81.66</v>
      </c>
      <c r="E24" s="246">
        <v>44807</v>
      </c>
      <c r="F24" s="69">
        <f t="shared" si="13"/>
        <v>81.66</v>
      </c>
      <c r="G24" s="70" t="s">
        <v>549</v>
      </c>
      <c r="H24" s="71">
        <v>79</v>
      </c>
      <c r="I24" s="450">
        <f t="shared" si="4"/>
        <v>14889.340000000002</v>
      </c>
      <c r="J24" s="451">
        <f t="shared" si="10"/>
        <v>547</v>
      </c>
      <c r="K24" s="452">
        <f t="shared" si="2"/>
        <v>6451.1399999999994</v>
      </c>
      <c r="O24">
        <v>27.22</v>
      </c>
      <c r="P24" s="15"/>
      <c r="Q24" s="298">
        <f t="shared" si="6"/>
        <v>0</v>
      </c>
      <c r="R24" s="246"/>
      <c r="S24" s="69">
        <f t="shared" si="7"/>
        <v>0</v>
      </c>
      <c r="T24" s="70"/>
      <c r="U24" s="71"/>
      <c r="V24" s="450">
        <f t="shared" si="8"/>
        <v>16631.419999999998</v>
      </c>
      <c r="W24" s="451">
        <f t="shared" si="11"/>
        <v>611</v>
      </c>
      <c r="X24" s="452">
        <f t="shared" si="3"/>
        <v>0</v>
      </c>
    </row>
    <row r="25" spans="1:24" x14ac:dyDescent="0.25">
      <c r="B25">
        <v>27.22</v>
      </c>
      <c r="C25" s="15">
        <v>36</v>
      </c>
      <c r="D25" s="298">
        <f t="shared" si="12"/>
        <v>979.92</v>
      </c>
      <c r="E25" s="246">
        <v>44807</v>
      </c>
      <c r="F25" s="69">
        <f t="shared" si="13"/>
        <v>979.92</v>
      </c>
      <c r="G25" s="70" t="s">
        <v>555</v>
      </c>
      <c r="H25" s="71">
        <v>79</v>
      </c>
      <c r="I25" s="450">
        <f t="shared" si="4"/>
        <v>13909.420000000002</v>
      </c>
      <c r="J25" s="451">
        <f t="shared" si="10"/>
        <v>511</v>
      </c>
      <c r="K25" s="452">
        <f t="shared" si="2"/>
        <v>77413.679999999993</v>
      </c>
      <c r="O25">
        <v>27.22</v>
      </c>
      <c r="P25" s="15"/>
      <c r="Q25" s="298">
        <f t="shared" si="6"/>
        <v>0</v>
      </c>
      <c r="R25" s="246"/>
      <c r="S25" s="69">
        <f t="shared" si="7"/>
        <v>0</v>
      </c>
      <c r="T25" s="70"/>
      <c r="U25" s="71"/>
      <c r="V25" s="450">
        <f t="shared" si="8"/>
        <v>16631.419999999998</v>
      </c>
      <c r="W25" s="451">
        <f t="shared" si="11"/>
        <v>611</v>
      </c>
      <c r="X25" s="452">
        <f t="shared" si="3"/>
        <v>0</v>
      </c>
    </row>
    <row r="26" spans="1:24" x14ac:dyDescent="0.25">
      <c r="B26">
        <v>27.22</v>
      </c>
      <c r="C26" s="15">
        <v>1</v>
      </c>
      <c r="D26" s="298">
        <f t="shared" si="12"/>
        <v>27.22</v>
      </c>
      <c r="E26" s="246">
        <v>44807</v>
      </c>
      <c r="F26" s="69">
        <f t="shared" si="13"/>
        <v>27.22</v>
      </c>
      <c r="G26" s="70" t="s">
        <v>562</v>
      </c>
      <c r="H26" s="71">
        <v>79</v>
      </c>
      <c r="I26" s="450">
        <f t="shared" si="4"/>
        <v>13882.200000000003</v>
      </c>
      <c r="J26" s="451">
        <f t="shared" si="10"/>
        <v>510</v>
      </c>
      <c r="K26" s="452">
        <f t="shared" si="2"/>
        <v>2150.38</v>
      </c>
      <c r="O26">
        <v>27.22</v>
      </c>
      <c r="P26" s="15"/>
      <c r="Q26" s="298">
        <f t="shared" si="6"/>
        <v>0</v>
      </c>
      <c r="R26" s="246"/>
      <c r="S26" s="69">
        <f t="shared" si="7"/>
        <v>0</v>
      </c>
      <c r="T26" s="70"/>
      <c r="U26" s="71"/>
      <c r="V26" s="450">
        <f t="shared" si="8"/>
        <v>16631.419999999998</v>
      </c>
      <c r="W26" s="451">
        <f t="shared" si="11"/>
        <v>611</v>
      </c>
      <c r="X26" s="452">
        <f t="shared" si="3"/>
        <v>0</v>
      </c>
    </row>
    <row r="27" spans="1:24" x14ac:dyDescent="0.25">
      <c r="B27">
        <v>27.22</v>
      </c>
      <c r="C27" s="15">
        <v>36</v>
      </c>
      <c r="D27" s="298">
        <f t="shared" si="12"/>
        <v>979.92</v>
      </c>
      <c r="E27" s="246">
        <v>44807</v>
      </c>
      <c r="F27" s="69">
        <f t="shared" si="13"/>
        <v>979.92</v>
      </c>
      <c r="G27" s="70" t="s">
        <v>562</v>
      </c>
      <c r="H27" s="71">
        <v>79</v>
      </c>
      <c r="I27" s="450">
        <f t="shared" si="4"/>
        <v>12902.280000000002</v>
      </c>
      <c r="J27" s="451">
        <f t="shared" si="10"/>
        <v>474</v>
      </c>
      <c r="K27" s="452">
        <f t="shared" si="2"/>
        <v>77413.679999999993</v>
      </c>
      <c r="O27">
        <v>27.22</v>
      </c>
      <c r="P27" s="15"/>
      <c r="Q27" s="298">
        <f t="shared" si="6"/>
        <v>0</v>
      </c>
      <c r="R27" s="246"/>
      <c r="S27" s="69">
        <f t="shared" si="7"/>
        <v>0</v>
      </c>
      <c r="T27" s="70"/>
      <c r="U27" s="71"/>
      <c r="V27" s="450">
        <f t="shared" si="8"/>
        <v>16631.419999999998</v>
      </c>
      <c r="W27" s="451">
        <f t="shared" si="11"/>
        <v>611</v>
      </c>
      <c r="X27" s="452">
        <f t="shared" si="3"/>
        <v>0</v>
      </c>
    </row>
    <row r="28" spans="1:24" x14ac:dyDescent="0.25">
      <c r="B28">
        <v>27.22</v>
      </c>
      <c r="C28" s="15">
        <v>5</v>
      </c>
      <c r="D28" s="298">
        <f t="shared" si="12"/>
        <v>136.1</v>
      </c>
      <c r="E28" s="246">
        <v>44810</v>
      </c>
      <c r="F28" s="69">
        <f t="shared" si="13"/>
        <v>136.1</v>
      </c>
      <c r="G28" s="70" t="s">
        <v>571</v>
      </c>
      <c r="H28" s="71">
        <v>72</v>
      </c>
      <c r="I28" s="450">
        <f t="shared" si="4"/>
        <v>12766.180000000002</v>
      </c>
      <c r="J28" s="451">
        <f t="shared" si="10"/>
        <v>469</v>
      </c>
      <c r="K28" s="452">
        <f t="shared" si="2"/>
        <v>9799.1999999999989</v>
      </c>
      <c r="O28">
        <v>27.22</v>
      </c>
      <c r="P28" s="15"/>
      <c r="Q28" s="298">
        <f t="shared" si="6"/>
        <v>0</v>
      </c>
      <c r="R28" s="246"/>
      <c r="S28" s="69">
        <f t="shared" si="7"/>
        <v>0</v>
      </c>
      <c r="T28" s="70"/>
      <c r="U28" s="71"/>
      <c r="V28" s="450">
        <f t="shared" si="8"/>
        <v>16631.419999999998</v>
      </c>
      <c r="W28" s="451">
        <f t="shared" si="11"/>
        <v>611</v>
      </c>
      <c r="X28" s="452">
        <f t="shared" si="3"/>
        <v>0</v>
      </c>
    </row>
    <row r="29" spans="1:24" x14ac:dyDescent="0.25">
      <c r="B29">
        <v>27.22</v>
      </c>
      <c r="C29" s="15">
        <v>10</v>
      </c>
      <c r="D29" s="298">
        <f t="shared" si="12"/>
        <v>272.2</v>
      </c>
      <c r="E29" s="246">
        <v>44810</v>
      </c>
      <c r="F29" s="69">
        <f t="shared" si="13"/>
        <v>272.2</v>
      </c>
      <c r="G29" s="70" t="s">
        <v>572</v>
      </c>
      <c r="H29" s="71">
        <v>72</v>
      </c>
      <c r="I29" s="450">
        <f t="shared" si="4"/>
        <v>12493.980000000001</v>
      </c>
      <c r="J29" s="451">
        <f t="shared" si="10"/>
        <v>459</v>
      </c>
      <c r="K29" s="452">
        <f t="shared" si="2"/>
        <v>19598.399999999998</v>
      </c>
      <c r="O29">
        <v>27.22</v>
      </c>
      <c r="P29" s="15"/>
      <c r="Q29" s="298">
        <f t="shared" si="6"/>
        <v>0</v>
      </c>
      <c r="R29" s="246"/>
      <c r="S29" s="69">
        <f t="shared" si="7"/>
        <v>0</v>
      </c>
      <c r="T29" s="70"/>
      <c r="U29" s="71"/>
      <c r="V29" s="450">
        <f t="shared" si="8"/>
        <v>16631.419999999998</v>
      </c>
      <c r="W29" s="451">
        <f t="shared" si="11"/>
        <v>611</v>
      </c>
      <c r="X29" s="452">
        <f t="shared" si="3"/>
        <v>0</v>
      </c>
    </row>
    <row r="30" spans="1:24" x14ac:dyDescent="0.25">
      <c r="B30">
        <v>27.22</v>
      </c>
      <c r="C30" s="15">
        <v>36</v>
      </c>
      <c r="D30" s="298">
        <f t="shared" si="12"/>
        <v>979.92</v>
      </c>
      <c r="E30" s="246">
        <v>44811</v>
      </c>
      <c r="F30" s="69">
        <f t="shared" si="13"/>
        <v>979.92</v>
      </c>
      <c r="G30" s="70" t="s">
        <v>576</v>
      </c>
      <c r="H30" s="71">
        <v>79</v>
      </c>
      <c r="I30" s="450">
        <f t="shared" si="4"/>
        <v>11514.060000000001</v>
      </c>
      <c r="J30" s="451">
        <f t="shared" si="10"/>
        <v>423</v>
      </c>
      <c r="K30" s="452">
        <f t="shared" si="2"/>
        <v>77413.679999999993</v>
      </c>
      <c r="O30">
        <v>27.22</v>
      </c>
      <c r="P30" s="15"/>
      <c r="Q30" s="298">
        <f t="shared" si="6"/>
        <v>0</v>
      </c>
      <c r="R30" s="246"/>
      <c r="S30" s="69">
        <f t="shared" si="7"/>
        <v>0</v>
      </c>
      <c r="T30" s="70"/>
      <c r="U30" s="71"/>
      <c r="V30" s="450">
        <f t="shared" si="8"/>
        <v>16631.419999999998</v>
      </c>
      <c r="W30" s="451">
        <f t="shared" si="11"/>
        <v>611</v>
      </c>
      <c r="X30" s="452">
        <f t="shared" si="3"/>
        <v>0</v>
      </c>
    </row>
    <row r="31" spans="1:24" x14ac:dyDescent="0.25">
      <c r="B31">
        <v>27.22</v>
      </c>
      <c r="C31" s="15">
        <v>1</v>
      </c>
      <c r="D31" s="298">
        <f t="shared" si="12"/>
        <v>27.22</v>
      </c>
      <c r="E31" s="246">
        <v>44812</v>
      </c>
      <c r="F31" s="69">
        <f t="shared" si="13"/>
        <v>27.22</v>
      </c>
      <c r="G31" s="70" t="s">
        <v>561</v>
      </c>
      <c r="H31" s="71">
        <v>79</v>
      </c>
      <c r="I31" s="450">
        <f t="shared" si="4"/>
        <v>11486.840000000002</v>
      </c>
      <c r="J31" s="451">
        <f t="shared" si="10"/>
        <v>422</v>
      </c>
      <c r="K31" s="452">
        <f t="shared" si="2"/>
        <v>2150.38</v>
      </c>
      <c r="O31">
        <v>27.22</v>
      </c>
      <c r="P31" s="15"/>
      <c r="Q31" s="298">
        <f t="shared" si="6"/>
        <v>0</v>
      </c>
      <c r="R31" s="246"/>
      <c r="S31" s="69">
        <f t="shared" si="7"/>
        <v>0</v>
      </c>
      <c r="T31" s="70"/>
      <c r="U31" s="71"/>
      <c r="V31" s="450">
        <f t="shared" si="8"/>
        <v>16631.419999999998</v>
      </c>
      <c r="W31" s="451">
        <f t="shared" si="11"/>
        <v>611</v>
      </c>
      <c r="X31" s="452">
        <f t="shared" si="3"/>
        <v>0</v>
      </c>
    </row>
    <row r="32" spans="1:24" x14ac:dyDescent="0.25">
      <c r="B32">
        <v>27.22</v>
      </c>
      <c r="C32" s="15">
        <v>48</v>
      </c>
      <c r="D32" s="298">
        <f t="shared" si="12"/>
        <v>1306.56</v>
      </c>
      <c r="E32" s="246">
        <v>44813</v>
      </c>
      <c r="F32" s="69">
        <f t="shared" si="13"/>
        <v>1306.56</v>
      </c>
      <c r="G32" s="70" t="s">
        <v>586</v>
      </c>
      <c r="H32" s="71">
        <v>79</v>
      </c>
      <c r="I32" s="450">
        <f t="shared" si="4"/>
        <v>10180.280000000002</v>
      </c>
      <c r="J32" s="451">
        <f t="shared" si="10"/>
        <v>374</v>
      </c>
      <c r="K32" s="452">
        <f t="shared" si="2"/>
        <v>103218.23999999999</v>
      </c>
      <c r="O32">
        <v>27.22</v>
      </c>
      <c r="P32" s="15"/>
      <c r="Q32" s="298">
        <f t="shared" si="6"/>
        <v>0</v>
      </c>
      <c r="R32" s="246"/>
      <c r="S32" s="69">
        <f t="shared" si="7"/>
        <v>0</v>
      </c>
      <c r="T32" s="70"/>
      <c r="U32" s="71"/>
      <c r="V32" s="450">
        <f t="shared" si="8"/>
        <v>16631.419999999998</v>
      </c>
      <c r="W32" s="451">
        <f t="shared" si="11"/>
        <v>611</v>
      </c>
      <c r="X32" s="452">
        <f t="shared" si="3"/>
        <v>0</v>
      </c>
    </row>
    <row r="33" spans="2:24" x14ac:dyDescent="0.25">
      <c r="B33">
        <v>27.22</v>
      </c>
      <c r="C33" s="15">
        <v>10</v>
      </c>
      <c r="D33" s="298">
        <f t="shared" si="12"/>
        <v>272.2</v>
      </c>
      <c r="E33" s="246">
        <v>44814</v>
      </c>
      <c r="F33" s="69">
        <f t="shared" si="13"/>
        <v>272.2</v>
      </c>
      <c r="G33" s="70" t="s">
        <v>594</v>
      </c>
      <c r="H33" s="71">
        <v>79</v>
      </c>
      <c r="I33" s="450">
        <f t="shared" si="4"/>
        <v>9908.0800000000017</v>
      </c>
      <c r="J33" s="451">
        <f t="shared" si="10"/>
        <v>364</v>
      </c>
      <c r="K33" s="452">
        <f t="shared" si="2"/>
        <v>21503.8</v>
      </c>
      <c r="O33">
        <v>27.22</v>
      </c>
      <c r="P33" s="15"/>
      <c r="Q33" s="298">
        <f t="shared" si="6"/>
        <v>0</v>
      </c>
      <c r="R33" s="246"/>
      <c r="S33" s="69">
        <f t="shared" si="7"/>
        <v>0</v>
      </c>
      <c r="T33" s="70"/>
      <c r="U33" s="71"/>
      <c r="V33" s="450">
        <f t="shared" si="8"/>
        <v>16631.419999999998</v>
      </c>
      <c r="W33" s="451">
        <f t="shared" si="11"/>
        <v>611</v>
      </c>
      <c r="X33" s="452">
        <f t="shared" si="3"/>
        <v>0</v>
      </c>
    </row>
    <row r="34" spans="2:24" x14ac:dyDescent="0.25">
      <c r="B34">
        <v>27.22</v>
      </c>
      <c r="C34" s="15">
        <v>2</v>
      </c>
      <c r="D34" s="298">
        <f t="shared" si="12"/>
        <v>54.44</v>
      </c>
      <c r="E34" s="246">
        <v>44814</v>
      </c>
      <c r="F34" s="69">
        <f t="shared" si="13"/>
        <v>54.44</v>
      </c>
      <c r="G34" s="70" t="s">
        <v>596</v>
      </c>
      <c r="H34" s="71">
        <v>79</v>
      </c>
      <c r="I34" s="450">
        <f t="shared" si="4"/>
        <v>9853.6400000000012</v>
      </c>
      <c r="J34" s="451">
        <f t="shared" si="10"/>
        <v>362</v>
      </c>
      <c r="K34" s="452">
        <f t="shared" si="2"/>
        <v>4300.76</v>
      </c>
      <c r="O34">
        <v>27.22</v>
      </c>
      <c r="P34" s="15"/>
      <c r="Q34" s="298">
        <f t="shared" si="6"/>
        <v>0</v>
      </c>
      <c r="R34" s="246"/>
      <c r="S34" s="69">
        <f t="shared" si="7"/>
        <v>0</v>
      </c>
      <c r="T34" s="70"/>
      <c r="U34" s="71"/>
      <c r="V34" s="450">
        <f t="shared" si="8"/>
        <v>16631.419999999998</v>
      </c>
      <c r="W34" s="451">
        <f t="shared" si="11"/>
        <v>611</v>
      </c>
      <c r="X34" s="452">
        <f t="shared" si="3"/>
        <v>0</v>
      </c>
    </row>
    <row r="35" spans="2:24" x14ac:dyDescent="0.25">
      <c r="B35">
        <v>27.22</v>
      </c>
      <c r="C35" s="15">
        <v>36</v>
      </c>
      <c r="D35" s="298">
        <f t="shared" si="12"/>
        <v>979.92</v>
      </c>
      <c r="E35" s="246">
        <v>44814</v>
      </c>
      <c r="F35" s="69">
        <f t="shared" si="13"/>
        <v>979.92</v>
      </c>
      <c r="G35" s="70" t="s">
        <v>597</v>
      </c>
      <c r="H35" s="71">
        <v>79</v>
      </c>
      <c r="I35" s="450">
        <f t="shared" si="4"/>
        <v>8873.7200000000012</v>
      </c>
      <c r="J35" s="451">
        <f t="shared" si="10"/>
        <v>326</v>
      </c>
      <c r="K35" s="452">
        <f t="shared" si="2"/>
        <v>77413.679999999993</v>
      </c>
      <c r="O35">
        <v>27.22</v>
      </c>
      <c r="P35" s="15"/>
      <c r="Q35" s="298">
        <f t="shared" si="6"/>
        <v>0</v>
      </c>
      <c r="R35" s="246"/>
      <c r="S35" s="69">
        <f t="shared" si="7"/>
        <v>0</v>
      </c>
      <c r="T35" s="70"/>
      <c r="U35" s="71"/>
      <c r="V35" s="450">
        <f t="shared" si="8"/>
        <v>16631.419999999998</v>
      </c>
      <c r="W35" s="451">
        <f t="shared" si="11"/>
        <v>611</v>
      </c>
      <c r="X35" s="452">
        <f t="shared" si="3"/>
        <v>0</v>
      </c>
    </row>
    <row r="36" spans="2:24" x14ac:dyDescent="0.25">
      <c r="B36">
        <v>27.22</v>
      </c>
      <c r="C36" s="15">
        <v>1</v>
      </c>
      <c r="D36" s="298">
        <f t="shared" si="12"/>
        <v>27.22</v>
      </c>
      <c r="E36" s="246">
        <v>44814</v>
      </c>
      <c r="F36" s="69">
        <f t="shared" si="13"/>
        <v>27.22</v>
      </c>
      <c r="G36" s="70" t="s">
        <v>598</v>
      </c>
      <c r="H36" s="71">
        <v>79</v>
      </c>
      <c r="I36" s="450">
        <f t="shared" si="4"/>
        <v>8846.5000000000018</v>
      </c>
      <c r="J36" s="451">
        <f t="shared" si="10"/>
        <v>325</v>
      </c>
      <c r="K36" s="452">
        <f t="shared" si="2"/>
        <v>2150.38</v>
      </c>
      <c r="O36">
        <v>27.22</v>
      </c>
      <c r="P36" s="15"/>
      <c r="Q36" s="298">
        <f t="shared" si="6"/>
        <v>0</v>
      </c>
      <c r="R36" s="246"/>
      <c r="S36" s="69">
        <f t="shared" si="7"/>
        <v>0</v>
      </c>
      <c r="T36" s="70"/>
      <c r="U36" s="71"/>
      <c r="V36" s="450">
        <f t="shared" si="8"/>
        <v>16631.419999999998</v>
      </c>
      <c r="W36" s="451">
        <f t="shared" si="11"/>
        <v>611</v>
      </c>
      <c r="X36" s="452">
        <f t="shared" si="3"/>
        <v>0</v>
      </c>
    </row>
    <row r="37" spans="2:24" x14ac:dyDescent="0.25">
      <c r="B37">
        <v>27.22</v>
      </c>
      <c r="C37" s="15">
        <v>24</v>
      </c>
      <c r="D37" s="69">
        <f t="shared" si="12"/>
        <v>653.28</v>
      </c>
      <c r="E37" s="247">
        <v>44814</v>
      </c>
      <c r="F37" s="69">
        <f t="shared" si="13"/>
        <v>653.28</v>
      </c>
      <c r="G37" s="70" t="s">
        <v>603</v>
      </c>
      <c r="H37" s="71">
        <v>79</v>
      </c>
      <c r="I37" s="450">
        <f t="shared" si="4"/>
        <v>8193.2200000000012</v>
      </c>
      <c r="J37" s="451">
        <f t="shared" si="10"/>
        <v>301</v>
      </c>
      <c r="K37" s="452">
        <f t="shared" si="2"/>
        <v>51609.119999999995</v>
      </c>
      <c r="O37">
        <v>27.22</v>
      </c>
      <c r="P37" s="15"/>
      <c r="Q37" s="69">
        <f t="shared" si="6"/>
        <v>0</v>
      </c>
      <c r="R37" s="247"/>
      <c r="S37" s="69">
        <f t="shared" si="7"/>
        <v>0</v>
      </c>
      <c r="T37" s="70"/>
      <c r="U37" s="71"/>
      <c r="V37" s="450">
        <f t="shared" si="8"/>
        <v>16631.419999999998</v>
      </c>
      <c r="W37" s="451">
        <f t="shared" si="11"/>
        <v>611</v>
      </c>
      <c r="X37" s="452">
        <f t="shared" si="3"/>
        <v>0</v>
      </c>
    </row>
    <row r="38" spans="2:24" x14ac:dyDescent="0.25">
      <c r="B38">
        <v>27.22</v>
      </c>
      <c r="C38" s="15">
        <v>3</v>
      </c>
      <c r="D38" s="69">
        <f t="shared" si="12"/>
        <v>81.66</v>
      </c>
      <c r="E38" s="247">
        <v>44816</v>
      </c>
      <c r="F38" s="69">
        <f t="shared" si="13"/>
        <v>81.66</v>
      </c>
      <c r="G38" s="70" t="s">
        <v>615</v>
      </c>
      <c r="H38" s="71">
        <v>72</v>
      </c>
      <c r="I38" s="450">
        <f t="shared" si="4"/>
        <v>8111.5600000000013</v>
      </c>
      <c r="J38" s="451">
        <f t="shared" si="10"/>
        <v>298</v>
      </c>
      <c r="K38" s="452">
        <f t="shared" si="2"/>
        <v>5879.5199999999995</v>
      </c>
      <c r="O38">
        <v>27.22</v>
      </c>
      <c r="P38" s="15"/>
      <c r="Q38" s="69">
        <f t="shared" si="6"/>
        <v>0</v>
      </c>
      <c r="R38" s="247"/>
      <c r="S38" s="69">
        <f t="shared" si="7"/>
        <v>0</v>
      </c>
      <c r="T38" s="70"/>
      <c r="U38" s="71"/>
      <c r="V38" s="450">
        <f t="shared" si="8"/>
        <v>16631.419999999998</v>
      </c>
      <c r="W38" s="451">
        <f t="shared" si="11"/>
        <v>611</v>
      </c>
      <c r="X38" s="452">
        <f t="shared" si="3"/>
        <v>0</v>
      </c>
    </row>
    <row r="39" spans="2:24" x14ac:dyDescent="0.25">
      <c r="B39">
        <v>27.22</v>
      </c>
      <c r="C39" s="15">
        <v>1</v>
      </c>
      <c r="D39" s="69">
        <f t="shared" si="12"/>
        <v>27.22</v>
      </c>
      <c r="E39" s="247">
        <v>44817</v>
      </c>
      <c r="F39" s="69">
        <f t="shared" si="13"/>
        <v>27.22</v>
      </c>
      <c r="G39" s="70" t="s">
        <v>619</v>
      </c>
      <c r="H39" s="71">
        <v>79</v>
      </c>
      <c r="I39" s="450">
        <f t="shared" si="4"/>
        <v>8084.3400000000011</v>
      </c>
      <c r="J39" s="451">
        <f t="shared" si="10"/>
        <v>297</v>
      </c>
      <c r="K39" s="452">
        <f t="shared" si="2"/>
        <v>2150.38</v>
      </c>
      <c r="O39">
        <v>27.22</v>
      </c>
      <c r="P39" s="15"/>
      <c r="Q39" s="69">
        <f t="shared" si="6"/>
        <v>0</v>
      </c>
      <c r="R39" s="247"/>
      <c r="S39" s="69">
        <f t="shared" si="7"/>
        <v>0</v>
      </c>
      <c r="T39" s="70"/>
      <c r="U39" s="71"/>
      <c r="V39" s="450">
        <f t="shared" si="8"/>
        <v>16631.419999999998</v>
      </c>
      <c r="W39" s="451">
        <f t="shared" si="11"/>
        <v>611</v>
      </c>
      <c r="X39" s="452">
        <f t="shared" si="3"/>
        <v>0</v>
      </c>
    </row>
    <row r="40" spans="2:24" x14ac:dyDescent="0.25">
      <c r="B40">
        <v>27.22</v>
      </c>
      <c r="C40" s="15">
        <v>5</v>
      </c>
      <c r="D40" s="69">
        <f t="shared" si="12"/>
        <v>136.1</v>
      </c>
      <c r="E40" s="247">
        <v>44817</v>
      </c>
      <c r="F40" s="69">
        <f t="shared" si="13"/>
        <v>136.1</v>
      </c>
      <c r="G40" s="70" t="s">
        <v>620</v>
      </c>
      <c r="H40" s="71">
        <v>72</v>
      </c>
      <c r="I40" s="450">
        <f t="shared" si="4"/>
        <v>7948.2400000000007</v>
      </c>
      <c r="J40" s="451">
        <f t="shared" si="10"/>
        <v>292</v>
      </c>
      <c r="K40" s="452">
        <f t="shared" si="2"/>
        <v>9799.1999999999989</v>
      </c>
      <c r="O40">
        <v>27.22</v>
      </c>
      <c r="P40" s="15"/>
      <c r="Q40" s="69">
        <f t="shared" si="6"/>
        <v>0</v>
      </c>
      <c r="R40" s="247"/>
      <c r="S40" s="69">
        <f t="shared" si="7"/>
        <v>0</v>
      </c>
      <c r="T40" s="70"/>
      <c r="U40" s="71"/>
      <c r="V40" s="450">
        <f t="shared" si="8"/>
        <v>16631.419999999998</v>
      </c>
      <c r="W40" s="451">
        <f t="shared" si="11"/>
        <v>611</v>
      </c>
      <c r="X40" s="452">
        <f t="shared" si="3"/>
        <v>0</v>
      </c>
    </row>
    <row r="41" spans="2:24" x14ac:dyDescent="0.25">
      <c r="B41">
        <v>27.22</v>
      </c>
      <c r="C41" s="15">
        <v>10</v>
      </c>
      <c r="D41" s="69">
        <f t="shared" si="12"/>
        <v>272.2</v>
      </c>
      <c r="E41" s="247">
        <v>44817</v>
      </c>
      <c r="F41" s="69">
        <f t="shared" si="13"/>
        <v>272.2</v>
      </c>
      <c r="G41" s="70" t="s">
        <v>627</v>
      </c>
      <c r="H41" s="71">
        <v>72</v>
      </c>
      <c r="I41" s="450">
        <f t="shared" si="4"/>
        <v>7676.0400000000009</v>
      </c>
      <c r="J41" s="451">
        <f t="shared" si="10"/>
        <v>282</v>
      </c>
      <c r="K41" s="452">
        <f t="shared" si="2"/>
        <v>19598.399999999998</v>
      </c>
      <c r="O41">
        <v>27.22</v>
      </c>
      <c r="P41" s="15"/>
      <c r="Q41" s="69">
        <f t="shared" si="6"/>
        <v>0</v>
      </c>
      <c r="R41" s="247"/>
      <c r="S41" s="69">
        <f t="shared" si="7"/>
        <v>0</v>
      </c>
      <c r="T41" s="70"/>
      <c r="U41" s="71"/>
      <c r="V41" s="450">
        <f t="shared" si="8"/>
        <v>16631.419999999998</v>
      </c>
      <c r="W41" s="451">
        <f t="shared" si="11"/>
        <v>611</v>
      </c>
      <c r="X41" s="452">
        <f t="shared" si="3"/>
        <v>0</v>
      </c>
    </row>
    <row r="42" spans="2:24" x14ac:dyDescent="0.25">
      <c r="B42">
        <v>27.22</v>
      </c>
      <c r="C42" s="15">
        <v>1</v>
      </c>
      <c r="D42" s="69">
        <f t="shared" si="12"/>
        <v>27.22</v>
      </c>
      <c r="E42" s="247">
        <v>44818</v>
      </c>
      <c r="F42" s="69">
        <f t="shared" si="13"/>
        <v>27.22</v>
      </c>
      <c r="G42" s="70" t="s">
        <v>630</v>
      </c>
      <c r="H42" s="71">
        <v>79</v>
      </c>
      <c r="I42" s="450">
        <f t="shared" si="4"/>
        <v>7648.8200000000006</v>
      </c>
      <c r="J42" s="451">
        <f t="shared" si="10"/>
        <v>281</v>
      </c>
      <c r="K42" s="452">
        <f t="shared" si="2"/>
        <v>2150.38</v>
      </c>
      <c r="O42">
        <v>27.22</v>
      </c>
      <c r="P42" s="15"/>
      <c r="Q42" s="69">
        <f t="shared" si="6"/>
        <v>0</v>
      </c>
      <c r="R42" s="247"/>
      <c r="S42" s="69">
        <f t="shared" si="7"/>
        <v>0</v>
      </c>
      <c r="T42" s="70"/>
      <c r="U42" s="71"/>
      <c r="V42" s="450">
        <f t="shared" si="8"/>
        <v>16631.419999999998</v>
      </c>
      <c r="W42" s="451">
        <f t="shared" si="11"/>
        <v>611</v>
      </c>
      <c r="X42" s="452">
        <f t="shared" si="3"/>
        <v>0</v>
      </c>
    </row>
    <row r="43" spans="2:24" x14ac:dyDescent="0.25">
      <c r="B43">
        <v>27.22</v>
      </c>
      <c r="C43" s="15">
        <v>36</v>
      </c>
      <c r="D43" s="69">
        <f t="shared" si="12"/>
        <v>979.92</v>
      </c>
      <c r="E43" s="247">
        <v>44818</v>
      </c>
      <c r="F43" s="69">
        <f t="shared" si="13"/>
        <v>979.92</v>
      </c>
      <c r="G43" s="70" t="s">
        <v>634</v>
      </c>
      <c r="H43" s="71">
        <v>79</v>
      </c>
      <c r="I43" s="450">
        <f t="shared" si="4"/>
        <v>6668.9000000000005</v>
      </c>
      <c r="J43" s="451">
        <f t="shared" si="10"/>
        <v>245</v>
      </c>
      <c r="K43" s="452">
        <f t="shared" si="2"/>
        <v>77413.679999999993</v>
      </c>
      <c r="O43">
        <v>27.22</v>
      </c>
      <c r="P43" s="15"/>
      <c r="Q43" s="69">
        <f t="shared" si="6"/>
        <v>0</v>
      </c>
      <c r="R43" s="247"/>
      <c r="S43" s="69">
        <f t="shared" si="7"/>
        <v>0</v>
      </c>
      <c r="T43" s="70"/>
      <c r="U43" s="71"/>
      <c r="V43" s="450">
        <f t="shared" si="8"/>
        <v>16631.419999999998</v>
      </c>
      <c r="W43" s="451">
        <f t="shared" si="11"/>
        <v>611</v>
      </c>
      <c r="X43" s="452">
        <f t="shared" si="3"/>
        <v>0</v>
      </c>
    </row>
    <row r="44" spans="2:24" x14ac:dyDescent="0.25">
      <c r="B44">
        <v>27.22</v>
      </c>
      <c r="C44" s="15">
        <v>5</v>
      </c>
      <c r="D44" s="69">
        <f t="shared" si="12"/>
        <v>136.1</v>
      </c>
      <c r="E44" s="247">
        <v>44819</v>
      </c>
      <c r="F44" s="69">
        <f t="shared" si="13"/>
        <v>136.1</v>
      </c>
      <c r="G44" s="70" t="s">
        <v>640</v>
      </c>
      <c r="H44" s="71">
        <v>79</v>
      </c>
      <c r="I44" s="450">
        <f t="shared" si="4"/>
        <v>6532.8</v>
      </c>
      <c r="J44" s="451">
        <f t="shared" si="10"/>
        <v>240</v>
      </c>
      <c r="K44" s="452">
        <f t="shared" si="2"/>
        <v>10751.9</v>
      </c>
      <c r="O44">
        <v>27.22</v>
      </c>
      <c r="P44" s="15"/>
      <c r="Q44" s="69">
        <f t="shared" si="6"/>
        <v>0</v>
      </c>
      <c r="R44" s="247"/>
      <c r="S44" s="69">
        <f t="shared" si="7"/>
        <v>0</v>
      </c>
      <c r="T44" s="70"/>
      <c r="U44" s="71"/>
      <c r="V44" s="450">
        <f t="shared" si="8"/>
        <v>16631.419999999998</v>
      </c>
      <c r="W44" s="451">
        <f t="shared" si="11"/>
        <v>611</v>
      </c>
      <c r="X44" s="452">
        <f t="shared" si="3"/>
        <v>0</v>
      </c>
    </row>
    <row r="45" spans="2:24" x14ac:dyDescent="0.25">
      <c r="B45">
        <v>27.22</v>
      </c>
      <c r="C45" s="15">
        <v>2</v>
      </c>
      <c r="D45" s="69">
        <f t="shared" si="12"/>
        <v>54.44</v>
      </c>
      <c r="E45" s="247">
        <v>44819</v>
      </c>
      <c r="F45" s="69">
        <f t="shared" si="13"/>
        <v>54.44</v>
      </c>
      <c r="G45" s="70" t="s">
        <v>643</v>
      </c>
      <c r="H45" s="71">
        <v>79</v>
      </c>
      <c r="I45" s="450">
        <f t="shared" si="4"/>
        <v>6478.3600000000006</v>
      </c>
      <c r="J45" s="451">
        <f t="shared" si="10"/>
        <v>238</v>
      </c>
      <c r="K45" s="452">
        <f t="shared" si="2"/>
        <v>4300.76</v>
      </c>
      <c r="O45">
        <v>27.22</v>
      </c>
      <c r="P45" s="15"/>
      <c r="Q45" s="69">
        <f t="shared" si="6"/>
        <v>0</v>
      </c>
      <c r="R45" s="247"/>
      <c r="S45" s="69">
        <f t="shared" si="7"/>
        <v>0</v>
      </c>
      <c r="T45" s="70"/>
      <c r="U45" s="71"/>
      <c r="V45" s="450">
        <f t="shared" si="8"/>
        <v>16631.419999999998</v>
      </c>
      <c r="W45" s="451">
        <f t="shared" si="11"/>
        <v>611</v>
      </c>
      <c r="X45" s="452">
        <f t="shared" si="3"/>
        <v>0</v>
      </c>
    </row>
    <row r="46" spans="2:24" x14ac:dyDescent="0.25">
      <c r="B46">
        <v>27.22</v>
      </c>
      <c r="C46" s="15">
        <v>5</v>
      </c>
      <c r="D46" s="69">
        <f t="shared" si="12"/>
        <v>136.1</v>
      </c>
      <c r="E46" s="247">
        <v>44819</v>
      </c>
      <c r="F46" s="69">
        <f t="shared" si="13"/>
        <v>136.1</v>
      </c>
      <c r="G46" s="70" t="s">
        <v>648</v>
      </c>
      <c r="H46" s="71">
        <v>79</v>
      </c>
      <c r="I46" s="450">
        <f t="shared" si="4"/>
        <v>6342.26</v>
      </c>
      <c r="J46" s="451">
        <f t="shared" si="10"/>
        <v>233</v>
      </c>
      <c r="K46" s="452">
        <f t="shared" si="2"/>
        <v>10751.9</v>
      </c>
      <c r="O46">
        <v>27.22</v>
      </c>
      <c r="P46" s="15"/>
      <c r="Q46" s="69">
        <f t="shared" si="6"/>
        <v>0</v>
      </c>
      <c r="R46" s="247"/>
      <c r="S46" s="69">
        <f t="shared" si="7"/>
        <v>0</v>
      </c>
      <c r="T46" s="70"/>
      <c r="U46" s="71"/>
      <c r="V46" s="450">
        <f t="shared" si="8"/>
        <v>16631.419999999998</v>
      </c>
      <c r="W46" s="451">
        <f t="shared" si="11"/>
        <v>611</v>
      </c>
      <c r="X46" s="452">
        <f t="shared" si="3"/>
        <v>0</v>
      </c>
    </row>
    <row r="47" spans="2:24" x14ac:dyDescent="0.25">
      <c r="B47">
        <v>27.22</v>
      </c>
      <c r="C47" s="15">
        <v>36</v>
      </c>
      <c r="D47" s="69">
        <f t="shared" si="12"/>
        <v>979.92</v>
      </c>
      <c r="E47" s="247">
        <v>44820</v>
      </c>
      <c r="F47" s="69">
        <f t="shared" si="13"/>
        <v>979.92</v>
      </c>
      <c r="G47" s="70" t="s">
        <v>651</v>
      </c>
      <c r="H47" s="71">
        <v>79</v>
      </c>
      <c r="I47" s="450">
        <f t="shared" si="4"/>
        <v>5362.34</v>
      </c>
      <c r="J47" s="451">
        <f t="shared" si="10"/>
        <v>197</v>
      </c>
      <c r="K47" s="452">
        <f t="shared" si="2"/>
        <v>77413.679999999993</v>
      </c>
      <c r="O47">
        <v>27.22</v>
      </c>
      <c r="P47" s="15"/>
      <c r="Q47" s="69">
        <f t="shared" si="6"/>
        <v>0</v>
      </c>
      <c r="R47" s="247"/>
      <c r="S47" s="69">
        <f t="shared" si="7"/>
        <v>0</v>
      </c>
      <c r="T47" s="70"/>
      <c r="U47" s="71"/>
      <c r="V47" s="450">
        <f t="shared" si="8"/>
        <v>16631.419999999998</v>
      </c>
      <c r="W47" s="451">
        <f t="shared" si="11"/>
        <v>611</v>
      </c>
      <c r="X47" s="452">
        <f t="shared" si="3"/>
        <v>0</v>
      </c>
    </row>
    <row r="48" spans="2:24" x14ac:dyDescent="0.25">
      <c r="B48">
        <v>27.22</v>
      </c>
      <c r="C48" s="15">
        <v>1</v>
      </c>
      <c r="D48" s="69">
        <f t="shared" si="12"/>
        <v>27.22</v>
      </c>
      <c r="E48" s="247">
        <v>44820</v>
      </c>
      <c r="F48" s="69">
        <f t="shared" si="13"/>
        <v>27.22</v>
      </c>
      <c r="G48" s="70" t="s">
        <v>652</v>
      </c>
      <c r="H48" s="71">
        <v>79</v>
      </c>
      <c r="I48" s="450">
        <f t="shared" si="4"/>
        <v>5335.12</v>
      </c>
      <c r="J48" s="451">
        <f t="shared" si="10"/>
        <v>196</v>
      </c>
      <c r="K48" s="452">
        <f t="shared" si="2"/>
        <v>2150.38</v>
      </c>
      <c r="O48">
        <v>27.22</v>
      </c>
      <c r="P48" s="15"/>
      <c r="Q48" s="69">
        <f t="shared" si="6"/>
        <v>0</v>
      </c>
      <c r="R48" s="247"/>
      <c r="S48" s="69">
        <f t="shared" si="7"/>
        <v>0</v>
      </c>
      <c r="T48" s="70"/>
      <c r="U48" s="71"/>
      <c r="V48" s="450">
        <f t="shared" si="8"/>
        <v>16631.419999999998</v>
      </c>
      <c r="W48" s="451">
        <f t="shared" si="11"/>
        <v>611</v>
      </c>
      <c r="X48" s="452">
        <f t="shared" si="3"/>
        <v>0</v>
      </c>
    </row>
    <row r="49" spans="1:24" x14ac:dyDescent="0.25">
      <c r="B49">
        <v>27.22</v>
      </c>
      <c r="C49" s="15">
        <v>1</v>
      </c>
      <c r="D49" s="69">
        <f t="shared" si="12"/>
        <v>27.22</v>
      </c>
      <c r="E49" s="247">
        <v>44820</v>
      </c>
      <c r="F49" s="69">
        <f t="shared" si="13"/>
        <v>27.22</v>
      </c>
      <c r="G49" s="70" t="s">
        <v>656</v>
      </c>
      <c r="H49" s="71">
        <v>79</v>
      </c>
      <c r="I49" s="450">
        <f t="shared" si="4"/>
        <v>5307.9</v>
      </c>
      <c r="J49" s="451">
        <f t="shared" si="10"/>
        <v>195</v>
      </c>
      <c r="K49" s="452">
        <f t="shared" si="2"/>
        <v>2150.38</v>
      </c>
      <c r="O49">
        <v>27.22</v>
      </c>
      <c r="P49" s="15"/>
      <c r="Q49" s="69">
        <f t="shared" si="6"/>
        <v>0</v>
      </c>
      <c r="R49" s="247"/>
      <c r="S49" s="69">
        <f t="shared" si="7"/>
        <v>0</v>
      </c>
      <c r="T49" s="70"/>
      <c r="U49" s="71"/>
      <c r="V49" s="450">
        <f t="shared" si="8"/>
        <v>16631.419999999998</v>
      </c>
      <c r="W49" s="451">
        <f t="shared" si="11"/>
        <v>611</v>
      </c>
      <c r="X49" s="452">
        <f t="shared" si="3"/>
        <v>0</v>
      </c>
    </row>
    <row r="50" spans="1:24" x14ac:dyDescent="0.25">
      <c r="B50">
        <v>27.22</v>
      </c>
      <c r="C50" s="15">
        <v>5</v>
      </c>
      <c r="D50" s="69">
        <f t="shared" si="12"/>
        <v>136.1</v>
      </c>
      <c r="E50" s="247">
        <v>44820</v>
      </c>
      <c r="F50" s="69">
        <f t="shared" si="13"/>
        <v>136.1</v>
      </c>
      <c r="G50" s="70" t="s">
        <v>657</v>
      </c>
      <c r="H50" s="71">
        <v>72</v>
      </c>
      <c r="I50" s="450">
        <f t="shared" si="4"/>
        <v>5171.7999999999993</v>
      </c>
      <c r="J50" s="451">
        <f t="shared" si="10"/>
        <v>190</v>
      </c>
      <c r="K50" s="452">
        <f t="shared" si="2"/>
        <v>9799.1999999999989</v>
      </c>
      <c r="O50">
        <v>27.22</v>
      </c>
      <c r="P50" s="15"/>
      <c r="Q50" s="69">
        <f t="shared" si="6"/>
        <v>0</v>
      </c>
      <c r="R50" s="247"/>
      <c r="S50" s="69">
        <f t="shared" si="7"/>
        <v>0</v>
      </c>
      <c r="T50" s="70"/>
      <c r="U50" s="71"/>
      <c r="V50" s="450">
        <f t="shared" si="8"/>
        <v>16631.419999999998</v>
      </c>
      <c r="W50" s="451">
        <f t="shared" si="11"/>
        <v>611</v>
      </c>
      <c r="X50" s="452">
        <f t="shared" si="3"/>
        <v>0</v>
      </c>
    </row>
    <row r="51" spans="1:24" x14ac:dyDescent="0.25">
      <c r="B51">
        <v>27.22</v>
      </c>
      <c r="C51" s="15">
        <v>5</v>
      </c>
      <c r="D51" s="69">
        <f t="shared" si="12"/>
        <v>136.1</v>
      </c>
      <c r="E51" s="247">
        <v>44823</v>
      </c>
      <c r="F51" s="69">
        <f t="shared" si="13"/>
        <v>136.1</v>
      </c>
      <c r="G51" s="70" t="s">
        <v>678</v>
      </c>
      <c r="H51" s="71">
        <v>72</v>
      </c>
      <c r="I51" s="450">
        <f t="shared" si="4"/>
        <v>5035.6999999999989</v>
      </c>
      <c r="J51" s="451">
        <f t="shared" si="10"/>
        <v>185</v>
      </c>
      <c r="K51" s="452">
        <f t="shared" si="2"/>
        <v>9799.1999999999989</v>
      </c>
      <c r="O51">
        <v>27.22</v>
      </c>
      <c r="P51" s="15"/>
      <c r="Q51" s="69">
        <f t="shared" si="6"/>
        <v>0</v>
      </c>
      <c r="R51" s="247"/>
      <c r="S51" s="69">
        <f t="shared" si="7"/>
        <v>0</v>
      </c>
      <c r="T51" s="70"/>
      <c r="U51" s="71"/>
      <c r="V51" s="450">
        <f t="shared" si="8"/>
        <v>16631.419999999998</v>
      </c>
      <c r="W51" s="451">
        <f t="shared" si="11"/>
        <v>611</v>
      </c>
      <c r="X51" s="452">
        <f t="shared" si="3"/>
        <v>0</v>
      </c>
    </row>
    <row r="52" spans="1:24" x14ac:dyDescent="0.25">
      <c r="B52">
        <v>27.22</v>
      </c>
      <c r="C52" s="15">
        <v>1</v>
      </c>
      <c r="D52" s="69">
        <f t="shared" si="12"/>
        <v>27.22</v>
      </c>
      <c r="E52" s="247">
        <v>44824</v>
      </c>
      <c r="F52" s="69">
        <f t="shared" si="13"/>
        <v>27.22</v>
      </c>
      <c r="G52" s="70" t="s">
        <v>682</v>
      </c>
      <c r="H52" s="71">
        <v>79</v>
      </c>
      <c r="I52" s="450">
        <f t="shared" si="4"/>
        <v>5008.4799999999987</v>
      </c>
      <c r="J52" s="451">
        <f t="shared" si="10"/>
        <v>184</v>
      </c>
      <c r="K52" s="452">
        <f t="shared" si="2"/>
        <v>2150.38</v>
      </c>
      <c r="O52">
        <v>27.22</v>
      </c>
      <c r="P52" s="15"/>
      <c r="Q52" s="69">
        <f t="shared" si="6"/>
        <v>0</v>
      </c>
      <c r="R52" s="247"/>
      <c r="S52" s="69">
        <f t="shared" si="7"/>
        <v>0</v>
      </c>
      <c r="T52" s="70"/>
      <c r="U52" s="71"/>
      <c r="V52" s="450">
        <f t="shared" si="8"/>
        <v>16631.419999999998</v>
      </c>
      <c r="W52" s="451">
        <f t="shared" si="11"/>
        <v>611</v>
      </c>
      <c r="X52" s="452">
        <f t="shared" si="3"/>
        <v>0</v>
      </c>
    </row>
    <row r="53" spans="1:24" x14ac:dyDescent="0.25">
      <c r="B53">
        <v>27.22</v>
      </c>
      <c r="C53" s="15">
        <v>36</v>
      </c>
      <c r="D53" s="69">
        <f t="shared" si="12"/>
        <v>979.92</v>
      </c>
      <c r="E53" s="247">
        <v>44824</v>
      </c>
      <c r="F53" s="69">
        <f t="shared" si="13"/>
        <v>979.92</v>
      </c>
      <c r="G53" s="70" t="s">
        <v>683</v>
      </c>
      <c r="H53" s="71">
        <v>79</v>
      </c>
      <c r="I53" s="450">
        <f t="shared" si="4"/>
        <v>4028.5599999999986</v>
      </c>
      <c r="J53" s="451">
        <f t="shared" si="10"/>
        <v>148</v>
      </c>
      <c r="K53" s="452">
        <f t="shared" si="2"/>
        <v>77413.679999999993</v>
      </c>
      <c r="O53">
        <v>27.22</v>
      </c>
      <c r="P53" s="15"/>
      <c r="Q53" s="69">
        <f t="shared" si="6"/>
        <v>0</v>
      </c>
      <c r="R53" s="247"/>
      <c r="S53" s="69">
        <f t="shared" si="7"/>
        <v>0</v>
      </c>
      <c r="T53" s="70"/>
      <c r="U53" s="71"/>
      <c r="V53" s="450">
        <f t="shared" si="8"/>
        <v>16631.419999999998</v>
      </c>
      <c r="W53" s="451">
        <f t="shared" si="11"/>
        <v>611</v>
      </c>
      <c r="X53" s="452">
        <f t="shared" si="3"/>
        <v>0</v>
      </c>
    </row>
    <row r="54" spans="1:24" x14ac:dyDescent="0.25">
      <c r="B54">
        <v>27.22</v>
      </c>
      <c r="C54" s="15">
        <v>2</v>
      </c>
      <c r="D54" s="69">
        <f t="shared" si="12"/>
        <v>54.44</v>
      </c>
      <c r="E54" s="247">
        <v>44824</v>
      </c>
      <c r="F54" s="69">
        <f t="shared" si="13"/>
        <v>54.44</v>
      </c>
      <c r="G54" s="70" t="s">
        <v>684</v>
      </c>
      <c r="H54" s="71">
        <v>79</v>
      </c>
      <c r="I54" s="450">
        <f t="shared" si="4"/>
        <v>3974.1199999999985</v>
      </c>
      <c r="J54" s="451">
        <f t="shared" si="10"/>
        <v>146</v>
      </c>
      <c r="K54" s="452">
        <f t="shared" si="2"/>
        <v>4300.76</v>
      </c>
      <c r="O54">
        <v>27.22</v>
      </c>
      <c r="P54" s="15"/>
      <c r="Q54" s="69">
        <f t="shared" si="6"/>
        <v>0</v>
      </c>
      <c r="R54" s="247"/>
      <c r="S54" s="69">
        <f t="shared" si="7"/>
        <v>0</v>
      </c>
      <c r="T54" s="70"/>
      <c r="U54" s="71"/>
      <c r="V54" s="450">
        <f t="shared" si="8"/>
        <v>16631.419999999998</v>
      </c>
      <c r="W54" s="451">
        <f t="shared" si="11"/>
        <v>611</v>
      </c>
      <c r="X54" s="452">
        <f t="shared" si="3"/>
        <v>0</v>
      </c>
    </row>
    <row r="55" spans="1:24" x14ac:dyDescent="0.25">
      <c r="B55">
        <v>27.22</v>
      </c>
      <c r="C55" s="15">
        <v>2</v>
      </c>
      <c r="D55" s="69">
        <f t="shared" si="12"/>
        <v>54.44</v>
      </c>
      <c r="E55" s="247">
        <v>44824</v>
      </c>
      <c r="F55" s="69">
        <f t="shared" si="13"/>
        <v>54.44</v>
      </c>
      <c r="G55" s="70" t="s">
        <v>688</v>
      </c>
      <c r="H55" s="71">
        <v>79</v>
      </c>
      <c r="I55" s="944">
        <f t="shared" si="4"/>
        <v>3919.6799999999985</v>
      </c>
      <c r="J55" s="945">
        <f t="shared" si="10"/>
        <v>144</v>
      </c>
      <c r="K55" s="452">
        <f t="shared" si="2"/>
        <v>4300.76</v>
      </c>
      <c r="O55">
        <v>27.22</v>
      </c>
      <c r="P55" s="15"/>
      <c r="Q55" s="69">
        <f t="shared" si="6"/>
        <v>0</v>
      </c>
      <c r="R55" s="247"/>
      <c r="S55" s="69">
        <f t="shared" si="7"/>
        <v>0</v>
      </c>
      <c r="T55" s="70"/>
      <c r="U55" s="71"/>
      <c r="V55" s="450">
        <f t="shared" si="8"/>
        <v>16631.419999999998</v>
      </c>
      <c r="W55" s="451">
        <f t="shared" si="11"/>
        <v>611</v>
      </c>
      <c r="X55" s="452">
        <f t="shared" si="3"/>
        <v>0</v>
      </c>
    </row>
    <row r="56" spans="1:24" x14ac:dyDescent="0.25">
      <c r="B56">
        <v>27.22</v>
      </c>
      <c r="C56" s="15">
        <v>8</v>
      </c>
      <c r="D56" s="69">
        <f t="shared" si="12"/>
        <v>217.76</v>
      </c>
      <c r="E56" s="247">
        <v>44824</v>
      </c>
      <c r="F56" s="69">
        <f t="shared" si="13"/>
        <v>217.76</v>
      </c>
      <c r="G56" s="70" t="s">
        <v>689</v>
      </c>
      <c r="H56" s="71">
        <v>79</v>
      </c>
      <c r="I56" s="450">
        <f t="shared" si="4"/>
        <v>3701.9199999999983</v>
      </c>
      <c r="J56" s="451">
        <f t="shared" si="10"/>
        <v>136</v>
      </c>
      <c r="K56" s="452">
        <f t="shared" si="2"/>
        <v>17203.04</v>
      </c>
      <c r="O56">
        <v>27.22</v>
      </c>
      <c r="P56" s="15"/>
      <c r="Q56" s="69">
        <f t="shared" si="6"/>
        <v>0</v>
      </c>
      <c r="R56" s="247"/>
      <c r="S56" s="69">
        <f t="shared" si="7"/>
        <v>0</v>
      </c>
      <c r="T56" s="70"/>
      <c r="U56" s="71"/>
      <c r="V56" s="450">
        <f t="shared" si="8"/>
        <v>16631.419999999998</v>
      </c>
      <c r="W56" s="451">
        <f t="shared" si="11"/>
        <v>611</v>
      </c>
      <c r="X56" s="452">
        <f t="shared" si="3"/>
        <v>0</v>
      </c>
    </row>
    <row r="57" spans="1:24" x14ac:dyDescent="0.25">
      <c r="B57">
        <v>27.22</v>
      </c>
      <c r="C57" s="15">
        <v>4</v>
      </c>
      <c r="D57" s="69">
        <f t="shared" si="12"/>
        <v>108.88</v>
      </c>
      <c r="E57" s="247">
        <v>44825</v>
      </c>
      <c r="F57" s="69">
        <f t="shared" si="13"/>
        <v>108.88</v>
      </c>
      <c r="G57" s="70" t="s">
        <v>694</v>
      </c>
      <c r="H57" s="71">
        <v>79</v>
      </c>
      <c r="I57" s="450">
        <f t="shared" si="4"/>
        <v>3593.0399999999981</v>
      </c>
      <c r="J57" s="451">
        <f t="shared" si="10"/>
        <v>132</v>
      </c>
      <c r="K57" s="452">
        <f t="shared" si="2"/>
        <v>8601.52</v>
      </c>
      <c r="O57">
        <v>27.22</v>
      </c>
      <c r="P57" s="15"/>
      <c r="Q57" s="69">
        <f t="shared" si="6"/>
        <v>0</v>
      </c>
      <c r="R57" s="247"/>
      <c r="S57" s="69">
        <f t="shared" si="7"/>
        <v>0</v>
      </c>
      <c r="T57" s="70"/>
      <c r="U57" s="71"/>
      <c r="V57" s="450">
        <f t="shared" si="8"/>
        <v>16631.419999999998</v>
      </c>
      <c r="W57" s="451">
        <f t="shared" si="11"/>
        <v>611</v>
      </c>
      <c r="X57" s="452">
        <f t="shared" si="3"/>
        <v>0</v>
      </c>
    </row>
    <row r="58" spans="1:24" x14ac:dyDescent="0.25">
      <c r="B58">
        <v>27.22</v>
      </c>
      <c r="C58" s="15">
        <v>1</v>
      </c>
      <c r="D58" s="69">
        <f t="shared" si="12"/>
        <v>27.22</v>
      </c>
      <c r="E58" s="247">
        <v>44825</v>
      </c>
      <c r="F58" s="69">
        <f t="shared" si="13"/>
        <v>27.22</v>
      </c>
      <c r="G58" s="70" t="s">
        <v>703</v>
      </c>
      <c r="H58" s="71">
        <v>79</v>
      </c>
      <c r="I58" s="450">
        <f t="shared" si="4"/>
        <v>3565.8199999999983</v>
      </c>
      <c r="J58" s="451">
        <f t="shared" si="10"/>
        <v>131</v>
      </c>
      <c r="K58" s="452">
        <f t="shared" si="2"/>
        <v>2150.38</v>
      </c>
      <c r="O58">
        <v>27.22</v>
      </c>
      <c r="P58" s="15"/>
      <c r="Q58" s="69">
        <f t="shared" si="6"/>
        <v>0</v>
      </c>
      <c r="R58" s="247"/>
      <c r="S58" s="69">
        <f t="shared" si="7"/>
        <v>0</v>
      </c>
      <c r="T58" s="70"/>
      <c r="U58" s="71"/>
      <c r="V58" s="450">
        <f t="shared" si="8"/>
        <v>16631.419999999998</v>
      </c>
      <c r="W58" s="451">
        <f t="shared" si="11"/>
        <v>611</v>
      </c>
      <c r="X58" s="452">
        <f t="shared" si="3"/>
        <v>0</v>
      </c>
    </row>
    <row r="59" spans="1:24" x14ac:dyDescent="0.25">
      <c r="B59">
        <v>27.22</v>
      </c>
      <c r="C59" s="15">
        <v>1</v>
      </c>
      <c r="D59" s="69">
        <f t="shared" si="12"/>
        <v>27.22</v>
      </c>
      <c r="E59" s="247">
        <v>44827</v>
      </c>
      <c r="F59" s="69">
        <f t="shared" si="13"/>
        <v>27.22</v>
      </c>
      <c r="G59" s="70" t="s">
        <v>705</v>
      </c>
      <c r="H59" s="71">
        <v>79</v>
      </c>
      <c r="I59" s="450">
        <f t="shared" si="4"/>
        <v>3538.5999999999985</v>
      </c>
      <c r="J59" s="451">
        <f t="shared" si="10"/>
        <v>130</v>
      </c>
      <c r="K59" s="452">
        <f t="shared" si="2"/>
        <v>2150.38</v>
      </c>
      <c r="O59">
        <v>27.22</v>
      </c>
      <c r="P59" s="15"/>
      <c r="Q59" s="69">
        <f t="shared" si="6"/>
        <v>0</v>
      </c>
      <c r="R59" s="247"/>
      <c r="S59" s="69">
        <f t="shared" si="7"/>
        <v>0</v>
      </c>
      <c r="T59" s="70"/>
      <c r="U59" s="71"/>
      <c r="V59" s="450">
        <f t="shared" si="8"/>
        <v>16631.419999999998</v>
      </c>
      <c r="W59" s="451">
        <f t="shared" si="11"/>
        <v>611</v>
      </c>
      <c r="X59" s="452">
        <f t="shared" si="3"/>
        <v>0</v>
      </c>
    </row>
    <row r="60" spans="1:24" ht="15.75" thickBot="1" x14ac:dyDescent="0.3">
      <c r="A60" s="120"/>
      <c r="B60">
        <v>27.22</v>
      </c>
      <c r="C60" s="15">
        <v>36</v>
      </c>
      <c r="D60" s="69">
        <f t="shared" si="12"/>
        <v>979.92</v>
      </c>
      <c r="E60" s="247">
        <v>44827</v>
      </c>
      <c r="F60" s="69">
        <f t="shared" si="13"/>
        <v>979.92</v>
      </c>
      <c r="G60" s="70" t="s">
        <v>706</v>
      </c>
      <c r="H60" s="71">
        <v>79</v>
      </c>
      <c r="I60" s="450">
        <f t="shared" si="4"/>
        <v>2558.6799999999985</v>
      </c>
      <c r="J60" s="451">
        <f t="shared" si="10"/>
        <v>94</v>
      </c>
      <c r="K60" s="452">
        <f t="shared" si="2"/>
        <v>77413.679999999993</v>
      </c>
      <c r="N60" s="120"/>
      <c r="O60">
        <v>27.22</v>
      </c>
      <c r="P60" s="15"/>
      <c r="Q60" s="69">
        <f t="shared" si="6"/>
        <v>0</v>
      </c>
      <c r="R60" s="247"/>
      <c r="S60" s="69">
        <f t="shared" si="7"/>
        <v>0</v>
      </c>
      <c r="T60" s="70"/>
      <c r="U60" s="71"/>
      <c r="V60" s="450">
        <f t="shared" si="8"/>
        <v>16631.419999999998</v>
      </c>
      <c r="W60" s="451">
        <f t="shared" si="11"/>
        <v>611</v>
      </c>
      <c r="X60" s="452">
        <f t="shared" si="3"/>
        <v>0</v>
      </c>
    </row>
    <row r="61" spans="1:24" ht="15.75" thickTop="1" x14ac:dyDescent="0.25">
      <c r="B61">
        <v>27.22</v>
      </c>
      <c r="C61" s="15">
        <v>2</v>
      </c>
      <c r="D61" s="69">
        <f t="shared" si="12"/>
        <v>54.44</v>
      </c>
      <c r="E61" s="247">
        <v>44828</v>
      </c>
      <c r="F61" s="69">
        <f t="shared" si="13"/>
        <v>54.44</v>
      </c>
      <c r="G61" s="70" t="s">
        <v>714</v>
      </c>
      <c r="H61" s="71">
        <v>79</v>
      </c>
      <c r="I61" s="450">
        <f t="shared" si="4"/>
        <v>2504.2399999999984</v>
      </c>
      <c r="J61" s="451">
        <f t="shared" si="10"/>
        <v>92</v>
      </c>
      <c r="K61" s="452">
        <f t="shared" si="2"/>
        <v>4300.76</v>
      </c>
      <c r="O61">
        <v>27.22</v>
      </c>
      <c r="P61" s="15"/>
      <c r="Q61" s="69">
        <f t="shared" si="6"/>
        <v>0</v>
      </c>
      <c r="R61" s="247"/>
      <c r="S61" s="69">
        <f t="shared" si="7"/>
        <v>0</v>
      </c>
      <c r="T61" s="70"/>
      <c r="U61" s="71"/>
      <c r="V61" s="450">
        <f t="shared" si="8"/>
        <v>16631.419999999998</v>
      </c>
      <c r="W61" s="451">
        <f t="shared" si="11"/>
        <v>611</v>
      </c>
      <c r="X61" s="452">
        <f t="shared" si="3"/>
        <v>0</v>
      </c>
    </row>
    <row r="62" spans="1:24" x14ac:dyDescent="0.25">
      <c r="B62">
        <v>27.22</v>
      </c>
      <c r="C62" s="15">
        <v>10</v>
      </c>
      <c r="D62" s="69">
        <f t="shared" si="12"/>
        <v>272.2</v>
      </c>
      <c r="E62" s="247">
        <v>44830</v>
      </c>
      <c r="F62" s="69">
        <f t="shared" si="13"/>
        <v>272.2</v>
      </c>
      <c r="G62" s="70" t="s">
        <v>721</v>
      </c>
      <c r="H62" s="71">
        <v>72</v>
      </c>
      <c r="I62" s="450">
        <f t="shared" si="4"/>
        <v>2232.0399999999986</v>
      </c>
      <c r="J62" s="451">
        <f t="shared" si="10"/>
        <v>82</v>
      </c>
      <c r="K62" s="452">
        <f t="shared" si="2"/>
        <v>19598.399999999998</v>
      </c>
      <c r="O62">
        <v>27.22</v>
      </c>
      <c r="P62" s="15"/>
      <c r="Q62" s="69">
        <f t="shared" si="6"/>
        <v>0</v>
      </c>
      <c r="R62" s="247"/>
      <c r="S62" s="69">
        <f t="shared" si="7"/>
        <v>0</v>
      </c>
      <c r="T62" s="70"/>
      <c r="U62" s="71"/>
      <c r="V62" s="450">
        <f t="shared" si="8"/>
        <v>16631.419999999998</v>
      </c>
      <c r="W62" s="451">
        <f t="shared" si="11"/>
        <v>611</v>
      </c>
      <c r="X62" s="452">
        <f t="shared" si="3"/>
        <v>0</v>
      </c>
    </row>
    <row r="63" spans="1:24" x14ac:dyDescent="0.25">
      <c r="B63">
        <v>27.22</v>
      </c>
      <c r="C63" s="15">
        <v>2</v>
      </c>
      <c r="D63" s="69">
        <f>C63*B63</f>
        <v>54.44</v>
      </c>
      <c r="E63" s="247">
        <v>44830</v>
      </c>
      <c r="F63" s="69">
        <f>D63</f>
        <v>54.44</v>
      </c>
      <c r="G63" s="70" t="s">
        <v>722</v>
      </c>
      <c r="H63" s="71">
        <v>79</v>
      </c>
      <c r="I63" s="450">
        <f t="shared" si="4"/>
        <v>2177.5999999999985</v>
      </c>
      <c r="J63" s="451">
        <f t="shared" si="10"/>
        <v>80</v>
      </c>
      <c r="K63" s="452">
        <f t="shared" si="2"/>
        <v>4300.76</v>
      </c>
      <c r="O63">
        <v>27.22</v>
      </c>
      <c r="P63" s="15"/>
      <c r="Q63" s="69">
        <f t="shared" si="6"/>
        <v>0</v>
      </c>
      <c r="R63" s="247"/>
      <c r="S63" s="69">
        <f t="shared" si="7"/>
        <v>0</v>
      </c>
      <c r="T63" s="70"/>
      <c r="U63" s="71"/>
      <c r="V63" s="450">
        <f t="shared" si="8"/>
        <v>16631.419999999998</v>
      </c>
      <c r="W63" s="451">
        <f t="shared" si="11"/>
        <v>611</v>
      </c>
      <c r="X63" s="452">
        <f t="shared" si="3"/>
        <v>0</v>
      </c>
    </row>
    <row r="64" spans="1:24" x14ac:dyDescent="0.25">
      <c r="B64">
        <v>27.22</v>
      </c>
      <c r="C64" s="15">
        <v>24</v>
      </c>
      <c r="D64" s="69">
        <f>C64*B64</f>
        <v>653.28</v>
      </c>
      <c r="E64" s="247">
        <v>44830</v>
      </c>
      <c r="F64" s="69">
        <f>D64</f>
        <v>653.28</v>
      </c>
      <c r="G64" s="70" t="s">
        <v>724</v>
      </c>
      <c r="H64" s="71">
        <v>79</v>
      </c>
      <c r="I64" s="450">
        <f t="shared" si="4"/>
        <v>1524.3199999999986</v>
      </c>
      <c r="J64" s="451">
        <f t="shared" si="10"/>
        <v>56</v>
      </c>
      <c r="K64" s="452">
        <f t="shared" si="2"/>
        <v>51609.119999999995</v>
      </c>
      <c r="O64">
        <v>27.22</v>
      </c>
      <c r="P64" s="15"/>
      <c r="Q64" s="69">
        <f t="shared" si="6"/>
        <v>0</v>
      </c>
      <c r="R64" s="247"/>
      <c r="S64" s="69">
        <f t="shared" si="7"/>
        <v>0</v>
      </c>
      <c r="T64" s="70"/>
      <c r="U64" s="71"/>
      <c r="V64" s="450">
        <f t="shared" si="8"/>
        <v>16631.419999999998</v>
      </c>
      <c r="W64" s="451">
        <f t="shared" si="11"/>
        <v>611</v>
      </c>
      <c r="X64" s="452">
        <f t="shared" si="3"/>
        <v>0</v>
      </c>
    </row>
    <row r="65" spans="2:24" x14ac:dyDescent="0.25">
      <c r="B65">
        <v>27.22</v>
      </c>
      <c r="C65" s="15">
        <v>24</v>
      </c>
      <c r="D65" s="69">
        <f>C65*B65</f>
        <v>653.28</v>
      </c>
      <c r="E65" s="247">
        <v>44832</v>
      </c>
      <c r="F65" s="69">
        <f>D65</f>
        <v>653.28</v>
      </c>
      <c r="G65" s="70" t="s">
        <v>730</v>
      </c>
      <c r="H65" s="71">
        <v>84</v>
      </c>
      <c r="I65" s="450">
        <f t="shared" si="4"/>
        <v>871.0399999999986</v>
      </c>
      <c r="J65" s="451">
        <f t="shared" si="10"/>
        <v>32</v>
      </c>
      <c r="K65" s="452">
        <f t="shared" si="2"/>
        <v>54875.519999999997</v>
      </c>
      <c r="O65">
        <v>27.22</v>
      </c>
      <c r="P65" s="15"/>
      <c r="Q65" s="69">
        <f t="shared" si="6"/>
        <v>0</v>
      </c>
      <c r="R65" s="247"/>
      <c r="S65" s="69">
        <f t="shared" si="7"/>
        <v>0</v>
      </c>
      <c r="T65" s="70"/>
      <c r="U65" s="71"/>
      <c r="V65" s="450">
        <f t="shared" si="8"/>
        <v>16631.419999999998</v>
      </c>
      <c r="W65" s="451">
        <f t="shared" si="11"/>
        <v>611</v>
      </c>
      <c r="X65" s="452">
        <f t="shared" si="3"/>
        <v>0</v>
      </c>
    </row>
    <row r="66" spans="2:24" x14ac:dyDescent="0.25">
      <c r="B66">
        <v>27.22</v>
      </c>
      <c r="C66" s="15">
        <v>24</v>
      </c>
      <c r="D66" s="69">
        <f>C66*B66</f>
        <v>653.28</v>
      </c>
      <c r="E66" s="247">
        <v>44832</v>
      </c>
      <c r="F66" s="69">
        <f>D66</f>
        <v>653.28</v>
      </c>
      <c r="G66" s="70" t="s">
        <v>730</v>
      </c>
      <c r="H66" s="71">
        <v>84</v>
      </c>
      <c r="I66" s="450">
        <f t="shared" si="4"/>
        <v>217.75999999999863</v>
      </c>
      <c r="J66" s="451">
        <f t="shared" si="10"/>
        <v>8</v>
      </c>
      <c r="K66" s="452">
        <f t="shared" si="2"/>
        <v>54875.519999999997</v>
      </c>
      <c r="O66">
        <v>27.22</v>
      </c>
      <c r="P66" s="15"/>
      <c r="Q66" s="69">
        <f t="shared" si="6"/>
        <v>0</v>
      </c>
      <c r="R66" s="247"/>
      <c r="S66" s="69">
        <f t="shared" si="7"/>
        <v>0</v>
      </c>
      <c r="T66" s="70"/>
      <c r="U66" s="71"/>
      <c r="V66" s="450">
        <f t="shared" si="8"/>
        <v>16631.419999999998</v>
      </c>
      <c r="W66" s="451">
        <f t="shared" si="11"/>
        <v>611</v>
      </c>
      <c r="X66" s="452">
        <f t="shared" si="3"/>
        <v>0</v>
      </c>
    </row>
    <row r="67" spans="2:24" x14ac:dyDescent="0.25">
      <c r="B67">
        <v>27.22</v>
      </c>
      <c r="C67" s="15">
        <v>5</v>
      </c>
      <c r="D67" s="69">
        <f>C67*B67</f>
        <v>136.1</v>
      </c>
      <c r="E67" s="247">
        <v>44834</v>
      </c>
      <c r="F67" s="69">
        <f>D67</f>
        <v>136.1</v>
      </c>
      <c r="G67" s="70" t="s">
        <v>738</v>
      </c>
      <c r="H67" s="71">
        <v>84</v>
      </c>
      <c r="I67" s="450">
        <f t="shared" si="4"/>
        <v>81.659999999998632</v>
      </c>
      <c r="J67" s="451">
        <f t="shared" si="10"/>
        <v>3</v>
      </c>
      <c r="K67" s="452">
        <f t="shared" si="2"/>
        <v>11432.4</v>
      </c>
      <c r="O67">
        <v>27.22</v>
      </c>
      <c r="P67" s="15"/>
      <c r="Q67" s="69">
        <f t="shared" si="6"/>
        <v>0</v>
      </c>
      <c r="R67" s="247"/>
      <c r="S67" s="69">
        <f t="shared" si="7"/>
        <v>0</v>
      </c>
      <c r="T67" s="70"/>
      <c r="U67" s="71"/>
      <c r="V67" s="450">
        <f t="shared" si="8"/>
        <v>16631.419999999998</v>
      </c>
      <c r="W67" s="451">
        <f t="shared" si="11"/>
        <v>611</v>
      </c>
      <c r="X67" s="452">
        <f t="shared" si="3"/>
        <v>0</v>
      </c>
    </row>
    <row r="68" spans="2:24" x14ac:dyDescent="0.25">
      <c r="B68">
        <v>27.22</v>
      </c>
      <c r="C68" s="15"/>
      <c r="D68" s="69">
        <f t="shared" si="12"/>
        <v>0</v>
      </c>
      <c r="E68" s="247"/>
      <c r="F68" s="69">
        <f t="shared" si="13"/>
        <v>0</v>
      </c>
      <c r="G68" s="70"/>
      <c r="H68" s="71"/>
      <c r="I68" s="450">
        <f t="shared" si="4"/>
        <v>81.659999999998632</v>
      </c>
      <c r="J68" s="451">
        <f t="shared" si="10"/>
        <v>3</v>
      </c>
      <c r="K68" s="452">
        <f t="shared" si="2"/>
        <v>0</v>
      </c>
      <c r="O68">
        <v>27.22</v>
      </c>
      <c r="P68" s="15"/>
      <c r="Q68" s="69">
        <f t="shared" si="6"/>
        <v>0</v>
      </c>
      <c r="R68" s="247"/>
      <c r="S68" s="69">
        <f t="shared" si="7"/>
        <v>0</v>
      </c>
      <c r="T68" s="70"/>
      <c r="U68" s="71"/>
      <c r="V68" s="450">
        <f t="shared" si="8"/>
        <v>16631.419999999998</v>
      </c>
      <c r="W68" s="451">
        <f t="shared" si="11"/>
        <v>611</v>
      </c>
      <c r="X68" s="452">
        <f t="shared" si="3"/>
        <v>0</v>
      </c>
    </row>
    <row r="69" spans="2:24" x14ac:dyDescent="0.25">
      <c r="B69">
        <v>27.22</v>
      </c>
      <c r="C69" s="15"/>
      <c r="D69" s="69">
        <f t="shared" si="12"/>
        <v>0</v>
      </c>
      <c r="E69" s="247"/>
      <c r="F69" s="69">
        <f t="shared" si="13"/>
        <v>0</v>
      </c>
      <c r="G69" s="70"/>
      <c r="H69" s="71"/>
      <c r="I69" s="450">
        <f t="shared" si="4"/>
        <v>81.659999999998632</v>
      </c>
      <c r="J69" s="451">
        <f t="shared" si="10"/>
        <v>3</v>
      </c>
      <c r="K69" s="452">
        <f t="shared" si="2"/>
        <v>0</v>
      </c>
      <c r="O69">
        <v>27.22</v>
      </c>
      <c r="P69" s="15"/>
      <c r="Q69" s="69">
        <f t="shared" si="6"/>
        <v>0</v>
      </c>
      <c r="R69" s="247"/>
      <c r="S69" s="69">
        <f t="shared" si="7"/>
        <v>0</v>
      </c>
      <c r="T69" s="70"/>
      <c r="U69" s="71"/>
      <c r="V69" s="450">
        <f t="shared" si="8"/>
        <v>16631.419999999998</v>
      </c>
      <c r="W69" s="451">
        <f t="shared" si="11"/>
        <v>611</v>
      </c>
      <c r="X69" s="452">
        <f t="shared" si="3"/>
        <v>0</v>
      </c>
    </row>
    <row r="70" spans="2:24" x14ac:dyDescent="0.25">
      <c r="B70">
        <v>27.22</v>
      </c>
      <c r="C70" s="15">
        <v>3</v>
      </c>
      <c r="D70" s="69">
        <f t="shared" si="12"/>
        <v>81.66</v>
      </c>
      <c r="E70" s="247"/>
      <c r="F70" s="69">
        <f t="shared" si="13"/>
        <v>81.66</v>
      </c>
      <c r="G70" s="70"/>
      <c r="H70" s="910"/>
      <c r="I70" s="925">
        <f t="shared" si="4"/>
        <v>-1.3642420526593924E-12</v>
      </c>
      <c r="J70" s="926">
        <f t="shared" si="10"/>
        <v>0</v>
      </c>
      <c r="K70" s="927">
        <f t="shared" si="2"/>
        <v>0</v>
      </c>
      <c r="O70">
        <v>27.22</v>
      </c>
      <c r="P70" s="15"/>
      <c r="Q70" s="69">
        <f t="shared" si="6"/>
        <v>0</v>
      </c>
      <c r="R70" s="247"/>
      <c r="S70" s="69">
        <f t="shared" si="7"/>
        <v>0</v>
      </c>
      <c r="T70" s="70"/>
      <c r="U70" s="71"/>
      <c r="V70" s="450">
        <f t="shared" si="8"/>
        <v>16631.419999999998</v>
      </c>
      <c r="W70" s="451">
        <f t="shared" si="11"/>
        <v>611</v>
      </c>
      <c r="X70" s="452">
        <f t="shared" si="3"/>
        <v>0</v>
      </c>
    </row>
    <row r="71" spans="2:24" x14ac:dyDescent="0.25">
      <c r="B71">
        <v>27.22</v>
      </c>
      <c r="C71" s="15"/>
      <c r="D71" s="69">
        <f t="shared" si="12"/>
        <v>0</v>
      </c>
      <c r="E71" s="247"/>
      <c r="F71" s="69">
        <f t="shared" si="13"/>
        <v>0</v>
      </c>
      <c r="G71" s="70"/>
      <c r="H71" s="910"/>
      <c r="I71" s="925">
        <f t="shared" si="4"/>
        <v>-1.3642420526593924E-12</v>
      </c>
      <c r="J71" s="926">
        <f t="shared" si="10"/>
        <v>0</v>
      </c>
      <c r="K71" s="927">
        <f t="shared" si="2"/>
        <v>0</v>
      </c>
      <c r="O71">
        <v>27.22</v>
      </c>
      <c r="P71" s="15"/>
      <c r="Q71" s="69">
        <f t="shared" si="6"/>
        <v>0</v>
      </c>
      <c r="R71" s="247"/>
      <c r="S71" s="69">
        <f t="shared" si="7"/>
        <v>0</v>
      </c>
      <c r="T71" s="70"/>
      <c r="U71" s="71"/>
      <c r="V71" s="450">
        <f t="shared" si="8"/>
        <v>16631.419999999998</v>
      </c>
      <c r="W71" s="451">
        <f t="shared" si="11"/>
        <v>611</v>
      </c>
      <c r="X71" s="452">
        <f t="shared" si="3"/>
        <v>0</v>
      </c>
    </row>
    <row r="72" spans="2:24" x14ac:dyDescent="0.25">
      <c r="B72">
        <v>27.22</v>
      </c>
      <c r="C72" s="15"/>
      <c r="D72" s="69">
        <f t="shared" si="12"/>
        <v>0</v>
      </c>
      <c r="E72" s="247"/>
      <c r="F72" s="69">
        <f t="shared" si="13"/>
        <v>0</v>
      </c>
      <c r="G72" s="70"/>
      <c r="H72" s="910"/>
      <c r="I72" s="925">
        <f t="shared" si="4"/>
        <v>-1.3642420526593924E-12</v>
      </c>
      <c r="J72" s="926">
        <f t="shared" si="10"/>
        <v>0</v>
      </c>
      <c r="K72" s="927">
        <f t="shared" si="2"/>
        <v>0</v>
      </c>
      <c r="O72">
        <v>27.22</v>
      </c>
      <c r="P72" s="15"/>
      <c r="Q72" s="69">
        <f t="shared" si="6"/>
        <v>0</v>
      </c>
      <c r="R72" s="247"/>
      <c r="S72" s="69">
        <f t="shared" si="7"/>
        <v>0</v>
      </c>
      <c r="T72" s="70"/>
      <c r="U72" s="71"/>
      <c r="V72" s="450">
        <f t="shared" si="8"/>
        <v>16631.419999999998</v>
      </c>
      <c r="W72" s="451">
        <f t="shared" si="11"/>
        <v>611</v>
      </c>
      <c r="X72" s="452">
        <f t="shared" si="3"/>
        <v>0</v>
      </c>
    </row>
    <row r="73" spans="2:24" x14ac:dyDescent="0.25">
      <c r="B73">
        <v>27.22</v>
      </c>
      <c r="C73" s="15"/>
      <c r="D73" s="69">
        <f t="shared" si="12"/>
        <v>0</v>
      </c>
      <c r="E73" s="247"/>
      <c r="F73" s="69">
        <f t="shared" ref="F73:F114" si="14">D73</f>
        <v>0</v>
      </c>
      <c r="G73" s="70"/>
      <c r="H73" s="910"/>
      <c r="I73" s="925">
        <f t="shared" si="4"/>
        <v>-1.3642420526593924E-12</v>
      </c>
      <c r="J73" s="926">
        <f t="shared" si="10"/>
        <v>0</v>
      </c>
      <c r="K73" s="927">
        <f t="shared" si="2"/>
        <v>0</v>
      </c>
      <c r="O73">
        <v>27.22</v>
      </c>
      <c r="P73" s="15"/>
      <c r="Q73" s="69">
        <f t="shared" ref="Q73:Q114" si="15">P73*O73</f>
        <v>0</v>
      </c>
      <c r="R73" s="247"/>
      <c r="S73" s="69">
        <f t="shared" ref="S73:S114" si="16">Q73</f>
        <v>0</v>
      </c>
      <c r="T73" s="70"/>
      <c r="U73" s="71"/>
      <c r="V73" s="450">
        <f t="shared" si="8"/>
        <v>16631.419999999998</v>
      </c>
      <c r="W73" s="451">
        <f t="shared" si="11"/>
        <v>611</v>
      </c>
      <c r="X73" s="452">
        <f t="shared" si="3"/>
        <v>0</v>
      </c>
    </row>
    <row r="74" spans="2:24" x14ac:dyDescent="0.25">
      <c r="B74">
        <v>27.22</v>
      </c>
      <c r="C74" s="15"/>
      <c r="D74" s="69">
        <f t="shared" ref="D74:D114" si="17">C74*B74</f>
        <v>0</v>
      </c>
      <c r="E74" s="247"/>
      <c r="F74" s="69">
        <f t="shared" si="14"/>
        <v>0</v>
      </c>
      <c r="G74" s="70"/>
      <c r="H74" s="71"/>
      <c r="I74" s="450">
        <f t="shared" si="4"/>
        <v>-1.3642420526593924E-12</v>
      </c>
      <c r="J74" s="451">
        <f t="shared" si="10"/>
        <v>0</v>
      </c>
      <c r="K74" s="452">
        <f t="shared" ref="K74:K114" si="18">F74*H74</f>
        <v>0</v>
      </c>
      <c r="O74">
        <v>27.22</v>
      </c>
      <c r="P74" s="15"/>
      <c r="Q74" s="69">
        <f t="shared" si="15"/>
        <v>0</v>
      </c>
      <c r="R74" s="247"/>
      <c r="S74" s="69">
        <f t="shared" si="16"/>
        <v>0</v>
      </c>
      <c r="T74" s="70"/>
      <c r="U74" s="71"/>
      <c r="V74" s="450">
        <f t="shared" si="8"/>
        <v>16631.419999999998</v>
      </c>
      <c r="W74" s="451">
        <f t="shared" si="11"/>
        <v>611</v>
      </c>
      <c r="X74" s="452">
        <f t="shared" ref="X74:X114" si="19">S74*U74</f>
        <v>0</v>
      </c>
    </row>
    <row r="75" spans="2:24" x14ac:dyDescent="0.25">
      <c r="B75">
        <v>27.22</v>
      </c>
      <c r="C75" s="15"/>
      <c r="D75" s="69">
        <f t="shared" si="17"/>
        <v>0</v>
      </c>
      <c r="E75" s="247"/>
      <c r="F75" s="69">
        <f t="shared" si="14"/>
        <v>0</v>
      </c>
      <c r="G75" s="70"/>
      <c r="H75" s="71"/>
      <c r="I75" s="450">
        <f t="shared" ref="I75:I113" si="20">I74-F75</f>
        <v>-1.3642420526593924E-12</v>
      </c>
      <c r="J75" s="451">
        <f t="shared" si="10"/>
        <v>0</v>
      </c>
      <c r="K75" s="452">
        <f t="shared" si="18"/>
        <v>0</v>
      </c>
      <c r="O75">
        <v>27.22</v>
      </c>
      <c r="P75" s="15"/>
      <c r="Q75" s="69">
        <f t="shared" si="15"/>
        <v>0</v>
      </c>
      <c r="R75" s="247"/>
      <c r="S75" s="69">
        <f t="shared" si="16"/>
        <v>0</v>
      </c>
      <c r="T75" s="70"/>
      <c r="U75" s="71"/>
      <c r="V75" s="450">
        <f t="shared" ref="V75:V113" si="21">V74-S75</f>
        <v>16631.419999999998</v>
      </c>
      <c r="W75" s="451">
        <f t="shared" si="11"/>
        <v>611</v>
      </c>
      <c r="X75" s="452">
        <f t="shared" si="19"/>
        <v>0</v>
      </c>
    </row>
    <row r="76" spans="2:24" x14ac:dyDescent="0.25">
      <c r="B76">
        <v>27.22</v>
      </c>
      <c r="C76" s="15"/>
      <c r="D76" s="69">
        <f t="shared" si="17"/>
        <v>0</v>
      </c>
      <c r="E76" s="247"/>
      <c r="F76" s="69">
        <f t="shared" si="14"/>
        <v>0</v>
      </c>
      <c r="G76" s="70"/>
      <c r="H76" s="71"/>
      <c r="I76" s="450">
        <f t="shared" si="20"/>
        <v>-1.3642420526593924E-12</v>
      </c>
      <c r="J76" s="451">
        <f t="shared" si="10"/>
        <v>0</v>
      </c>
      <c r="K76" s="452">
        <f t="shared" si="18"/>
        <v>0</v>
      </c>
      <c r="O76">
        <v>27.22</v>
      </c>
      <c r="P76" s="15"/>
      <c r="Q76" s="69">
        <f t="shared" si="15"/>
        <v>0</v>
      </c>
      <c r="R76" s="247"/>
      <c r="S76" s="69">
        <f t="shared" si="16"/>
        <v>0</v>
      </c>
      <c r="T76" s="70"/>
      <c r="U76" s="71"/>
      <c r="V76" s="450">
        <f t="shared" si="21"/>
        <v>16631.419999999998</v>
      </c>
      <c r="W76" s="451">
        <f t="shared" si="11"/>
        <v>611</v>
      </c>
      <c r="X76" s="452">
        <f t="shared" si="19"/>
        <v>0</v>
      </c>
    </row>
    <row r="77" spans="2:24" x14ac:dyDescent="0.25">
      <c r="B77">
        <v>27.22</v>
      </c>
      <c r="C77" s="15"/>
      <c r="D77" s="69">
        <f t="shared" si="17"/>
        <v>0</v>
      </c>
      <c r="E77" s="247"/>
      <c r="F77" s="69">
        <f t="shared" si="14"/>
        <v>0</v>
      </c>
      <c r="G77" s="70"/>
      <c r="H77" s="71"/>
      <c r="I77" s="450">
        <f t="shared" si="20"/>
        <v>-1.3642420526593924E-12</v>
      </c>
      <c r="J77" s="451">
        <f t="shared" ref="J77:J113" si="22">J76-C77</f>
        <v>0</v>
      </c>
      <c r="K77" s="452">
        <f t="shared" si="18"/>
        <v>0</v>
      </c>
      <c r="O77">
        <v>27.22</v>
      </c>
      <c r="P77" s="15"/>
      <c r="Q77" s="69">
        <f t="shared" si="15"/>
        <v>0</v>
      </c>
      <c r="R77" s="247"/>
      <c r="S77" s="69">
        <f t="shared" si="16"/>
        <v>0</v>
      </c>
      <c r="T77" s="70"/>
      <c r="U77" s="71"/>
      <c r="V77" s="450">
        <f t="shared" si="21"/>
        <v>16631.419999999998</v>
      </c>
      <c r="W77" s="451">
        <f t="shared" ref="W77:W113" si="23">W76-P77</f>
        <v>611</v>
      </c>
      <c r="X77" s="452">
        <f t="shared" si="19"/>
        <v>0</v>
      </c>
    </row>
    <row r="78" spans="2:24" x14ac:dyDescent="0.25">
      <c r="B78">
        <v>27.22</v>
      </c>
      <c r="C78" s="15"/>
      <c r="D78" s="69">
        <f t="shared" si="17"/>
        <v>0</v>
      </c>
      <c r="E78" s="247"/>
      <c r="F78" s="69">
        <f t="shared" si="14"/>
        <v>0</v>
      </c>
      <c r="G78" s="70"/>
      <c r="H78" s="71"/>
      <c r="I78" s="450">
        <f t="shared" si="20"/>
        <v>-1.3642420526593924E-12</v>
      </c>
      <c r="J78" s="451">
        <f t="shared" si="22"/>
        <v>0</v>
      </c>
      <c r="K78" s="452">
        <f t="shared" si="18"/>
        <v>0</v>
      </c>
      <c r="O78">
        <v>27.22</v>
      </c>
      <c r="P78" s="15"/>
      <c r="Q78" s="69">
        <f t="shared" si="15"/>
        <v>0</v>
      </c>
      <c r="R78" s="247"/>
      <c r="S78" s="69">
        <f t="shared" si="16"/>
        <v>0</v>
      </c>
      <c r="T78" s="70"/>
      <c r="U78" s="71"/>
      <c r="V78" s="450">
        <f t="shared" si="21"/>
        <v>16631.419999999998</v>
      </c>
      <c r="W78" s="451">
        <f t="shared" si="23"/>
        <v>611</v>
      </c>
      <c r="X78" s="452">
        <f t="shared" si="19"/>
        <v>0</v>
      </c>
    </row>
    <row r="79" spans="2:24" x14ac:dyDescent="0.25">
      <c r="B79">
        <v>27.22</v>
      </c>
      <c r="C79" s="15"/>
      <c r="D79" s="69">
        <f t="shared" si="17"/>
        <v>0</v>
      </c>
      <c r="E79" s="247"/>
      <c r="F79" s="69">
        <f t="shared" si="14"/>
        <v>0</v>
      </c>
      <c r="G79" s="70"/>
      <c r="H79" s="71"/>
      <c r="I79" s="450">
        <f t="shared" si="20"/>
        <v>-1.3642420526593924E-12</v>
      </c>
      <c r="J79" s="451">
        <f t="shared" si="22"/>
        <v>0</v>
      </c>
      <c r="K79" s="452">
        <f t="shared" si="18"/>
        <v>0</v>
      </c>
      <c r="O79">
        <v>27.22</v>
      </c>
      <c r="P79" s="15"/>
      <c r="Q79" s="69">
        <f t="shared" si="15"/>
        <v>0</v>
      </c>
      <c r="R79" s="247"/>
      <c r="S79" s="69">
        <f t="shared" si="16"/>
        <v>0</v>
      </c>
      <c r="T79" s="70"/>
      <c r="U79" s="71"/>
      <c r="V79" s="450">
        <f t="shared" si="21"/>
        <v>16631.419999999998</v>
      </c>
      <c r="W79" s="451">
        <f t="shared" si="23"/>
        <v>611</v>
      </c>
      <c r="X79" s="452">
        <f t="shared" si="19"/>
        <v>0</v>
      </c>
    </row>
    <row r="80" spans="2:24" x14ac:dyDescent="0.25">
      <c r="B80">
        <v>27.22</v>
      </c>
      <c r="C80" s="15"/>
      <c r="D80" s="69">
        <f t="shared" si="17"/>
        <v>0</v>
      </c>
      <c r="E80" s="247"/>
      <c r="F80" s="69">
        <f t="shared" si="14"/>
        <v>0</v>
      </c>
      <c r="G80" s="70"/>
      <c r="H80" s="71"/>
      <c r="I80" s="450">
        <f t="shared" si="20"/>
        <v>-1.3642420526593924E-12</v>
      </c>
      <c r="J80" s="451">
        <f t="shared" si="22"/>
        <v>0</v>
      </c>
      <c r="K80" s="452">
        <f t="shared" si="18"/>
        <v>0</v>
      </c>
      <c r="O80">
        <v>27.22</v>
      </c>
      <c r="P80" s="15"/>
      <c r="Q80" s="69">
        <f t="shared" si="15"/>
        <v>0</v>
      </c>
      <c r="R80" s="247"/>
      <c r="S80" s="69">
        <f t="shared" si="16"/>
        <v>0</v>
      </c>
      <c r="T80" s="70"/>
      <c r="U80" s="71"/>
      <c r="V80" s="450">
        <f t="shared" si="21"/>
        <v>16631.419999999998</v>
      </c>
      <c r="W80" s="451">
        <f t="shared" si="23"/>
        <v>611</v>
      </c>
      <c r="X80" s="452">
        <f t="shared" si="19"/>
        <v>0</v>
      </c>
    </row>
    <row r="81" spans="2:24" x14ac:dyDescent="0.25">
      <c r="B81">
        <v>27.22</v>
      </c>
      <c r="C81" s="15"/>
      <c r="D81" s="69">
        <f t="shared" si="17"/>
        <v>0</v>
      </c>
      <c r="E81" s="247"/>
      <c r="F81" s="69">
        <f t="shared" si="14"/>
        <v>0</v>
      </c>
      <c r="G81" s="70"/>
      <c r="H81" s="71"/>
      <c r="I81" s="450">
        <f t="shared" si="20"/>
        <v>-1.3642420526593924E-12</v>
      </c>
      <c r="J81" s="451">
        <f t="shared" si="22"/>
        <v>0</v>
      </c>
      <c r="K81" s="452">
        <f t="shared" si="18"/>
        <v>0</v>
      </c>
      <c r="O81">
        <v>27.22</v>
      </c>
      <c r="P81" s="15"/>
      <c r="Q81" s="69">
        <f t="shared" si="15"/>
        <v>0</v>
      </c>
      <c r="R81" s="247"/>
      <c r="S81" s="69">
        <f t="shared" si="16"/>
        <v>0</v>
      </c>
      <c r="T81" s="70"/>
      <c r="U81" s="71"/>
      <c r="V81" s="450">
        <f t="shared" si="21"/>
        <v>16631.419999999998</v>
      </c>
      <c r="W81" s="451">
        <f t="shared" si="23"/>
        <v>611</v>
      </c>
      <c r="X81" s="452">
        <f t="shared" si="19"/>
        <v>0</v>
      </c>
    </row>
    <row r="82" spans="2:24" x14ac:dyDescent="0.25">
      <c r="B82">
        <v>27.22</v>
      </c>
      <c r="C82" s="15"/>
      <c r="D82" s="69">
        <f t="shared" si="17"/>
        <v>0</v>
      </c>
      <c r="E82" s="247"/>
      <c r="F82" s="69">
        <f t="shared" si="14"/>
        <v>0</v>
      </c>
      <c r="G82" s="70"/>
      <c r="H82" s="71"/>
      <c r="I82" s="450">
        <f t="shared" si="20"/>
        <v>-1.3642420526593924E-12</v>
      </c>
      <c r="J82" s="451">
        <f t="shared" si="22"/>
        <v>0</v>
      </c>
      <c r="K82" s="452">
        <f t="shared" si="18"/>
        <v>0</v>
      </c>
      <c r="O82">
        <v>27.22</v>
      </c>
      <c r="P82" s="15"/>
      <c r="Q82" s="69">
        <f t="shared" si="15"/>
        <v>0</v>
      </c>
      <c r="R82" s="247"/>
      <c r="S82" s="69">
        <f t="shared" si="16"/>
        <v>0</v>
      </c>
      <c r="T82" s="70"/>
      <c r="U82" s="71"/>
      <c r="V82" s="450">
        <f t="shared" si="21"/>
        <v>16631.419999999998</v>
      </c>
      <c r="W82" s="451">
        <f t="shared" si="23"/>
        <v>611</v>
      </c>
      <c r="X82" s="452">
        <f t="shared" si="19"/>
        <v>0</v>
      </c>
    </row>
    <row r="83" spans="2:24" x14ac:dyDescent="0.25">
      <c r="B83">
        <v>27.22</v>
      </c>
      <c r="C83" s="15"/>
      <c r="D83" s="69">
        <f t="shared" si="17"/>
        <v>0</v>
      </c>
      <c r="E83" s="247"/>
      <c r="F83" s="69">
        <f t="shared" si="14"/>
        <v>0</v>
      </c>
      <c r="G83" s="70"/>
      <c r="H83" s="71"/>
      <c r="I83" s="450">
        <f t="shared" si="20"/>
        <v>-1.3642420526593924E-12</v>
      </c>
      <c r="J83" s="451">
        <f t="shared" si="22"/>
        <v>0</v>
      </c>
      <c r="K83" s="452">
        <f t="shared" si="18"/>
        <v>0</v>
      </c>
      <c r="O83">
        <v>27.22</v>
      </c>
      <c r="P83" s="15"/>
      <c r="Q83" s="69">
        <f t="shared" si="15"/>
        <v>0</v>
      </c>
      <c r="R83" s="247"/>
      <c r="S83" s="69">
        <f t="shared" si="16"/>
        <v>0</v>
      </c>
      <c r="T83" s="70"/>
      <c r="U83" s="71"/>
      <c r="V83" s="450">
        <f t="shared" si="21"/>
        <v>16631.419999999998</v>
      </c>
      <c r="W83" s="451">
        <f t="shared" si="23"/>
        <v>611</v>
      </c>
      <c r="X83" s="452">
        <f t="shared" si="19"/>
        <v>0</v>
      </c>
    </row>
    <row r="84" spans="2:24" x14ac:dyDescent="0.25">
      <c r="B84">
        <v>27.22</v>
      </c>
      <c r="C84" s="15"/>
      <c r="D84" s="69">
        <f t="shared" si="17"/>
        <v>0</v>
      </c>
      <c r="E84" s="247"/>
      <c r="F84" s="69">
        <f t="shared" si="14"/>
        <v>0</v>
      </c>
      <c r="G84" s="70"/>
      <c r="H84" s="71"/>
      <c r="I84" s="450">
        <f t="shared" si="20"/>
        <v>-1.3642420526593924E-12</v>
      </c>
      <c r="J84" s="451">
        <f t="shared" si="22"/>
        <v>0</v>
      </c>
      <c r="K84" s="452">
        <f t="shared" si="18"/>
        <v>0</v>
      </c>
      <c r="O84">
        <v>27.22</v>
      </c>
      <c r="P84" s="15"/>
      <c r="Q84" s="69">
        <f t="shared" si="15"/>
        <v>0</v>
      </c>
      <c r="R84" s="247"/>
      <c r="S84" s="69">
        <f t="shared" si="16"/>
        <v>0</v>
      </c>
      <c r="T84" s="70"/>
      <c r="U84" s="71"/>
      <c r="V84" s="450">
        <f t="shared" si="21"/>
        <v>16631.419999999998</v>
      </c>
      <c r="W84" s="451">
        <f t="shared" si="23"/>
        <v>611</v>
      </c>
      <c r="X84" s="452">
        <f t="shared" si="19"/>
        <v>0</v>
      </c>
    </row>
    <row r="85" spans="2:24" x14ac:dyDescent="0.25">
      <c r="B85">
        <v>27.22</v>
      </c>
      <c r="C85" s="15"/>
      <c r="D85" s="69">
        <f t="shared" si="17"/>
        <v>0</v>
      </c>
      <c r="E85" s="247"/>
      <c r="F85" s="69">
        <f t="shared" si="14"/>
        <v>0</v>
      </c>
      <c r="G85" s="70"/>
      <c r="H85" s="71"/>
      <c r="I85" s="450">
        <f t="shared" si="20"/>
        <v>-1.3642420526593924E-12</v>
      </c>
      <c r="J85" s="451">
        <f t="shared" si="22"/>
        <v>0</v>
      </c>
      <c r="K85" s="452">
        <f t="shared" si="18"/>
        <v>0</v>
      </c>
      <c r="O85">
        <v>27.22</v>
      </c>
      <c r="P85" s="15"/>
      <c r="Q85" s="69">
        <f t="shared" si="15"/>
        <v>0</v>
      </c>
      <c r="R85" s="247"/>
      <c r="S85" s="69">
        <f t="shared" si="16"/>
        <v>0</v>
      </c>
      <c r="T85" s="70"/>
      <c r="U85" s="71"/>
      <c r="V85" s="450">
        <f t="shared" si="21"/>
        <v>16631.419999999998</v>
      </c>
      <c r="W85" s="451">
        <f t="shared" si="23"/>
        <v>611</v>
      </c>
      <c r="X85" s="452">
        <f t="shared" si="19"/>
        <v>0</v>
      </c>
    </row>
    <row r="86" spans="2:24" x14ac:dyDescent="0.25">
      <c r="B86">
        <v>27.22</v>
      </c>
      <c r="C86" s="15"/>
      <c r="D86" s="69">
        <f t="shared" si="17"/>
        <v>0</v>
      </c>
      <c r="E86" s="247"/>
      <c r="F86" s="69">
        <f t="shared" si="14"/>
        <v>0</v>
      </c>
      <c r="G86" s="70"/>
      <c r="H86" s="71"/>
      <c r="I86" s="450">
        <f t="shared" si="20"/>
        <v>-1.3642420526593924E-12</v>
      </c>
      <c r="J86" s="451">
        <f t="shared" si="22"/>
        <v>0</v>
      </c>
      <c r="K86" s="452">
        <f t="shared" si="18"/>
        <v>0</v>
      </c>
      <c r="O86">
        <v>27.22</v>
      </c>
      <c r="P86" s="15"/>
      <c r="Q86" s="69">
        <f t="shared" si="15"/>
        <v>0</v>
      </c>
      <c r="R86" s="247"/>
      <c r="S86" s="69">
        <f t="shared" si="16"/>
        <v>0</v>
      </c>
      <c r="T86" s="70"/>
      <c r="U86" s="71"/>
      <c r="V86" s="450">
        <f t="shared" si="21"/>
        <v>16631.419999999998</v>
      </c>
      <c r="W86" s="451">
        <f t="shared" si="23"/>
        <v>611</v>
      </c>
      <c r="X86" s="452">
        <f t="shared" si="19"/>
        <v>0</v>
      </c>
    </row>
    <row r="87" spans="2:24" x14ac:dyDescent="0.25">
      <c r="B87">
        <v>27.22</v>
      </c>
      <c r="C87" s="15"/>
      <c r="D87" s="69">
        <f t="shared" si="17"/>
        <v>0</v>
      </c>
      <c r="E87" s="247"/>
      <c r="F87" s="69">
        <f t="shared" si="14"/>
        <v>0</v>
      </c>
      <c r="G87" s="70"/>
      <c r="H87" s="71"/>
      <c r="I87" s="450">
        <f t="shared" si="20"/>
        <v>-1.3642420526593924E-12</v>
      </c>
      <c r="J87" s="451">
        <f t="shared" si="22"/>
        <v>0</v>
      </c>
      <c r="K87" s="452">
        <f t="shared" si="18"/>
        <v>0</v>
      </c>
      <c r="O87">
        <v>27.22</v>
      </c>
      <c r="P87" s="15"/>
      <c r="Q87" s="69">
        <f t="shared" si="15"/>
        <v>0</v>
      </c>
      <c r="R87" s="247"/>
      <c r="S87" s="69">
        <f t="shared" si="16"/>
        <v>0</v>
      </c>
      <c r="T87" s="70"/>
      <c r="U87" s="71"/>
      <c r="V87" s="450">
        <f t="shared" si="21"/>
        <v>16631.419999999998</v>
      </c>
      <c r="W87" s="451">
        <f t="shared" si="23"/>
        <v>611</v>
      </c>
      <c r="X87" s="452">
        <f t="shared" si="19"/>
        <v>0</v>
      </c>
    </row>
    <row r="88" spans="2:24" x14ac:dyDescent="0.25">
      <c r="B88">
        <v>27.22</v>
      </c>
      <c r="C88" s="15"/>
      <c r="D88" s="69">
        <f t="shared" si="17"/>
        <v>0</v>
      </c>
      <c r="E88" s="247"/>
      <c r="F88" s="69">
        <f t="shared" si="14"/>
        <v>0</v>
      </c>
      <c r="G88" s="70"/>
      <c r="H88" s="71"/>
      <c r="I88" s="450">
        <f t="shared" si="20"/>
        <v>-1.3642420526593924E-12</v>
      </c>
      <c r="J88" s="451">
        <f t="shared" si="22"/>
        <v>0</v>
      </c>
      <c r="K88" s="452">
        <f t="shared" si="18"/>
        <v>0</v>
      </c>
      <c r="O88">
        <v>27.22</v>
      </c>
      <c r="P88" s="15"/>
      <c r="Q88" s="69">
        <f t="shared" si="15"/>
        <v>0</v>
      </c>
      <c r="R88" s="247"/>
      <c r="S88" s="69">
        <f t="shared" si="16"/>
        <v>0</v>
      </c>
      <c r="T88" s="70"/>
      <c r="U88" s="71"/>
      <c r="V88" s="450">
        <f t="shared" si="21"/>
        <v>16631.419999999998</v>
      </c>
      <c r="W88" s="451">
        <f t="shared" si="23"/>
        <v>611</v>
      </c>
      <c r="X88" s="452">
        <f t="shared" si="19"/>
        <v>0</v>
      </c>
    </row>
    <row r="89" spans="2:24" x14ac:dyDescent="0.25">
      <c r="B89">
        <v>27.22</v>
      </c>
      <c r="C89" s="15"/>
      <c r="D89" s="69">
        <f t="shared" si="17"/>
        <v>0</v>
      </c>
      <c r="E89" s="247"/>
      <c r="F89" s="69">
        <f t="shared" si="14"/>
        <v>0</v>
      </c>
      <c r="G89" s="70"/>
      <c r="H89" s="71"/>
      <c r="I89" s="450">
        <f t="shared" si="20"/>
        <v>-1.3642420526593924E-12</v>
      </c>
      <c r="J89" s="451">
        <f t="shared" si="22"/>
        <v>0</v>
      </c>
      <c r="K89" s="452">
        <f t="shared" si="18"/>
        <v>0</v>
      </c>
      <c r="O89">
        <v>27.22</v>
      </c>
      <c r="P89" s="15"/>
      <c r="Q89" s="69">
        <f t="shared" si="15"/>
        <v>0</v>
      </c>
      <c r="R89" s="247"/>
      <c r="S89" s="69">
        <f t="shared" si="16"/>
        <v>0</v>
      </c>
      <c r="T89" s="70"/>
      <c r="U89" s="71"/>
      <c r="V89" s="450">
        <f t="shared" si="21"/>
        <v>16631.419999999998</v>
      </c>
      <c r="W89" s="451">
        <f t="shared" si="23"/>
        <v>611</v>
      </c>
      <c r="X89" s="452">
        <f t="shared" si="19"/>
        <v>0</v>
      </c>
    </row>
    <row r="90" spans="2:24" x14ac:dyDescent="0.25">
      <c r="B90">
        <v>27.22</v>
      </c>
      <c r="C90" s="15"/>
      <c r="D90" s="69">
        <f t="shared" si="17"/>
        <v>0</v>
      </c>
      <c r="E90" s="247"/>
      <c r="F90" s="69">
        <f t="shared" si="14"/>
        <v>0</v>
      </c>
      <c r="G90" s="70"/>
      <c r="H90" s="71"/>
      <c r="I90" s="450">
        <f t="shared" si="20"/>
        <v>-1.3642420526593924E-12</v>
      </c>
      <c r="J90" s="451">
        <f t="shared" si="22"/>
        <v>0</v>
      </c>
      <c r="K90" s="452">
        <f t="shared" si="18"/>
        <v>0</v>
      </c>
      <c r="O90">
        <v>27.22</v>
      </c>
      <c r="P90" s="15"/>
      <c r="Q90" s="69">
        <f t="shared" si="15"/>
        <v>0</v>
      </c>
      <c r="R90" s="247"/>
      <c r="S90" s="69">
        <f t="shared" si="16"/>
        <v>0</v>
      </c>
      <c r="T90" s="70"/>
      <c r="U90" s="71"/>
      <c r="V90" s="450">
        <f t="shared" si="21"/>
        <v>16631.419999999998</v>
      </c>
      <c r="W90" s="451">
        <f t="shared" si="23"/>
        <v>611</v>
      </c>
      <c r="X90" s="452">
        <f t="shared" si="19"/>
        <v>0</v>
      </c>
    </row>
    <row r="91" spans="2:24" x14ac:dyDescent="0.25">
      <c r="B91">
        <v>27.22</v>
      </c>
      <c r="C91" s="15"/>
      <c r="D91" s="69">
        <f t="shared" si="17"/>
        <v>0</v>
      </c>
      <c r="E91" s="247"/>
      <c r="F91" s="69">
        <f t="shared" si="14"/>
        <v>0</v>
      </c>
      <c r="G91" s="70"/>
      <c r="H91" s="71"/>
      <c r="I91" s="450">
        <f t="shared" si="20"/>
        <v>-1.3642420526593924E-12</v>
      </c>
      <c r="J91" s="451">
        <f t="shared" si="22"/>
        <v>0</v>
      </c>
      <c r="K91" s="452">
        <f t="shared" si="18"/>
        <v>0</v>
      </c>
      <c r="O91">
        <v>27.22</v>
      </c>
      <c r="P91" s="15"/>
      <c r="Q91" s="69">
        <f t="shared" si="15"/>
        <v>0</v>
      </c>
      <c r="R91" s="247"/>
      <c r="S91" s="69">
        <f t="shared" si="16"/>
        <v>0</v>
      </c>
      <c r="T91" s="70"/>
      <c r="U91" s="71"/>
      <c r="V91" s="450">
        <f t="shared" si="21"/>
        <v>16631.419999999998</v>
      </c>
      <c r="W91" s="451">
        <f t="shared" si="23"/>
        <v>611</v>
      </c>
      <c r="X91" s="452">
        <f t="shared" si="19"/>
        <v>0</v>
      </c>
    </row>
    <row r="92" spans="2:24" x14ac:dyDescent="0.25">
      <c r="B92">
        <v>27.22</v>
      </c>
      <c r="C92" s="15"/>
      <c r="D92" s="69">
        <f t="shared" si="17"/>
        <v>0</v>
      </c>
      <c r="E92" s="247"/>
      <c r="F92" s="69">
        <f t="shared" si="14"/>
        <v>0</v>
      </c>
      <c r="G92" s="70"/>
      <c r="H92" s="71"/>
      <c r="I92" s="450">
        <f t="shared" si="20"/>
        <v>-1.3642420526593924E-12</v>
      </c>
      <c r="J92" s="451">
        <f t="shared" si="22"/>
        <v>0</v>
      </c>
      <c r="K92" s="452">
        <f t="shared" si="18"/>
        <v>0</v>
      </c>
      <c r="O92">
        <v>27.22</v>
      </c>
      <c r="P92" s="15"/>
      <c r="Q92" s="69">
        <f t="shared" si="15"/>
        <v>0</v>
      </c>
      <c r="R92" s="247"/>
      <c r="S92" s="69">
        <f t="shared" si="16"/>
        <v>0</v>
      </c>
      <c r="T92" s="70"/>
      <c r="U92" s="71"/>
      <c r="V92" s="450">
        <f t="shared" si="21"/>
        <v>16631.419999999998</v>
      </c>
      <c r="W92" s="451">
        <f t="shared" si="23"/>
        <v>611</v>
      </c>
      <c r="X92" s="452">
        <f t="shared" si="19"/>
        <v>0</v>
      </c>
    </row>
    <row r="93" spans="2:24" x14ac:dyDescent="0.25">
      <c r="B93">
        <v>27.22</v>
      </c>
      <c r="C93" s="15"/>
      <c r="D93" s="69">
        <f t="shared" si="17"/>
        <v>0</v>
      </c>
      <c r="E93" s="247"/>
      <c r="F93" s="69">
        <f t="shared" si="14"/>
        <v>0</v>
      </c>
      <c r="G93" s="70"/>
      <c r="H93" s="71"/>
      <c r="I93" s="450">
        <f t="shared" si="20"/>
        <v>-1.3642420526593924E-12</v>
      </c>
      <c r="J93" s="451">
        <f t="shared" si="22"/>
        <v>0</v>
      </c>
      <c r="K93" s="452">
        <f t="shared" si="18"/>
        <v>0</v>
      </c>
      <c r="O93">
        <v>27.22</v>
      </c>
      <c r="P93" s="15"/>
      <c r="Q93" s="69">
        <f t="shared" si="15"/>
        <v>0</v>
      </c>
      <c r="R93" s="247"/>
      <c r="S93" s="69">
        <f t="shared" si="16"/>
        <v>0</v>
      </c>
      <c r="T93" s="70"/>
      <c r="U93" s="71"/>
      <c r="V93" s="450">
        <f t="shared" si="21"/>
        <v>16631.419999999998</v>
      </c>
      <c r="W93" s="451">
        <f t="shared" si="23"/>
        <v>611</v>
      </c>
      <c r="X93" s="452">
        <f t="shared" si="19"/>
        <v>0</v>
      </c>
    </row>
    <row r="94" spans="2:24" x14ac:dyDescent="0.25">
      <c r="B94">
        <v>27.22</v>
      </c>
      <c r="C94" s="15"/>
      <c r="D94" s="69">
        <f t="shared" si="17"/>
        <v>0</v>
      </c>
      <c r="E94" s="247"/>
      <c r="F94" s="69">
        <f t="shared" si="14"/>
        <v>0</v>
      </c>
      <c r="G94" s="70"/>
      <c r="H94" s="71"/>
      <c r="I94" s="450">
        <f t="shared" si="20"/>
        <v>-1.3642420526593924E-12</v>
      </c>
      <c r="J94" s="451">
        <f t="shared" si="22"/>
        <v>0</v>
      </c>
      <c r="K94" s="452">
        <f t="shared" si="18"/>
        <v>0</v>
      </c>
      <c r="O94">
        <v>27.22</v>
      </c>
      <c r="P94" s="15"/>
      <c r="Q94" s="69">
        <f t="shared" si="15"/>
        <v>0</v>
      </c>
      <c r="R94" s="247"/>
      <c r="S94" s="69">
        <f t="shared" si="16"/>
        <v>0</v>
      </c>
      <c r="T94" s="70"/>
      <c r="U94" s="71"/>
      <c r="V94" s="450">
        <f t="shared" si="21"/>
        <v>16631.419999999998</v>
      </c>
      <c r="W94" s="451">
        <f t="shared" si="23"/>
        <v>611</v>
      </c>
      <c r="X94" s="452">
        <f t="shared" si="19"/>
        <v>0</v>
      </c>
    </row>
    <row r="95" spans="2:24" x14ac:dyDescent="0.25">
      <c r="B95">
        <v>27.22</v>
      </c>
      <c r="C95" s="15"/>
      <c r="D95" s="69">
        <f t="shared" si="17"/>
        <v>0</v>
      </c>
      <c r="E95" s="247"/>
      <c r="F95" s="69">
        <f t="shared" si="14"/>
        <v>0</v>
      </c>
      <c r="G95" s="70"/>
      <c r="H95" s="71"/>
      <c r="I95" s="450">
        <f t="shared" si="20"/>
        <v>-1.3642420526593924E-12</v>
      </c>
      <c r="J95" s="451">
        <f t="shared" si="22"/>
        <v>0</v>
      </c>
      <c r="K95" s="452">
        <f t="shared" si="18"/>
        <v>0</v>
      </c>
      <c r="O95">
        <v>27.22</v>
      </c>
      <c r="P95" s="15"/>
      <c r="Q95" s="69">
        <f t="shared" si="15"/>
        <v>0</v>
      </c>
      <c r="R95" s="247"/>
      <c r="S95" s="69">
        <f t="shared" si="16"/>
        <v>0</v>
      </c>
      <c r="T95" s="70"/>
      <c r="U95" s="71"/>
      <c r="V95" s="450">
        <f t="shared" si="21"/>
        <v>16631.419999999998</v>
      </c>
      <c r="W95" s="451">
        <f t="shared" si="23"/>
        <v>611</v>
      </c>
      <c r="X95" s="452">
        <f t="shared" si="19"/>
        <v>0</v>
      </c>
    </row>
    <row r="96" spans="2:24" x14ac:dyDescent="0.25">
      <c r="B96">
        <v>27.22</v>
      </c>
      <c r="C96" s="15"/>
      <c r="D96" s="69">
        <f t="shared" si="17"/>
        <v>0</v>
      </c>
      <c r="E96" s="247"/>
      <c r="F96" s="69">
        <f t="shared" si="14"/>
        <v>0</v>
      </c>
      <c r="G96" s="70"/>
      <c r="H96" s="71"/>
      <c r="I96" s="450">
        <f t="shared" si="20"/>
        <v>-1.3642420526593924E-12</v>
      </c>
      <c r="J96" s="451">
        <f t="shared" si="22"/>
        <v>0</v>
      </c>
      <c r="K96" s="452">
        <f t="shared" si="18"/>
        <v>0</v>
      </c>
      <c r="O96">
        <v>27.22</v>
      </c>
      <c r="P96" s="15"/>
      <c r="Q96" s="69">
        <f t="shared" si="15"/>
        <v>0</v>
      </c>
      <c r="R96" s="247"/>
      <c r="S96" s="69">
        <f t="shared" si="16"/>
        <v>0</v>
      </c>
      <c r="T96" s="70"/>
      <c r="U96" s="71"/>
      <c r="V96" s="450">
        <f t="shared" si="21"/>
        <v>16631.419999999998</v>
      </c>
      <c r="W96" s="451">
        <f t="shared" si="23"/>
        <v>611</v>
      </c>
      <c r="X96" s="452">
        <f t="shared" si="19"/>
        <v>0</v>
      </c>
    </row>
    <row r="97" spans="2:24" x14ac:dyDescent="0.25">
      <c r="B97">
        <v>27.22</v>
      </c>
      <c r="C97" s="15"/>
      <c r="D97" s="69">
        <f t="shared" si="17"/>
        <v>0</v>
      </c>
      <c r="E97" s="247"/>
      <c r="F97" s="69">
        <f t="shared" si="14"/>
        <v>0</v>
      </c>
      <c r="G97" s="70"/>
      <c r="H97" s="71"/>
      <c r="I97" s="450">
        <f t="shared" si="20"/>
        <v>-1.3642420526593924E-12</v>
      </c>
      <c r="J97" s="451">
        <f t="shared" si="22"/>
        <v>0</v>
      </c>
      <c r="K97" s="452">
        <f t="shared" si="18"/>
        <v>0</v>
      </c>
      <c r="O97">
        <v>27.22</v>
      </c>
      <c r="P97" s="15"/>
      <c r="Q97" s="69">
        <f t="shared" si="15"/>
        <v>0</v>
      </c>
      <c r="R97" s="247"/>
      <c r="S97" s="69">
        <f t="shared" si="16"/>
        <v>0</v>
      </c>
      <c r="T97" s="70"/>
      <c r="U97" s="71"/>
      <c r="V97" s="450">
        <f t="shared" si="21"/>
        <v>16631.419999999998</v>
      </c>
      <c r="W97" s="451">
        <f t="shared" si="23"/>
        <v>611</v>
      </c>
      <c r="X97" s="452">
        <f t="shared" si="19"/>
        <v>0</v>
      </c>
    </row>
    <row r="98" spans="2:24" x14ac:dyDescent="0.25">
      <c r="B98">
        <v>27.22</v>
      </c>
      <c r="C98" s="15"/>
      <c r="D98" s="69">
        <f t="shared" si="17"/>
        <v>0</v>
      </c>
      <c r="E98" s="247"/>
      <c r="F98" s="69">
        <f t="shared" si="14"/>
        <v>0</v>
      </c>
      <c r="G98" s="70"/>
      <c r="H98" s="71"/>
      <c r="I98" s="450">
        <f t="shared" si="20"/>
        <v>-1.3642420526593924E-12</v>
      </c>
      <c r="J98" s="451">
        <f t="shared" si="22"/>
        <v>0</v>
      </c>
      <c r="K98" s="452">
        <f t="shared" si="18"/>
        <v>0</v>
      </c>
      <c r="O98">
        <v>27.22</v>
      </c>
      <c r="P98" s="15"/>
      <c r="Q98" s="69">
        <f t="shared" si="15"/>
        <v>0</v>
      </c>
      <c r="R98" s="247"/>
      <c r="S98" s="69">
        <f t="shared" si="16"/>
        <v>0</v>
      </c>
      <c r="T98" s="70"/>
      <c r="U98" s="71"/>
      <c r="V98" s="450">
        <f t="shared" si="21"/>
        <v>16631.419999999998</v>
      </c>
      <c r="W98" s="451">
        <f t="shared" si="23"/>
        <v>611</v>
      </c>
      <c r="X98" s="452">
        <f t="shared" si="19"/>
        <v>0</v>
      </c>
    </row>
    <row r="99" spans="2:24" x14ac:dyDescent="0.25">
      <c r="B99">
        <v>27.22</v>
      </c>
      <c r="C99" s="15"/>
      <c r="D99" s="69">
        <f t="shared" si="17"/>
        <v>0</v>
      </c>
      <c r="E99" s="247"/>
      <c r="F99" s="69">
        <f t="shared" si="14"/>
        <v>0</v>
      </c>
      <c r="G99" s="70"/>
      <c r="H99" s="71"/>
      <c r="I99" s="450">
        <f t="shared" si="20"/>
        <v>-1.3642420526593924E-12</v>
      </c>
      <c r="J99" s="451">
        <f t="shared" si="22"/>
        <v>0</v>
      </c>
      <c r="K99" s="452">
        <f t="shared" si="18"/>
        <v>0</v>
      </c>
      <c r="O99">
        <v>27.22</v>
      </c>
      <c r="P99" s="15"/>
      <c r="Q99" s="69">
        <f t="shared" si="15"/>
        <v>0</v>
      </c>
      <c r="R99" s="247"/>
      <c r="S99" s="69">
        <f t="shared" si="16"/>
        <v>0</v>
      </c>
      <c r="T99" s="70"/>
      <c r="U99" s="71"/>
      <c r="V99" s="450">
        <f t="shared" si="21"/>
        <v>16631.419999999998</v>
      </c>
      <c r="W99" s="451">
        <f t="shared" si="23"/>
        <v>611</v>
      </c>
      <c r="X99" s="452">
        <f t="shared" si="19"/>
        <v>0</v>
      </c>
    </row>
    <row r="100" spans="2:24" x14ac:dyDescent="0.25">
      <c r="B100">
        <v>27.22</v>
      </c>
      <c r="C100" s="15"/>
      <c r="D100" s="69">
        <f t="shared" si="17"/>
        <v>0</v>
      </c>
      <c r="E100" s="247"/>
      <c r="F100" s="69">
        <f t="shared" si="14"/>
        <v>0</v>
      </c>
      <c r="G100" s="70"/>
      <c r="H100" s="71"/>
      <c r="I100" s="450">
        <f t="shared" si="20"/>
        <v>-1.3642420526593924E-12</v>
      </c>
      <c r="J100" s="451">
        <f t="shared" si="22"/>
        <v>0</v>
      </c>
      <c r="K100" s="452">
        <f t="shared" si="18"/>
        <v>0</v>
      </c>
      <c r="O100">
        <v>27.22</v>
      </c>
      <c r="P100" s="15"/>
      <c r="Q100" s="69">
        <f t="shared" si="15"/>
        <v>0</v>
      </c>
      <c r="R100" s="247"/>
      <c r="S100" s="69">
        <f t="shared" si="16"/>
        <v>0</v>
      </c>
      <c r="T100" s="70"/>
      <c r="U100" s="71"/>
      <c r="V100" s="450">
        <f t="shared" si="21"/>
        <v>16631.419999999998</v>
      </c>
      <c r="W100" s="451">
        <f t="shared" si="23"/>
        <v>611</v>
      </c>
      <c r="X100" s="452">
        <f t="shared" si="19"/>
        <v>0</v>
      </c>
    </row>
    <row r="101" spans="2:24" x14ac:dyDescent="0.25">
      <c r="B101">
        <v>27.22</v>
      </c>
      <c r="C101" s="15"/>
      <c r="D101" s="69">
        <f t="shared" si="17"/>
        <v>0</v>
      </c>
      <c r="E101" s="247"/>
      <c r="F101" s="69">
        <f t="shared" si="14"/>
        <v>0</v>
      </c>
      <c r="G101" s="70"/>
      <c r="H101" s="71"/>
      <c r="I101" s="450">
        <f t="shared" si="20"/>
        <v>-1.3642420526593924E-12</v>
      </c>
      <c r="J101" s="451">
        <f t="shared" si="22"/>
        <v>0</v>
      </c>
      <c r="K101" s="452">
        <f t="shared" si="18"/>
        <v>0</v>
      </c>
      <c r="O101">
        <v>27.22</v>
      </c>
      <c r="P101" s="15"/>
      <c r="Q101" s="69">
        <f t="shared" si="15"/>
        <v>0</v>
      </c>
      <c r="R101" s="247"/>
      <c r="S101" s="69">
        <f t="shared" si="16"/>
        <v>0</v>
      </c>
      <c r="T101" s="70"/>
      <c r="U101" s="71"/>
      <c r="V101" s="450">
        <f t="shared" si="21"/>
        <v>16631.419999999998</v>
      </c>
      <c r="W101" s="451">
        <f t="shared" si="23"/>
        <v>611</v>
      </c>
      <c r="X101" s="452">
        <f t="shared" si="19"/>
        <v>0</v>
      </c>
    </row>
    <row r="102" spans="2:24" x14ac:dyDescent="0.25">
      <c r="B102">
        <v>27.22</v>
      </c>
      <c r="C102" s="15"/>
      <c r="D102" s="69">
        <f t="shared" si="17"/>
        <v>0</v>
      </c>
      <c r="E102" s="247"/>
      <c r="F102" s="69">
        <f t="shared" si="14"/>
        <v>0</v>
      </c>
      <c r="G102" s="70"/>
      <c r="H102" s="71"/>
      <c r="I102" s="450">
        <f t="shared" si="20"/>
        <v>-1.3642420526593924E-12</v>
      </c>
      <c r="J102" s="451">
        <f t="shared" si="22"/>
        <v>0</v>
      </c>
      <c r="K102" s="452">
        <f t="shared" si="18"/>
        <v>0</v>
      </c>
      <c r="O102">
        <v>27.22</v>
      </c>
      <c r="P102" s="15"/>
      <c r="Q102" s="69">
        <f t="shared" si="15"/>
        <v>0</v>
      </c>
      <c r="R102" s="247"/>
      <c r="S102" s="69">
        <f t="shared" si="16"/>
        <v>0</v>
      </c>
      <c r="T102" s="70"/>
      <c r="U102" s="71"/>
      <c r="V102" s="450">
        <f t="shared" si="21"/>
        <v>16631.419999999998</v>
      </c>
      <c r="W102" s="451">
        <f t="shared" si="23"/>
        <v>611</v>
      </c>
      <c r="X102" s="452">
        <f t="shared" si="19"/>
        <v>0</v>
      </c>
    </row>
    <row r="103" spans="2:24" x14ac:dyDescent="0.25">
      <c r="B103">
        <v>27.22</v>
      </c>
      <c r="C103" s="15"/>
      <c r="D103" s="69">
        <f t="shared" si="17"/>
        <v>0</v>
      </c>
      <c r="E103" s="247"/>
      <c r="F103" s="69">
        <f t="shared" si="14"/>
        <v>0</v>
      </c>
      <c r="G103" s="70"/>
      <c r="H103" s="71"/>
      <c r="I103" s="450">
        <f t="shared" si="20"/>
        <v>-1.3642420526593924E-12</v>
      </c>
      <c r="J103" s="451">
        <f t="shared" si="22"/>
        <v>0</v>
      </c>
      <c r="K103" s="452">
        <f t="shared" si="18"/>
        <v>0</v>
      </c>
      <c r="O103">
        <v>27.22</v>
      </c>
      <c r="P103" s="15"/>
      <c r="Q103" s="69">
        <f t="shared" si="15"/>
        <v>0</v>
      </c>
      <c r="R103" s="247"/>
      <c r="S103" s="69">
        <f t="shared" si="16"/>
        <v>0</v>
      </c>
      <c r="T103" s="70"/>
      <c r="U103" s="71"/>
      <c r="V103" s="450">
        <f t="shared" si="21"/>
        <v>16631.419999999998</v>
      </c>
      <c r="W103" s="451">
        <f t="shared" si="23"/>
        <v>611</v>
      </c>
      <c r="X103" s="452">
        <f t="shared" si="19"/>
        <v>0</v>
      </c>
    </row>
    <row r="104" spans="2:24" x14ac:dyDescent="0.25">
      <c r="B104">
        <v>27.22</v>
      </c>
      <c r="C104" s="15"/>
      <c r="D104" s="69">
        <f t="shared" si="17"/>
        <v>0</v>
      </c>
      <c r="E104" s="247"/>
      <c r="F104" s="69">
        <f t="shared" si="14"/>
        <v>0</v>
      </c>
      <c r="G104" s="70"/>
      <c r="H104" s="71"/>
      <c r="I104" s="450">
        <f t="shared" si="20"/>
        <v>-1.3642420526593924E-12</v>
      </c>
      <c r="J104" s="451">
        <f t="shared" si="22"/>
        <v>0</v>
      </c>
      <c r="K104" s="452">
        <f t="shared" si="18"/>
        <v>0</v>
      </c>
      <c r="O104">
        <v>27.22</v>
      </c>
      <c r="P104" s="15"/>
      <c r="Q104" s="69">
        <f t="shared" si="15"/>
        <v>0</v>
      </c>
      <c r="R104" s="247"/>
      <c r="S104" s="69">
        <f t="shared" si="16"/>
        <v>0</v>
      </c>
      <c r="T104" s="70"/>
      <c r="U104" s="71"/>
      <c r="V104" s="450">
        <f t="shared" si="21"/>
        <v>16631.419999999998</v>
      </c>
      <c r="W104" s="451">
        <f t="shared" si="23"/>
        <v>611</v>
      </c>
      <c r="X104" s="452">
        <f t="shared" si="19"/>
        <v>0</v>
      </c>
    </row>
    <row r="105" spans="2:24" x14ac:dyDescent="0.25">
      <c r="B105">
        <v>27.22</v>
      </c>
      <c r="C105" s="15"/>
      <c r="D105" s="69">
        <f t="shared" si="17"/>
        <v>0</v>
      </c>
      <c r="E105" s="247"/>
      <c r="F105" s="69">
        <f t="shared" si="14"/>
        <v>0</v>
      </c>
      <c r="G105" s="70"/>
      <c r="H105" s="71"/>
      <c r="I105" s="450">
        <f t="shared" si="20"/>
        <v>-1.3642420526593924E-12</v>
      </c>
      <c r="J105" s="451">
        <f t="shared" si="22"/>
        <v>0</v>
      </c>
      <c r="K105" s="452">
        <f t="shared" si="18"/>
        <v>0</v>
      </c>
      <c r="O105">
        <v>27.22</v>
      </c>
      <c r="P105" s="15"/>
      <c r="Q105" s="69">
        <f t="shared" si="15"/>
        <v>0</v>
      </c>
      <c r="R105" s="247"/>
      <c r="S105" s="69">
        <f t="shared" si="16"/>
        <v>0</v>
      </c>
      <c r="T105" s="70"/>
      <c r="U105" s="71"/>
      <c r="V105" s="450">
        <f t="shared" si="21"/>
        <v>16631.419999999998</v>
      </c>
      <c r="W105" s="451">
        <f t="shared" si="23"/>
        <v>611</v>
      </c>
      <c r="X105" s="452">
        <f t="shared" si="19"/>
        <v>0</v>
      </c>
    </row>
    <row r="106" spans="2:24" x14ac:dyDescent="0.25">
      <c r="B106">
        <v>27.22</v>
      </c>
      <c r="C106" s="15"/>
      <c r="D106" s="69">
        <f t="shared" si="17"/>
        <v>0</v>
      </c>
      <c r="E106" s="247"/>
      <c r="F106" s="69">
        <f t="shared" si="14"/>
        <v>0</v>
      </c>
      <c r="G106" s="70"/>
      <c r="H106" s="71"/>
      <c r="I106" s="450">
        <f t="shared" si="20"/>
        <v>-1.3642420526593924E-12</v>
      </c>
      <c r="J106" s="451">
        <f t="shared" si="22"/>
        <v>0</v>
      </c>
      <c r="K106" s="452">
        <f t="shared" si="18"/>
        <v>0</v>
      </c>
      <c r="O106">
        <v>27.22</v>
      </c>
      <c r="P106" s="15"/>
      <c r="Q106" s="69">
        <f t="shared" si="15"/>
        <v>0</v>
      </c>
      <c r="R106" s="247"/>
      <c r="S106" s="69">
        <f t="shared" si="16"/>
        <v>0</v>
      </c>
      <c r="T106" s="70"/>
      <c r="U106" s="71"/>
      <c r="V106" s="450">
        <f t="shared" si="21"/>
        <v>16631.419999999998</v>
      </c>
      <c r="W106" s="451">
        <f t="shared" si="23"/>
        <v>611</v>
      </c>
      <c r="X106" s="452">
        <f t="shared" si="19"/>
        <v>0</v>
      </c>
    </row>
    <row r="107" spans="2:24" x14ac:dyDescent="0.25">
      <c r="B107">
        <v>27.22</v>
      </c>
      <c r="C107" s="15"/>
      <c r="D107" s="69">
        <f t="shared" si="17"/>
        <v>0</v>
      </c>
      <c r="E107" s="247"/>
      <c r="F107" s="69">
        <f t="shared" si="14"/>
        <v>0</v>
      </c>
      <c r="G107" s="70"/>
      <c r="H107" s="71"/>
      <c r="I107" s="450">
        <f t="shared" si="20"/>
        <v>-1.3642420526593924E-12</v>
      </c>
      <c r="J107" s="451">
        <f t="shared" si="22"/>
        <v>0</v>
      </c>
      <c r="K107" s="452">
        <f t="shared" si="18"/>
        <v>0</v>
      </c>
      <c r="O107">
        <v>27.22</v>
      </c>
      <c r="P107" s="15"/>
      <c r="Q107" s="69">
        <f t="shared" si="15"/>
        <v>0</v>
      </c>
      <c r="R107" s="247"/>
      <c r="S107" s="69">
        <f t="shared" si="16"/>
        <v>0</v>
      </c>
      <c r="T107" s="70"/>
      <c r="U107" s="71"/>
      <c r="V107" s="450">
        <f t="shared" si="21"/>
        <v>16631.419999999998</v>
      </c>
      <c r="W107" s="451">
        <f t="shared" si="23"/>
        <v>611</v>
      </c>
      <c r="X107" s="452">
        <f t="shared" si="19"/>
        <v>0</v>
      </c>
    </row>
    <row r="108" spans="2:24" x14ac:dyDescent="0.25">
      <c r="B108">
        <v>27.22</v>
      </c>
      <c r="C108" s="15"/>
      <c r="D108" s="69">
        <f t="shared" si="17"/>
        <v>0</v>
      </c>
      <c r="E108" s="247"/>
      <c r="F108" s="69">
        <f t="shared" si="14"/>
        <v>0</v>
      </c>
      <c r="G108" s="70"/>
      <c r="H108" s="71"/>
      <c r="I108" s="450">
        <f t="shared" si="20"/>
        <v>-1.3642420526593924E-12</v>
      </c>
      <c r="J108" s="451">
        <f t="shared" si="22"/>
        <v>0</v>
      </c>
      <c r="K108" s="452">
        <f t="shared" si="18"/>
        <v>0</v>
      </c>
      <c r="O108">
        <v>27.22</v>
      </c>
      <c r="P108" s="15"/>
      <c r="Q108" s="69">
        <f t="shared" si="15"/>
        <v>0</v>
      </c>
      <c r="R108" s="247"/>
      <c r="S108" s="69">
        <f t="shared" si="16"/>
        <v>0</v>
      </c>
      <c r="T108" s="70"/>
      <c r="U108" s="71"/>
      <c r="V108" s="450">
        <f t="shared" si="21"/>
        <v>16631.419999999998</v>
      </c>
      <c r="W108" s="451">
        <f t="shared" si="23"/>
        <v>611</v>
      </c>
      <c r="X108" s="452">
        <f t="shared" si="19"/>
        <v>0</v>
      </c>
    </row>
    <row r="109" spans="2:24" x14ac:dyDescent="0.25">
      <c r="B109">
        <v>27.22</v>
      </c>
      <c r="C109" s="15"/>
      <c r="D109" s="69">
        <f t="shared" si="17"/>
        <v>0</v>
      </c>
      <c r="E109" s="247"/>
      <c r="F109" s="69">
        <f t="shared" si="14"/>
        <v>0</v>
      </c>
      <c r="G109" s="70"/>
      <c r="H109" s="71"/>
      <c r="I109" s="450">
        <f t="shared" si="20"/>
        <v>-1.3642420526593924E-12</v>
      </c>
      <c r="J109" s="451">
        <f t="shared" si="22"/>
        <v>0</v>
      </c>
      <c r="K109" s="452">
        <f t="shared" si="18"/>
        <v>0</v>
      </c>
      <c r="O109">
        <v>27.22</v>
      </c>
      <c r="P109" s="15"/>
      <c r="Q109" s="69">
        <f t="shared" si="15"/>
        <v>0</v>
      </c>
      <c r="R109" s="247"/>
      <c r="S109" s="69">
        <f t="shared" si="16"/>
        <v>0</v>
      </c>
      <c r="T109" s="70"/>
      <c r="U109" s="71"/>
      <c r="V109" s="450">
        <f t="shared" si="21"/>
        <v>16631.419999999998</v>
      </c>
      <c r="W109" s="451">
        <f t="shared" si="23"/>
        <v>611</v>
      </c>
      <c r="X109" s="452">
        <f t="shared" si="19"/>
        <v>0</v>
      </c>
    </row>
    <row r="110" spans="2:24" x14ac:dyDescent="0.25">
      <c r="B110">
        <v>27.22</v>
      </c>
      <c r="C110" s="15"/>
      <c r="D110" s="69">
        <f t="shared" si="17"/>
        <v>0</v>
      </c>
      <c r="E110" s="247"/>
      <c r="F110" s="69">
        <f t="shared" si="14"/>
        <v>0</v>
      </c>
      <c r="G110" s="70"/>
      <c r="H110" s="71"/>
      <c r="I110" s="450">
        <f t="shared" si="20"/>
        <v>-1.3642420526593924E-12</v>
      </c>
      <c r="J110" s="451">
        <f t="shared" si="22"/>
        <v>0</v>
      </c>
      <c r="K110" s="452">
        <f t="shared" si="18"/>
        <v>0</v>
      </c>
      <c r="O110">
        <v>27.22</v>
      </c>
      <c r="P110" s="15"/>
      <c r="Q110" s="69">
        <f t="shared" si="15"/>
        <v>0</v>
      </c>
      <c r="R110" s="247"/>
      <c r="S110" s="69">
        <f t="shared" si="16"/>
        <v>0</v>
      </c>
      <c r="T110" s="70"/>
      <c r="U110" s="71"/>
      <c r="V110" s="450">
        <f t="shared" si="21"/>
        <v>16631.419999999998</v>
      </c>
      <c r="W110" s="451">
        <f t="shared" si="23"/>
        <v>611</v>
      </c>
      <c r="X110" s="452">
        <f t="shared" si="19"/>
        <v>0</v>
      </c>
    </row>
    <row r="111" spans="2:24" x14ac:dyDescent="0.25">
      <c r="B111">
        <v>27.22</v>
      </c>
      <c r="C111" s="15"/>
      <c r="D111" s="69">
        <f t="shared" si="17"/>
        <v>0</v>
      </c>
      <c r="E111" s="247"/>
      <c r="F111" s="69">
        <f t="shared" si="14"/>
        <v>0</v>
      </c>
      <c r="G111" s="70"/>
      <c r="H111" s="71"/>
      <c r="I111" s="450">
        <f t="shared" si="20"/>
        <v>-1.3642420526593924E-12</v>
      </c>
      <c r="J111" s="451">
        <f t="shared" si="22"/>
        <v>0</v>
      </c>
      <c r="K111" s="452">
        <f t="shared" si="18"/>
        <v>0</v>
      </c>
      <c r="O111">
        <v>27.22</v>
      </c>
      <c r="P111" s="15"/>
      <c r="Q111" s="69">
        <f t="shared" si="15"/>
        <v>0</v>
      </c>
      <c r="R111" s="247"/>
      <c r="S111" s="69">
        <f t="shared" si="16"/>
        <v>0</v>
      </c>
      <c r="T111" s="70"/>
      <c r="U111" s="71"/>
      <c r="V111" s="450">
        <f t="shared" si="21"/>
        <v>16631.419999999998</v>
      </c>
      <c r="W111" s="451">
        <f t="shared" si="23"/>
        <v>611</v>
      </c>
      <c r="X111" s="452">
        <f t="shared" si="19"/>
        <v>0</v>
      </c>
    </row>
    <row r="112" spans="2:24" x14ac:dyDescent="0.25">
      <c r="B112">
        <v>27.22</v>
      </c>
      <c r="C112" s="15"/>
      <c r="D112" s="69">
        <f t="shared" si="17"/>
        <v>0</v>
      </c>
      <c r="E112" s="247"/>
      <c r="F112" s="69">
        <f t="shared" si="14"/>
        <v>0</v>
      </c>
      <c r="G112" s="70"/>
      <c r="H112" s="71"/>
      <c r="I112" s="450">
        <f t="shared" si="20"/>
        <v>-1.3642420526593924E-12</v>
      </c>
      <c r="J112" s="451">
        <f t="shared" si="22"/>
        <v>0</v>
      </c>
      <c r="K112" s="452">
        <f t="shared" si="18"/>
        <v>0</v>
      </c>
      <c r="O112">
        <v>27.22</v>
      </c>
      <c r="P112" s="15"/>
      <c r="Q112" s="69">
        <f t="shared" si="15"/>
        <v>0</v>
      </c>
      <c r="R112" s="247"/>
      <c r="S112" s="69">
        <f t="shared" si="16"/>
        <v>0</v>
      </c>
      <c r="T112" s="70"/>
      <c r="U112" s="71"/>
      <c r="V112" s="450">
        <f t="shared" si="21"/>
        <v>16631.419999999998</v>
      </c>
      <c r="W112" s="451">
        <f t="shared" si="23"/>
        <v>611</v>
      </c>
      <c r="X112" s="452">
        <f t="shared" si="19"/>
        <v>0</v>
      </c>
    </row>
    <row r="113" spans="1:24" ht="15.75" thickBot="1" x14ac:dyDescent="0.3">
      <c r="A113">
        <f>SUM(A59:A60)</f>
        <v>0</v>
      </c>
      <c r="B113">
        <v>27.22</v>
      </c>
      <c r="C113" s="15"/>
      <c r="D113" s="69">
        <f t="shared" si="17"/>
        <v>0</v>
      </c>
      <c r="E113" s="247"/>
      <c r="F113" s="69">
        <f t="shared" si="14"/>
        <v>0</v>
      </c>
      <c r="G113" s="70"/>
      <c r="H113" s="71"/>
      <c r="I113" s="450">
        <f t="shared" si="20"/>
        <v>-1.3642420526593924E-12</v>
      </c>
      <c r="J113" s="451">
        <f t="shared" si="22"/>
        <v>0</v>
      </c>
      <c r="K113" s="453">
        <f t="shared" si="18"/>
        <v>0</v>
      </c>
      <c r="N113">
        <f>SUM(N59:N60)</f>
        <v>0</v>
      </c>
      <c r="O113">
        <v>27.22</v>
      </c>
      <c r="P113" s="15"/>
      <c r="Q113" s="69">
        <f t="shared" si="15"/>
        <v>0</v>
      </c>
      <c r="R113" s="247"/>
      <c r="S113" s="69">
        <f t="shared" si="16"/>
        <v>0</v>
      </c>
      <c r="T113" s="70"/>
      <c r="U113" s="71"/>
      <c r="V113" s="450">
        <f t="shared" si="21"/>
        <v>16631.419999999998</v>
      </c>
      <c r="W113" s="451">
        <f t="shared" si="23"/>
        <v>611</v>
      </c>
      <c r="X113" s="453">
        <f t="shared" si="19"/>
        <v>0</v>
      </c>
    </row>
    <row r="114" spans="1:24" ht="16.5" thickTop="1" thickBot="1" x14ac:dyDescent="0.3">
      <c r="B114">
        <v>27.22</v>
      </c>
      <c r="C114" s="36"/>
      <c r="D114" s="69">
        <f t="shared" si="17"/>
        <v>0</v>
      </c>
      <c r="E114" s="157"/>
      <c r="F114" s="150">
        <f t="shared" si="14"/>
        <v>0</v>
      </c>
      <c r="G114" s="139"/>
      <c r="H114" s="71"/>
      <c r="K114" s="71">
        <f t="shared" si="18"/>
        <v>0</v>
      </c>
      <c r="O114">
        <v>27.22</v>
      </c>
      <c r="P114" s="36"/>
      <c r="Q114" s="69">
        <f t="shared" si="15"/>
        <v>0</v>
      </c>
      <c r="R114" s="157"/>
      <c r="S114" s="150">
        <f t="shared" si="16"/>
        <v>0</v>
      </c>
      <c r="T114" s="139"/>
      <c r="U114" s="928"/>
      <c r="V114" s="24"/>
      <c r="W114" s="24"/>
      <c r="X114" s="199">
        <f t="shared" si="19"/>
        <v>0</v>
      </c>
    </row>
    <row r="115" spans="1:24" x14ac:dyDescent="0.25">
      <c r="C115" s="53">
        <f>SUM(C9:C114)</f>
        <v>680</v>
      </c>
      <c r="D115" s="6">
        <f>SUM(D9:D114)</f>
        <v>18509.599999999999</v>
      </c>
      <c r="F115" s="6">
        <f>SUM(F9:F114)</f>
        <v>18509.599999999999</v>
      </c>
      <c r="P115" s="53">
        <f>SUM(P9:P114)</f>
        <v>72</v>
      </c>
      <c r="Q115" s="6">
        <f>SUM(Q9:Q114)</f>
        <v>1959.84</v>
      </c>
      <c r="S115" s="6">
        <f>SUM(S9:S114)</f>
        <v>1959.84</v>
      </c>
    </row>
    <row r="117" spans="1:24" ht="15.75" thickBot="1" x14ac:dyDescent="0.3"/>
    <row r="118" spans="1:24" ht="15.75" thickBot="1" x14ac:dyDescent="0.3">
      <c r="D118" s="45" t="s">
        <v>4</v>
      </c>
      <c r="E118" s="56">
        <f>F5-C115+F4+F6</f>
        <v>0</v>
      </c>
      <c r="Q118" s="45" t="s">
        <v>4</v>
      </c>
      <c r="R118" s="56">
        <f>S5-P115+S4+S6</f>
        <v>611</v>
      </c>
    </row>
    <row r="119" spans="1:24" ht="15.75" thickBot="1" x14ac:dyDescent="0.3"/>
    <row r="120" spans="1:24" ht="15.75" thickBot="1" x14ac:dyDescent="0.3">
      <c r="C120" s="1056" t="s">
        <v>11</v>
      </c>
      <c r="D120" s="1057"/>
      <c r="E120" s="57">
        <f>E4+E5+E6-F115</f>
        <v>0</v>
      </c>
      <c r="G120" s="47"/>
      <c r="H120" s="91"/>
      <c r="P120" s="1056" t="s">
        <v>11</v>
      </c>
      <c r="Q120" s="1057"/>
      <c r="R120" s="57">
        <f>R4+R5+R6-S115</f>
        <v>16631.419999999998</v>
      </c>
      <c r="T120" s="47"/>
      <c r="U120" s="91"/>
    </row>
  </sheetData>
  <sortState ref="P9:U10">
    <sortCondition ref="T9:T10"/>
  </sortState>
  <mergeCells count="6">
    <mergeCell ref="A1:J1"/>
    <mergeCell ref="C120:D120"/>
    <mergeCell ref="A5:A6"/>
    <mergeCell ref="N1:W1"/>
    <mergeCell ref="N5:N6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L1" zoomScaleNormal="100" workbookViewId="0">
      <pane ySplit="8" topLeftCell="A9" activePane="bottomLeft" state="frozen"/>
      <selection activeCell="B1" sqref="B1"/>
      <selection pane="bottomLeft" activeCell="N12" sqref="N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054" t="s">
        <v>286</v>
      </c>
      <c r="B1" s="1054"/>
      <c r="C1" s="1054"/>
      <c r="D1" s="1054"/>
      <c r="E1" s="1054"/>
      <c r="F1" s="1054"/>
      <c r="G1" s="1054"/>
      <c r="H1" s="11">
        <v>1</v>
      </c>
      <c r="K1" s="1058" t="s">
        <v>306</v>
      </c>
      <c r="L1" s="1058"/>
      <c r="M1" s="1058"/>
      <c r="N1" s="1058"/>
      <c r="O1" s="1058"/>
      <c r="P1" s="1058"/>
      <c r="Q1" s="105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245"/>
      <c r="D4" s="134"/>
      <c r="E4" s="124">
        <v>38.299999999999997</v>
      </c>
      <c r="F4" s="73">
        <v>4</v>
      </c>
      <c r="G4" s="73"/>
      <c r="L4" s="83"/>
      <c r="M4" s="245"/>
      <c r="N4" s="134"/>
      <c r="O4" s="124">
        <v>36.46</v>
      </c>
      <c r="P4" s="73">
        <v>1</v>
      </c>
      <c r="Q4" s="73"/>
    </row>
    <row r="5" spans="1:19" ht="15.75" customHeight="1" x14ac:dyDescent="0.25">
      <c r="A5" s="1052" t="s">
        <v>102</v>
      </c>
      <c r="B5" s="357" t="s">
        <v>67</v>
      </c>
      <c r="C5" s="128">
        <v>146</v>
      </c>
      <c r="D5" s="134">
        <v>44711</v>
      </c>
      <c r="E5" s="124">
        <v>1005.44</v>
      </c>
      <c r="F5" s="73">
        <v>63</v>
      </c>
      <c r="G5" s="47">
        <f>F68</f>
        <v>3055.3700000000003</v>
      </c>
      <c r="H5" s="7">
        <f>E5-G5+E4+E6+E7</f>
        <v>-2.2737367544323206E-13</v>
      </c>
      <c r="K5" s="1052" t="s">
        <v>458</v>
      </c>
      <c r="L5" s="357" t="s">
        <v>67</v>
      </c>
      <c r="M5" s="128">
        <v>143</v>
      </c>
      <c r="N5" s="134">
        <v>44824</v>
      </c>
      <c r="O5" s="124">
        <v>943.62</v>
      </c>
      <c r="P5" s="73">
        <v>46</v>
      </c>
      <c r="Q5" s="47">
        <f>P68</f>
        <v>98.59</v>
      </c>
      <c r="R5" s="7">
        <f>O5-Q5+O4+O6+O7</f>
        <v>881.49</v>
      </c>
    </row>
    <row r="6" spans="1:19" ht="15" customHeight="1" x14ac:dyDescent="0.25">
      <c r="A6" s="1052"/>
      <c r="B6" s="601" t="s">
        <v>68</v>
      </c>
      <c r="C6" s="128">
        <v>146</v>
      </c>
      <c r="D6" s="233">
        <v>44739</v>
      </c>
      <c r="E6" s="78">
        <v>2011.63</v>
      </c>
      <c r="F6" s="62">
        <v>114</v>
      </c>
      <c r="K6" s="1052"/>
      <c r="L6" s="601" t="s">
        <v>68</v>
      </c>
      <c r="M6" s="128"/>
      <c r="N6" s="233"/>
      <c r="O6" s="78"/>
      <c r="P6" s="62"/>
    </row>
    <row r="7" spans="1:19" ht="15.75" thickBot="1" x14ac:dyDescent="0.3">
      <c r="B7" s="73"/>
      <c r="C7" s="128"/>
      <c r="D7" s="233"/>
      <c r="E7" s="105"/>
      <c r="F7" s="73"/>
      <c r="L7" s="73"/>
      <c r="M7" s="128"/>
      <c r="N7" s="233"/>
      <c r="O7" s="105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83">
        <f>F4+F5+F6+F7-C9</f>
        <v>173</v>
      </c>
      <c r="C9" s="53">
        <v>8</v>
      </c>
      <c r="D9" s="69">
        <v>114.23</v>
      </c>
      <c r="E9" s="247">
        <v>44722</v>
      </c>
      <c r="F9" s="69">
        <f t="shared" ref="F9:F10" si="0">D9</f>
        <v>114.23</v>
      </c>
      <c r="G9" s="70" t="s">
        <v>111</v>
      </c>
      <c r="H9" s="71">
        <v>148</v>
      </c>
      <c r="I9" s="78">
        <f>E6+E5+E4-F9+E7</f>
        <v>2941.1400000000003</v>
      </c>
      <c r="K9" s="55" t="s">
        <v>32</v>
      </c>
      <c r="L9" s="183">
        <f>P4+P5+P6+P7-M9</f>
        <v>42</v>
      </c>
      <c r="M9" s="53">
        <v>5</v>
      </c>
      <c r="N9" s="69">
        <v>98.59</v>
      </c>
      <c r="O9" s="247">
        <v>44834</v>
      </c>
      <c r="P9" s="69">
        <f t="shared" ref="P9:P67" si="1">N9</f>
        <v>98.59</v>
      </c>
      <c r="Q9" s="70" t="s">
        <v>738</v>
      </c>
      <c r="R9" s="71">
        <v>148</v>
      </c>
      <c r="S9" s="78">
        <f>O6+O5+O4-P9+O7</f>
        <v>881.49</v>
      </c>
    </row>
    <row r="10" spans="1:19" x14ac:dyDescent="0.25">
      <c r="A10" s="77"/>
      <c r="B10" s="183">
        <f t="shared" ref="B10:B67" si="2">B9-C10</f>
        <v>163</v>
      </c>
      <c r="C10" s="53">
        <v>10</v>
      </c>
      <c r="D10" s="69">
        <v>142.46</v>
      </c>
      <c r="E10" s="247">
        <v>44725</v>
      </c>
      <c r="F10" s="69">
        <f t="shared" si="0"/>
        <v>142.46</v>
      </c>
      <c r="G10" s="70" t="s">
        <v>112</v>
      </c>
      <c r="H10" s="71">
        <v>148</v>
      </c>
      <c r="I10" s="78">
        <f t="shared" ref="I10:I67" si="3">I9-F10</f>
        <v>2798.6800000000003</v>
      </c>
      <c r="K10" s="77"/>
      <c r="L10" s="183">
        <f t="shared" ref="L10:L52" si="4">L9-M10</f>
        <v>42</v>
      </c>
      <c r="M10" s="53"/>
      <c r="N10" s="69"/>
      <c r="O10" s="247"/>
      <c r="P10" s="69">
        <f t="shared" si="1"/>
        <v>0</v>
      </c>
      <c r="Q10" s="70"/>
      <c r="R10" s="71"/>
      <c r="S10" s="78">
        <f t="shared" ref="S10:S52" si="5">S9-P10</f>
        <v>881.49</v>
      </c>
    </row>
    <row r="11" spans="1:19" x14ac:dyDescent="0.25">
      <c r="A11" s="12"/>
      <c r="B11" s="183">
        <f t="shared" si="2"/>
        <v>161</v>
      </c>
      <c r="C11" s="53">
        <v>2</v>
      </c>
      <c r="D11" s="69">
        <v>36.950000000000003</v>
      </c>
      <c r="E11" s="247">
        <v>44725</v>
      </c>
      <c r="F11" s="69">
        <f t="shared" ref="F11:F67" si="6">D11</f>
        <v>36.950000000000003</v>
      </c>
      <c r="G11" s="70" t="s">
        <v>113</v>
      </c>
      <c r="H11" s="71">
        <v>148</v>
      </c>
      <c r="I11" s="78">
        <f t="shared" si="3"/>
        <v>2761.7300000000005</v>
      </c>
      <c r="K11" s="12"/>
      <c r="L11" s="183">
        <f t="shared" si="4"/>
        <v>42</v>
      </c>
      <c r="M11" s="53"/>
      <c r="N11" s="69"/>
      <c r="O11" s="247"/>
      <c r="P11" s="69">
        <f t="shared" si="1"/>
        <v>0</v>
      </c>
      <c r="Q11" s="70"/>
      <c r="R11" s="71"/>
      <c r="S11" s="78">
        <f t="shared" si="5"/>
        <v>881.49</v>
      </c>
    </row>
    <row r="12" spans="1:19" x14ac:dyDescent="0.25">
      <c r="A12" s="55" t="s">
        <v>33</v>
      </c>
      <c r="B12" s="183">
        <f t="shared" si="2"/>
        <v>160</v>
      </c>
      <c r="C12" s="53">
        <v>1</v>
      </c>
      <c r="D12" s="69">
        <v>15.56</v>
      </c>
      <c r="E12" s="247">
        <v>44727</v>
      </c>
      <c r="F12" s="69">
        <f t="shared" si="6"/>
        <v>15.56</v>
      </c>
      <c r="G12" s="70" t="s">
        <v>114</v>
      </c>
      <c r="H12" s="71">
        <v>148</v>
      </c>
      <c r="I12" s="78">
        <f t="shared" si="3"/>
        <v>2746.1700000000005</v>
      </c>
      <c r="K12" s="55" t="s">
        <v>33</v>
      </c>
      <c r="L12" s="183">
        <f t="shared" si="4"/>
        <v>42</v>
      </c>
      <c r="M12" s="53"/>
      <c r="N12" s="69"/>
      <c r="O12" s="247"/>
      <c r="P12" s="69">
        <f t="shared" si="1"/>
        <v>0</v>
      </c>
      <c r="Q12" s="70"/>
      <c r="R12" s="71"/>
      <c r="S12" s="78">
        <f t="shared" si="5"/>
        <v>881.49</v>
      </c>
    </row>
    <row r="13" spans="1:19" x14ac:dyDescent="0.25">
      <c r="A13" s="77"/>
      <c r="B13" s="183">
        <f t="shared" si="2"/>
        <v>159</v>
      </c>
      <c r="C13" s="53">
        <v>1</v>
      </c>
      <c r="D13" s="69">
        <v>11.41</v>
      </c>
      <c r="E13" s="247">
        <v>44729</v>
      </c>
      <c r="F13" s="69">
        <f t="shared" si="6"/>
        <v>11.41</v>
      </c>
      <c r="G13" s="70" t="s">
        <v>115</v>
      </c>
      <c r="H13" s="71">
        <v>148</v>
      </c>
      <c r="I13" s="78">
        <f t="shared" si="3"/>
        <v>2734.7600000000007</v>
      </c>
      <c r="K13" s="77"/>
      <c r="L13" s="183">
        <f t="shared" si="4"/>
        <v>42</v>
      </c>
      <c r="M13" s="53"/>
      <c r="N13" s="69"/>
      <c r="O13" s="247"/>
      <c r="P13" s="69">
        <f t="shared" si="1"/>
        <v>0</v>
      </c>
      <c r="Q13" s="70"/>
      <c r="R13" s="71"/>
      <c r="S13" s="78">
        <f t="shared" si="5"/>
        <v>881.49</v>
      </c>
    </row>
    <row r="14" spans="1:19" x14ac:dyDescent="0.25">
      <c r="A14" s="12"/>
      <c r="B14" s="183">
        <f t="shared" si="2"/>
        <v>158</v>
      </c>
      <c r="C14" s="53">
        <v>1</v>
      </c>
      <c r="D14" s="69">
        <v>18.75</v>
      </c>
      <c r="E14" s="247">
        <v>44730</v>
      </c>
      <c r="F14" s="69">
        <f t="shared" si="6"/>
        <v>18.75</v>
      </c>
      <c r="G14" s="70" t="s">
        <v>116</v>
      </c>
      <c r="H14" s="71">
        <v>148</v>
      </c>
      <c r="I14" s="78">
        <f t="shared" si="3"/>
        <v>2716.0100000000007</v>
      </c>
      <c r="K14" s="12"/>
      <c r="L14" s="183">
        <f t="shared" si="4"/>
        <v>42</v>
      </c>
      <c r="M14" s="53"/>
      <c r="N14" s="69"/>
      <c r="O14" s="247"/>
      <c r="P14" s="69">
        <f t="shared" si="1"/>
        <v>0</v>
      </c>
      <c r="Q14" s="70"/>
      <c r="R14" s="71"/>
      <c r="S14" s="78">
        <f t="shared" si="5"/>
        <v>881.49</v>
      </c>
    </row>
    <row r="15" spans="1:19" x14ac:dyDescent="0.25">
      <c r="B15" s="183">
        <f t="shared" si="2"/>
        <v>148</v>
      </c>
      <c r="C15" s="53">
        <v>10</v>
      </c>
      <c r="D15" s="69">
        <v>163.25</v>
      </c>
      <c r="E15" s="247">
        <v>44730</v>
      </c>
      <c r="F15" s="69">
        <f t="shared" si="6"/>
        <v>163.25</v>
      </c>
      <c r="G15" s="70" t="s">
        <v>117</v>
      </c>
      <c r="H15" s="71">
        <v>148</v>
      </c>
      <c r="I15" s="78">
        <f t="shared" si="3"/>
        <v>2552.7600000000007</v>
      </c>
      <c r="L15" s="183">
        <f t="shared" si="4"/>
        <v>42</v>
      </c>
      <c r="M15" s="53"/>
      <c r="N15" s="69"/>
      <c r="O15" s="247"/>
      <c r="P15" s="69">
        <f t="shared" si="1"/>
        <v>0</v>
      </c>
      <c r="Q15" s="70"/>
      <c r="R15" s="71"/>
      <c r="S15" s="78">
        <f t="shared" si="5"/>
        <v>881.49</v>
      </c>
    </row>
    <row r="16" spans="1:19" x14ac:dyDescent="0.25">
      <c r="B16" s="183">
        <f t="shared" si="2"/>
        <v>147</v>
      </c>
      <c r="C16" s="53">
        <v>1</v>
      </c>
      <c r="D16" s="69">
        <v>20.7</v>
      </c>
      <c r="E16" s="247">
        <v>44732</v>
      </c>
      <c r="F16" s="69">
        <f t="shared" si="6"/>
        <v>20.7</v>
      </c>
      <c r="G16" s="70" t="s">
        <v>118</v>
      </c>
      <c r="H16" s="71">
        <v>148</v>
      </c>
      <c r="I16" s="78">
        <f t="shared" si="3"/>
        <v>2532.0600000000009</v>
      </c>
      <c r="L16" s="183">
        <f t="shared" si="4"/>
        <v>42</v>
      </c>
      <c r="M16" s="53"/>
      <c r="N16" s="69"/>
      <c r="O16" s="247"/>
      <c r="P16" s="69">
        <f t="shared" si="1"/>
        <v>0</v>
      </c>
      <c r="Q16" s="70"/>
      <c r="R16" s="71"/>
      <c r="S16" s="78">
        <f t="shared" si="5"/>
        <v>881.49</v>
      </c>
    </row>
    <row r="17" spans="2:19" x14ac:dyDescent="0.25">
      <c r="B17" s="183">
        <f t="shared" si="2"/>
        <v>142</v>
      </c>
      <c r="C17" s="53">
        <v>5</v>
      </c>
      <c r="D17" s="69">
        <v>85.76</v>
      </c>
      <c r="E17" s="247">
        <v>44732</v>
      </c>
      <c r="F17" s="69">
        <f t="shared" si="6"/>
        <v>85.76</v>
      </c>
      <c r="G17" s="70" t="s">
        <v>119</v>
      </c>
      <c r="H17" s="71">
        <v>148</v>
      </c>
      <c r="I17" s="78">
        <f t="shared" si="3"/>
        <v>2446.3000000000006</v>
      </c>
      <c r="L17" s="183">
        <f t="shared" si="4"/>
        <v>42</v>
      </c>
      <c r="M17" s="53"/>
      <c r="N17" s="69"/>
      <c r="O17" s="247"/>
      <c r="P17" s="69">
        <f t="shared" si="1"/>
        <v>0</v>
      </c>
      <c r="Q17" s="70"/>
      <c r="R17" s="71"/>
      <c r="S17" s="78">
        <f t="shared" si="5"/>
        <v>881.49</v>
      </c>
    </row>
    <row r="18" spans="2:19" x14ac:dyDescent="0.25">
      <c r="B18" s="183">
        <f t="shared" si="2"/>
        <v>141</v>
      </c>
      <c r="C18" s="53">
        <v>1</v>
      </c>
      <c r="D18" s="69">
        <v>17.170000000000002</v>
      </c>
      <c r="E18" s="247">
        <v>44732</v>
      </c>
      <c r="F18" s="69">
        <f t="shared" si="6"/>
        <v>17.170000000000002</v>
      </c>
      <c r="G18" s="70" t="s">
        <v>119</v>
      </c>
      <c r="H18" s="71">
        <v>148</v>
      </c>
      <c r="I18" s="78">
        <f t="shared" si="3"/>
        <v>2429.1300000000006</v>
      </c>
      <c r="L18" s="183">
        <f t="shared" si="4"/>
        <v>42</v>
      </c>
      <c r="M18" s="53"/>
      <c r="N18" s="69"/>
      <c r="O18" s="247"/>
      <c r="P18" s="69">
        <f t="shared" si="1"/>
        <v>0</v>
      </c>
      <c r="Q18" s="70"/>
      <c r="R18" s="71"/>
      <c r="S18" s="78">
        <f t="shared" si="5"/>
        <v>881.49</v>
      </c>
    </row>
    <row r="19" spans="2:19" x14ac:dyDescent="0.25">
      <c r="B19" s="183">
        <f t="shared" si="2"/>
        <v>137</v>
      </c>
      <c r="C19" s="53">
        <v>4</v>
      </c>
      <c r="D19" s="69">
        <v>66.72</v>
      </c>
      <c r="E19" s="247">
        <v>44733</v>
      </c>
      <c r="F19" s="69">
        <f t="shared" si="6"/>
        <v>66.72</v>
      </c>
      <c r="G19" s="70" t="s">
        <v>120</v>
      </c>
      <c r="H19" s="71">
        <v>148</v>
      </c>
      <c r="I19" s="78">
        <f t="shared" si="3"/>
        <v>2362.4100000000008</v>
      </c>
      <c r="L19" s="183">
        <f t="shared" si="4"/>
        <v>42</v>
      </c>
      <c r="M19" s="53"/>
      <c r="N19" s="69"/>
      <c r="O19" s="247"/>
      <c r="P19" s="69">
        <f t="shared" si="1"/>
        <v>0</v>
      </c>
      <c r="Q19" s="70"/>
      <c r="R19" s="71"/>
      <c r="S19" s="78">
        <f t="shared" si="5"/>
        <v>881.49</v>
      </c>
    </row>
    <row r="20" spans="2:19" x14ac:dyDescent="0.25">
      <c r="B20" s="183">
        <f t="shared" si="2"/>
        <v>131</v>
      </c>
      <c r="C20" s="53">
        <v>6</v>
      </c>
      <c r="D20" s="69">
        <v>97.87</v>
      </c>
      <c r="E20" s="247">
        <v>44733</v>
      </c>
      <c r="F20" s="69">
        <f t="shared" si="6"/>
        <v>97.87</v>
      </c>
      <c r="G20" s="70" t="s">
        <v>120</v>
      </c>
      <c r="H20" s="71">
        <v>148</v>
      </c>
      <c r="I20" s="78">
        <f t="shared" si="3"/>
        <v>2264.5400000000009</v>
      </c>
      <c r="L20" s="183">
        <f t="shared" si="4"/>
        <v>42</v>
      </c>
      <c r="M20" s="53"/>
      <c r="N20" s="69"/>
      <c r="O20" s="247"/>
      <c r="P20" s="69">
        <f t="shared" si="1"/>
        <v>0</v>
      </c>
      <c r="Q20" s="70"/>
      <c r="R20" s="71"/>
      <c r="S20" s="78">
        <f t="shared" si="5"/>
        <v>881.49</v>
      </c>
    </row>
    <row r="21" spans="2:19" x14ac:dyDescent="0.25">
      <c r="B21" s="183">
        <f t="shared" si="2"/>
        <v>126</v>
      </c>
      <c r="C21" s="53">
        <v>5</v>
      </c>
      <c r="D21" s="69">
        <v>75.930000000000007</v>
      </c>
      <c r="E21" s="247">
        <v>44734</v>
      </c>
      <c r="F21" s="69">
        <f t="shared" si="6"/>
        <v>75.930000000000007</v>
      </c>
      <c r="G21" s="70" t="s">
        <v>121</v>
      </c>
      <c r="H21" s="71">
        <v>148</v>
      </c>
      <c r="I21" s="78">
        <f t="shared" si="3"/>
        <v>2188.610000000001</v>
      </c>
      <c r="L21" s="183">
        <f t="shared" si="4"/>
        <v>42</v>
      </c>
      <c r="M21" s="53"/>
      <c r="N21" s="69"/>
      <c r="O21" s="247"/>
      <c r="P21" s="69">
        <f t="shared" si="1"/>
        <v>0</v>
      </c>
      <c r="Q21" s="70"/>
      <c r="R21" s="71"/>
      <c r="S21" s="78">
        <f t="shared" si="5"/>
        <v>881.49</v>
      </c>
    </row>
    <row r="22" spans="2:19" x14ac:dyDescent="0.25">
      <c r="B22" s="183">
        <f t="shared" si="2"/>
        <v>125</v>
      </c>
      <c r="C22" s="53">
        <v>1</v>
      </c>
      <c r="D22" s="69">
        <v>11.31</v>
      </c>
      <c r="E22" s="247">
        <v>44737</v>
      </c>
      <c r="F22" s="69">
        <f t="shared" si="6"/>
        <v>11.31</v>
      </c>
      <c r="G22" s="70" t="s">
        <v>122</v>
      </c>
      <c r="H22" s="71">
        <v>148</v>
      </c>
      <c r="I22" s="78">
        <f t="shared" si="3"/>
        <v>2177.3000000000011</v>
      </c>
      <c r="L22" s="183">
        <f t="shared" si="4"/>
        <v>42</v>
      </c>
      <c r="M22" s="53"/>
      <c r="N22" s="69"/>
      <c r="O22" s="247"/>
      <c r="P22" s="69">
        <f t="shared" si="1"/>
        <v>0</v>
      </c>
      <c r="Q22" s="70"/>
      <c r="R22" s="71"/>
      <c r="S22" s="78">
        <f t="shared" si="5"/>
        <v>881.49</v>
      </c>
    </row>
    <row r="23" spans="2:19" x14ac:dyDescent="0.25">
      <c r="B23" s="183">
        <f t="shared" si="2"/>
        <v>117</v>
      </c>
      <c r="C23" s="53">
        <v>8</v>
      </c>
      <c r="D23" s="69">
        <v>116</v>
      </c>
      <c r="E23" s="247">
        <v>44739</v>
      </c>
      <c r="F23" s="69">
        <f t="shared" si="6"/>
        <v>116</v>
      </c>
      <c r="G23" s="70" t="s">
        <v>123</v>
      </c>
      <c r="H23" s="71">
        <v>148</v>
      </c>
      <c r="I23" s="78">
        <f t="shared" si="3"/>
        <v>2061.3000000000011</v>
      </c>
      <c r="L23" s="183">
        <f t="shared" si="4"/>
        <v>42</v>
      </c>
      <c r="M23" s="53"/>
      <c r="N23" s="69"/>
      <c r="O23" s="247"/>
      <c r="P23" s="69">
        <f t="shared" si="1"/>
        <v>0</v>
      </c>
      <c r="Q23" s="70"/>
      <c r="R23" s="71"/>
      <c r="S23" s="78">
        <f t="shared" si="5"/>
        <v>881.49</v>
      </c>
    </row>
    <row r="24" spans="2:19" x14ac:dyDescent="0.25">
      <c r="B24" s="183">
        <f t="shared" si="2"/>
        <v>112</v>
      </c>
      <c r="C24" s="53">
        <v>5</v>
      </c>
      <c r="D24" s="69">
        <v>85.46</v>
      </c>
      <c r="E24" s="247">
        <v>44740</v>
      </c>
      <c r="F24" s="69">
        <f t="shared" si="6"/>
        <v>85.46</v>
      </c>
      <c r="G24" s="70" t="s">
        <v>124</v>
      </c>
      <c r="H24" s="71">
        <v>148</v>
      </c>
      <c r="I24" s="78">
        <f t="shared" si="3"/>
        <v>1975.8400000000011</v>
      </c>
      <c r="L24" s="183">
        <f t="shared" si="4"/>
        <v>42</v>
      </c>
      <c r="M24" s="53"/>
      <c r="N24" s="69"/>
      <c r="O24" s="247"/>
      <c r="P24" s="69">
        <f t="shared" si="1"/>
        <v>0</v>
      </c>
      <c r="Q24" s="70"/>
      <c r="R24" s="71"/>
      <c r="S24" s="78">
        <f t="shared" si="5"/>
        <v>881.49</v>
      </c>
    </row>
    <row r="25" spans="2:19" x14ac:dyDescent="0.25">
      <c r="B25" s="183">
        <f t="shared" si="2"/>
        <v>111</v>
      </c>
      <c r="C25" s="53">
        <v>1</v>
      </c>
      <c r="D25" s="69">
        <v>21.49</v>
      </c>
      <c r="E25" s="247">
        <v>44740</v>
      </c>
      <c r="F25" s="69">
        <f t="shared" si="6"/>
        <v>21.49</v>
      </c>
      <c r="G25" s="70" t="s">
        <v>125</v>
      </c>
      <c r="H25" s="71">
        <v>148</v>
      </c>
      <c r="I25" s="78">
        <f t="shared" si="3"/>
        <v>1954.350000000001</v>
      </c>
      <c r="L25" s="183">
        <f t="shared" si="4"/>
        <v>42</v>
      </c>
      <c r="M25" s="53"/>
      <c r="N25" s="69"/>
      <c r="O25" s="247"/>
      <c r="P25" s="69">
        <f t="shared" si="1"/>
        <v>0</v>
      </c>
      <c r="Q25" s="70"/>
      <c r="R25" s="71"/>
      <c r="S25" s="78">
        <f t="shared" si="5"/>
        <v>881.49</v>
      </c>
    </row>
    <row r="26" spans="2:19" x14ac:dyDescent="0.25">
      <c r="B26" s="183">
        <f t="shared" si="2"/>
        <v>108</v>
      </c>
      <c r="C26" s="53">
        <v>3</v>
      </c>
      <c r="D26" s="69">
        <v>53.95</v>
      </c>
      <c r="E26" s="247">
        <v>44744</v>
      </c>
      <c r="F26" s="69">
        <f t="shared" si="6"/>
        <v>53.95</v>
      </c>
      <c r="G26" s="70" t="s">
        <v>127</v>
      </c>
      <c r="H26" s="71">
        <v>148</v>
      </c>
      <c r="I26" s="78">
        <f t="shared" si="3"/>
        <v>1900.400000000001</v>
      </c>
      <c r="L26" s="183">
        <f t="shared" si="4"/>
        <v>42</v>
      </c>
      <c r="M26" s="53"/>
      <c r="N26" s="69"/>
      <c r="O26" s="247"/>
      <c r="P26" s="69">
        <f t="shared" si="1"/>
        <v>0</v>
      </c>
      <c r="Q26" s="70"/>
      <c r="R26" s="71"/>
      <c r="S26" s="78">
        <f t="shared" si="5"/>
        <v>881.49</v>
      </c>
    </row>
    <row r="27" spans="2:19" x14ac:dyDescent="0.25">
      <c r="B27" s="183">
        <f t="shared" si="2"/>
        <v>98</v>
      </c>
      <c r="C27" s="53">
        <v>10</v>
      </c>
      <c r="D27" s="69">
        <v>168.45</v>
      </c>
      <c r="E27" s="247">
        <v>44745</v>
      </c>
      <c r="F27" s="69">
        <f t="shared" si="6"/>
        <v>168.45</v>
      </c>
      <c r="G27" s="70" t="s">
        <v>128</v>
      </c>
      <c r="H27" s="71">
        <v>148</v>
      </c>
      <c r="I27" s="78">
        <f t="shared" si="3"/>
        <v>1731.950000000001</v>
      </c>
      <c r="L27" s="183">
        <f t="shared" si="4"/>
        <v>42</v>
      </c>
      <c r="M27" s="53"/>
      <c r="N27" s="69"/>
      <c r="O27" s="247"/>
      <c r="P27" s="69">
        <f t="shared" si="1"/>
        <v>0</v>
      </c>
      <c r="Q27" s="70"/>
      <c r="R27" s="71"/>
      <c r="S27" s="78">
        <f t="shared" si="5"/>
        <v>881.49</v>
      </c>
    </row>
    <row r="28" spans="2:19" x14ac:dyDescent="0.25">
      <c r="B28" s="183">
        <f t="shared" si="2"/>
        <v>96</v>
      </c>
      <c r="C28" s="53">
        <v>2</v>
      </c>
      <c r="D28" s="554">
        <v>30.65</v>
      </c>
      <c r="E28" s="603">
        <v>44751</v>
      </c>
      <c r="F28" s="554">
        <f t="shared" si="6"/>
        <v>30.65</v>
      </c>
      <c r="G28" s="331" t="s">
        <v>143</v>
      </c>
      <c r="H28" s="332">
        <v>148</v>
      </c>
      <c r="I28" s="78">
        <f t="shared" si="3"/>
        <v>1701.3000000000009</v>
      </c>
      <c r="L28" s="183">
        <f t="shared" si="4"/>
        <v>42</v>
      </c>
      <c r="M28" s="53"/>
      <c r="N28" s="69"/>
      <c r="O28" s="247"/>
      <c r="P28" s="69">
        <f t="shared" si="1"/>
        <v>0</v>
      </c>
      <c r="Q28" s="70"/>
      <c r="R28" s="71"/>
      <c r="S28" s="78">
        <f t="shared" si="5"/>
        <v>881.49</v>
      </c>
    </row>
    <row r="29" spans="2:19" x14ac:dyDescent="0.25">
      <c r="B29" s="183">
        <f t="shared" si="2"/>
        <v>86</v>
      </c>
      <c r="C29" s="53">
        <v>10</v>
      </c>
      <c r="D29" s="554">
        <v>156.88</v>
      </c>
      <c r="E29" s="603">
        <v>44753</v>
      </c>
      <c r="F29" s="554">
        <f t="shared" si="6"/>
        <v>156.88</v>
      </c>
      <c r="G29" s="331" t="s">
        <v>144</v>
      </c>
      <c r="H29" s="332">
        <v>148</v>
      </c>
      <c r="I29" s="78">
        <f t="shared" si="3"/>
        <v>1544.420000000001</v>
      </c>
      <c r="L29" s="183">
        <f t="shared" si="4"/>
        <v>42</v>
      </c>
      <c r="M29" s="53"/>
      <c r="N29" s="69"/>
      <c r="O29" s="247"/>
      <c r="P29" s="69">
        <f t="shared" si="1"/>
        <v>0</v>
      </c>
      <c r="Q29" s="70"/>
      <c r="R29" s="71"/>
      <c r="S29" s="78">
        <f t="shared" si="5"/>
        <v>881.49</v>
      </c>
    </row>
    <row r="30" spans="2:19" x14ac:dyDescent="0.25">
      <c r="B30" s="183">
        <f t="shared" si="2"/>
        <v>85</v>
      </c>
      <c r="C30" s="53">
        <v>1</v>
      </c>
      <c r="D30" s="554">
        <v>19.149999999999999</v>
      </c>
      <c r="E30" s="603">
        <v>44758</v>
      </c>
      <c r="F30" s="554">
        <f t="shared" si="6"/>
        <v>19.149999999999999</v>
      </c>
      <c r="G30" s="331" t="s">
        <v>155</v>
      </c>
      <c r="H30" s="332">
        <v>148</v>
      </c>
      <c r="I30" s="78">
        <f t="shared" si="3"/>
        <v>1525.2700000000009</v>
      </c>
      <c r="L30" s="183">
        <f t="shared" si="4"/>
        <v>42</v>
      </c>
      <c r="M30" s="53"/>
      <c r="N30" s="69"/>
      <c r="O30" s="247"/>
      <c r="P30" s="69">
        <f t="shared" si="1"/>
        <v>0</v>
      </c>
      <c r="Q30" s="70"/>
      <c r="R30" s="71"/>
      <c r="S30" s="78">
        <f t="shared" si="5"/>
        <v>881.49</v>
      </c>
    </row>
    <row r="31" spans="2:19" x14ac:dyDescent="0.25">
      <c r="B31" s="183">
        <f t="shared" si="2"/>
        <v>84</v>
      </c>
      <c r="C31" s="15">
        <v>1</v>
      </c>
      <c r="D31" s="554">
        <v>18.05</v>
      </c>
      <c r="E31" s="603">
        <v>44760</v>
      </c>
      <c r="F31" s="554">
        <f t="shared" si="6"/>
        <v>18.05</v>
      </c>
      <c r="G31" s="331" t="s">
        <v>157</v>
      </c>
      <c r="H31" s="332">
        <v>148</v>
      </c>
      <c r="I31" s="78">
        <f t="shared" si="3"/>
        <v>1507.2200000000009</v>
      </c>
      <c r="L31" s="183">
        <f t="shared" si="4"/>
        <v>42</v>
      </c>
      <c r="M31" s="15"/>
      <c r="N31" s="69"/>
      <c r="O31" s="247"/>
      <c r="P31" s="69">
        <f t="shared" si="1"/>
        <v>0</v>
      </c>
      <c r="Q31" s="70"/>
      <c r="R31" s="71"/>
      <c r="S31" s="78">
        <f t="shared" si="5"/>
        <v>881.49</v>
      </c>
    </row>
    <row r="32" spans="2:19" x14ac:dyDescent="0.25">
      <c r="B32" s="183">
        <f t="shared" si="2"/>
        <v>82</v>
      </c>
      <c r="C32" s="15">
        <v>2</v>
      </c>
      <c r="D32" s="554">
        <v>35.75</v>
      </c>
      <c r="E32" s="603">
        <v>44764</v>
      </c>
      <c r="F32" s="554">
        <f t="shared" si="6"/>
        <v>35.75</v>
      </c>
      <c r="G32" s="331" t="s">
        <v>163</v>
      </c>
      <c r="H32" s="332">
        <v>148</v>
      </c>
      <c r="I32" s="78">
        <f t="shared" si="3"/>
        <v>1471.4700000000009</v>
      </c>
      <c r="L32" s="183">
        <f t="shared" si="4"/>
        <v>42</v>
      </c>
      <c r="M32" s="15"/>
      <c r="N32" s="69"/>
      <c r="O32" s="247"/>
      <c r="P32" s="69">
        <f t="shared" si="1"/>
        <v>0</v>
      </c>
      <c r="Q32" s="70"/>
      <c r="R32" s="71"/>
      <c r="S32" s="78">
        <f t="shared" si="5"/>
        <v>881.49</v>
      </c>
    </row>
    <row r="33" spans="2:19" x14ac:dyDescent="0.25">
      <c r="B33" s="183">
        <f t="shared" si="2"/>
        <v>72</v>
      </c>
      <c r="C33" s="15">
        <v>10</v>
      </c>
      <c r="D33" s="554">
        <v>178.49</v>
      </c>
      <c r="E33" s="603">
        <v>44764</v>
      </c>
      <c r="F33" s="554">
        <f t="shared" si="6"/>
        <v>178.49</v>
      </c>
      <c r="G33" s="331" t="s">
        <v>164</v>
      </c>
      <c r="H33" s="332">
        <v>148</v>
      </c>
      <c r="I33" s="78">
        <f t="shared" si="3"/>
        <v>1292.9800000000009</v>
      </c>
      <c r="L33" s="183">
        <f t="shared" si="4"/>
        <v>42</v>
      </c>
      <c r="M33" s="15"/>
      <c r="N33" s="69"/>
      <c r="O33" s="247"/>
      <c r="P33" s="69">
        <f t="shared" si="1"/>
        <v>0</v>
      </c>
      <c r="Q33" s="70"/>
      <c r="R33" s="71"/>
      <c r="S33" s="78">
        <f t="shared" si="5"/>
        <v>881.49</v>
      </c>
    </row>
    <row r="34" spans="2:19" x14ac:dyDescent="0.25">
      <c r="B34" s="183">
        <f t="shared" si="2"/>
        <v>69</v>
      </c>
      <c r="C34" s="15">
        <v>3</v>
      </c>
      <c r="D34" s="554">
        <v>52.4</v>
      </c>
      <c r="E34" s="603">
        <v>44769</v>
      </c>
      <c r="F34" s="554">
        <f t="shared" si="6"/>
        <v>52.4</v>
      </c>
      <c r="G34" s="331" t="s">
        <v>169</v>
      </c>
      <c r="H34" s="332">
        <v>148</v>
      </c>
      <c r="I34" s="78">
        <f t="shared" si="3"/>
        <v>1240.5800000000008</v>
      </c>
      <c r="L34" s="183">
        <f t="shared" si="4"/>
        <v>42</v>
      </c>
      <c r="M34" s="15"/>
      <c r="N34" s="69"/>
      <c r="O34" s="247"/>
      <c r="P34" s="69">
        <f t="shared" si="1"/>
        <v>0</v>
      </c>
      <c r="Q34" s="70"/>
      <c r="R34" s="71"/>
      <c r="S34" s="78">
        <f t="shared" si="5"/>
        <v>881.49</v>
      </c>
    </row>
    <row r="35" spans="2:19" x14ac:dyDescent="0.25">
      <c r="B35" s="183">
        <f t="shared" si="2"/>
        <v>67</v>
      </c>
      <c r="C35" s="15">
        <v>2</v>
      </c>
      <c r="D35" s="554">
        <v>36.94</v>
      </c>
      <c r="E35" s="603">
        <v>44770</v>
      </c>
      <c r="F35" s="554">
        <f t="shared" si="6"/>
        <v>36.94</v>
      </c>
      <c r="G35" s="331" t="s">
        <v>171</v>
      </c>
      <c r="H35" s="332">
        <v>148</v>
      </c>
      <c r="I35" s="78">
        <f t="shared" si="3"/>
        <v>1203.6400000000008</v>
      </c>
      <c r="L35" s="183">
        <f t="shared" si="4"/>
        <v>42</v>
      </c>
      <c r="M35" s="15"/>
      <c r="N35" s="69"/>
      <c r="O35" s="247"/>
      <c r="P35" s="69">
        <f t="shared" si="1"/>
        <v>0</v>
      </c>
      <c r="Q35" s="70"/>
      <c r="R35" s="71"/>
      <c r="S35" s="78">
        <f t="shared" si="5"/>
        <v>881.49</v>
      </c>
    </row>
    <row r="36" spans="2:19" x14ac:dyDescent="0.25">
      <c r="B36" s="183">
        <f t="shared" si="2"/>
        <v>56</v>
      </c>
      <c r="C36" s="15">
        <v>11</v>
      </c>
      <c r="D36" s="694">
        <v>195.14</v>
      </c>
      <c r="E36" s="701">
        <v>44774</v>
      </c>
      <c r="F36" s="694">
        <f t="shared" si="6"/>
        <v>195.14</v>
      </c>
      <c r="G36" s="696" t="s">
        <v>186</v>
      </c>
      <c r="H36" s="388">
        <v>148</v>
      </c>
      <c r="I36" s="78">
        <f t="shared" si="3"/>
        <v>1008.5000000000008</v>
      </c>
      <c r="L36" s="183">
        <f t="shared" si="4"/>
        <v>42</v>
      </c>
      <c r="M36" s="15"/>
      <c r="N36" s="69"/>
      <c r="O36" s="247"/>
      <c r="P36" s="69">
        <f t="shared" si="1"/>
        <v>0</v>
      </c>
      <c r="Q36" s="70"/>
      <c r="R36" s="71"/>
      <c r="S36" s="78">
        <f t="shared" si="5"/>
        <v>881.49</v>
      </c>
    </row>
    <row r="37" spans="2:19" x14ac:dyDescent="0.25">
      <c r="B37" s="183">
        <f t="shared" si="2"/>
        <v>55</v>
      </c>
      <c r="C37" s="15">
        <v>1</v>
      </c>
      <c r="D37" s="694">
        <v>18.100000000000001</v>
      </c>
      <c r="E37" s="701">
        <v>44775</v>
      </c>
      <c r="F37" s="694">
        <f t="shared" si="6"/>
        <v>18.100000000000001</v>
      </c>
      <c r="G37" s="696" t="s">
        <v>187</v>
      </c>
      <c r="H37" s="388">
        <v>148</v>
      </c>
      <c r="I37" s="78">
        <f t="shared" si="3"/>
        <v>990.40000000000077</v>
      </c>
      <c r="L37" s="183">
        <f t="shared" si="4"/>
        <v>42</v>
      </c>
      <c r="M37" s="15"/>
      <c r="N37" s="69"/>
      <c r="O37" s="247"/>
      <c r="P37" s="69">
        <f t="shared" si="1"/>
        <v>0</v>
      </c>
      <c r="Q37" s="70"/>
      <c r="R37" s="71"/>
      <c r="S37" s="78">
        <f t="shared" si="5"/>
        <v>881.49</v>
      </c>
    </row>
    <row r="38" spans="2:19" x14ac:dyDescent="0.25">
      <c r="B38" s="183">
        <f t="shared" si="2"/>
        <v>54</v>
      </c>
      <c r="C38" s="15">
        <v>1</v>
      </c>
      <c r="D38" s="694">
        <v>18.5</v>
      </c>
      <c r="E38" s="701">
        <v>44777</v>
      </c>
      <c r="F38" s="694">
        <f t="shared" si="6"/>
        <v>18.5</v>
      </c>
      <c r="G38" s="696" t="s">
        <v>194</v>
      </c>
      <c r="H38" s="388">
        <v>148</v>
      </c>
      <c r="I38" s="78">
        <f t="shared" si="3"/>
        <v>971.90000000000077</v>
      </c>
      <c r="L38" s="183">
        <f t="shared" si="4"/>
        <v>42</v>
      </c>
      <c r="M38" s="15"/>
      <c r="N38" s="69"/>
      <c r="O38" s="247"/>
      <c r="P38" s="69">
        <f t="shared" si="1"/>
        <v>0</v>
      </c>
      <c r="Q38" s="70"/>
      <c r="R38" s="71"/>
      <c r="S38" s="78">
        <f t="shared" si="5"/>
        <v>881.49</v>
      </c>
    </row>
    <row r="39" spans="2:19" x14ac:dyDescent="0.25">
      <c r="B39" s="183">
        <f t="shared" si="2"/>
        <v>53</v>
      </c>
      <c r="C39" s="15">
        <v>1</v>
      </c>
      <c r="D39" s="694">
        <v>18</v>
      </c>
      <c r="E39" s="701">
        <v>44782</v>
      </c>
      <c r="F39" s="694">
        <f t="shared" si="6"/>
        <v>18</v>
      </c>
      <c r="G39" s="696" t="s">
        <v>209</v>
      </c>
      <c r="H39" s="388">
        <v>148</v>
      </c>
      <c r="I39" s="78">
        <f t="shared" si="3"/>
        <v>953.90000000000077</v>
      </c>
      <c r="L39" s="183">
        <f t="shared" si="4"/>
        <v>42</v>
      </c>
      <c r="M39" s="15"/>
      <c r="N39" s="69"/>
      <c r="O39" s="247"/>
      <c r="P39" s="69">
        <f t="shared" si="1"/>
        <v>0</v>
      </c>
      <c r="Q39" s="70"/>
      <c r="R39" s="71"/>
      <c r="S39" s="78">
        <f t="shared" si="5"/>
        <v>881.49</v>
      </c>
    </row>
    <row r="40" spans="2:19" x14ac:dyDescent="0.25">
      <c r="B40" s="183">
        <f t="shared" si="2"/>
        <v>52</v>
      </c>
      <c r="C40" s="15">
        <v>1</v>
      </c>
      <c r="D40" s="694">
        <v>18.45</v>
      </c>
      <c r="E40" s="701">
        <v>44786</v>
      </c>
      <c r="F40" s="694">
        <f t="shared" si="6"/>
        <v>18.45</v>
      </c>
      <c r="G40" s="696" t="s">
        <v>223</v>
      </c>
      <c r="H40" s="388">
        <v>148</v>
      </c>
      <c r="I40" s="78">
        <f t="shared" si="3"/>
        <v>935.45000000000073</v>
      </c>
      <c r="L40" s="183">
        <f t="shared" si="4"/>
        <v>42</v>
      </c>
      <c r="M40" s="15"/>
      <c r="N40" s="69"/>
      <c r="O40" s="247"/>
      <c r="P40" s="69">
        <f t="shared" si="1"/>
        <v>0</v>
      </c>
      <c r="Q40" s="70"/>
      <c r="R40" s="71"/>
      <c r="S40" s="78">
        <f t="shared" si="5"/>
        <v>881.49</v>
      </c>
    </row>
    <row r="41" spans="2:19" x14ac:dyDescent="0.25">
      <c r="B41" s="183">
        <f t="shared" si="2"/>
        <v>46</v>
      </c>
      <c r="C41" s="15">
        <v>6</v>
      </c>
      <c r="D41" s="694">
        <v>110.3</v>
      </c>
      <c r="E41" s="701">
        <v>44788</v>
      </c>
      <c r="F41" s="694">
        <f t="shared" si="6"/>
        <v>110.3</v>
      </c>
      <c r="G41" s="696" t="s">
        <v>230</v>
      </c>
      <c r="H41" s="388">
        <v>148</v>
      </c>
      <c r="I41" s="78">
        <f t="shared" si="3"/>
        <v>825.15000000000077</v>
      </c>
      <c r="L41" s="183">
        <f t="shared" si="4"/>
        <v>42</v>
      </c>
      <c r="M41" s="15"/>
      <c r="N41" s="69"/>
      <c r="O41" s="247"/>
      <c r="P41" s="69">
        <f t="shared" si="1"/>
        <v>0</v>
      </c>
      <c r="Q41" s="70"/>
      <c r="R41" s="71"/>
      <c r="S41" s="78">
        <f t="shared" si="5"/>
        <v>881.49</v>
      </c>
    </row>
    <row r="42" spans="2:19" x14ac:dyDescent="0.25">
      <c r="B42" s="183">
        <f t="shared" si="2"/>
        <v>36</v>
      </c>
      <c r="C42" s="15">
        <v>10</v>
      </c>
      <c r="D42" s="694">
        <v>182.79</v>
      </c>
      <c r="E42" s="701">
        <v>44789</v>
      </c>
      <c r="F42" s="694">
        <f t="shared" si="6"/>
        <v>182.79</v>
      </c>
      <c r="G42" s="696" t="s">
        <v>275</v>
      </c>
      <c r="H42" s="388">
        <v>148</v>
      </c>
      <c r="I42" s="78">
        <f t="shared" si="3"/>
        <v>642.36000000000081</v>
      </c>
      <c r="L42" s="183">
        <f t="shared" si="4"/>
        <v>42</v>
      </c>
      <c r="M42" s="15"/>
      <c r="N42" s="69"/>
      <c r="O42" s="247"/>
      <c r="P42" s="69">
        <f t="shared" si="1"/>
        <v>0</v>
      </c>
      <c r="Q42" s="70"/>
      <c r="R42" s="71"/>
      <c r="S42" s="78">
        <f t="shared" si="5"/>
        <v>881.49</v>
      </c>
    </row>
    <row r="43" spans="2:19" x14ac:dyDescent="0.25">
      <c r="B43" s="183">
        <f t="shared" si="2"/>
        <v>35</v>
      </c>
      <c r="C43" s="15">
        <v>1</v>
      </c>
      <c r="D43" s="694">
        <v>16</v>
      </c>
      <c r="E43" s="701">
        <v>44796</v>
      </c>
      <c r="F43" s="694">
        <f t="shared" si="6"/>
        <v>16</v>
      </c>
      <c r="G43" s="696" t="s">
        <v>254</v>
      </c>
      <c r="H43" s="388">
        <v>148</v>
      </c>
      <c r="I43" s="78">
        <f t="shared" si="3"/>
        <v>626.36000000000081</v>
      </c>
      <c r="L43" s="183">
        <f t="shared" si="4"/>
        <v>42</v>
      </c>
      <c r="M43" s="15"/>
      <c r="N43" s="69"/>
      <c r="O43" s="247"/>
      <c r="P43" s="69">
        <f t="shared" si="1"/>
        <v>0</v>
      </c>
      <c r="Q43" s="70"/>
      <c r="R43" s="71"/>
      <c r="S43" s="78">
        <f t="shared" si="5"/>
        <v>881.49</v>
      </c>
    </row>
    <row r="44" spans="2:19" x14ac:dyDescent="0.25">
      <c r="B44" s="183">
        <f t="shared" si="2"/>
        <v>30</v>
      </c>
      <c r="C44" s="15">
        <v>5</v>
      </c>
      <c r="D44" s="782">
        <v>87.9</v>
      </c>
      <c r="E44" s="783">
        <v>44802</v>
      </c>
      <c r="F44" s="782">
        <f t="shared" si="6"/>
        <v>87.9</v>
      </c>
      <c r="G44" s="784" t="s">
        <v>502</v>
      </c>
      <c r="H44" s="206">
        <v>148</v>
      </c>
      <c r="I44" s="78">
        <f t="shared" si="3"/>
        <v>538.46000000000083</v>
      </c>
      <c r="L44" s="183">
        <f t="shared" si="4"/>
        <v>42</v>
      </c>
      <c r="M44" s="15"/>
      <c r="N44" s="69"/>
      <c r="O44" s="247"/>
      <c r="P44" s="69">
        <f t="shared" si="1"/>
        <v>0</v>
      </c>
      <c r="Q44" s="70"/>
      <c r="R44" s="71"/>
      <c r="S44" s="78">
        <f t="shared" si="5"/>
        <v>881.49</v>
      </c>
    </row>
    <row r="45" spans="2:19" x14ac:dyDescent="0.25">
      <c r="B45" s="183">
        <f t="shared" si="2"/>
        <v>29</v>
      </c>
      <c r="C45" s="15">
        <v>1</v>
      </c>
      <c r="D45" s="782">
        <v>17.190000000000001</v>
      </c>
      <c r="E45" s="783">
        <v>44805</v>
      </c>
      <c r="F45" s="782">
        <f t="shared" si="6"/>
        <v>17.190000000000001</v>
      </c>
      <c r="G45" s="784" t="s">
        <v>528</v>
      </c>
      <c r="H45" s="206">
        <v>148</v>
      </c>
      <c r="I45" s="78">
        <f t="shared" si="3"/>
        <v>521.27000000000078</v>
      </c>
      <c r="L45" s="183">
        <f t="shared" si="4"/>
        <v>42</v>
      </c>
      <c r="M45" s="15"/>
      <c r="N45" s="69"/>
      <c r="O45" s="247"/>
      <c r="P45" s="69">
        <f t="shared" si="1"/>
        <v>0</v>
      </c>
      <c r="Q45" s="70"/>
      <c r="R45" s="71"/>
      <c r="S45" s="78">
        <f t="shared" si="5"/>
        <v>881.49</v>
      </c>
    </row>
    <row r="46" spans="2:19" x14ac:dyDescent="0.25">
      <c r="B46" s="183">
        <f t="shared" si="2"/>
        <v>27</v>
      </c>
      <c r="C46" s="15">
        <v>2</v>
      </c>
      <c r="D46" s="782">
        <v>35.549999999999997</v>
      </c>
      <c r="E46" s="783">
        <v>44809</v>
      </c>
      <c r="F46" s="782">
        <f t="shared" si="6"/>
        <v>35.549999999999997</v>
      </c>
      <c r="G46" s="784" t="s">
        <v>565</v>
      </c>
      <c r="H46" s="206">
        <v>148</v>
      </c>
      <c r="I46" s="78">
        <f t="shared" si="3"/>
        <v>485.72000000000077</v>
      </c>
      <c r="L46" s="183">
        <f t="shared" si="4"/>
        <v>42</v>
      </c>
      <c r="M46" s="15"/>
      <c r="N46" s="69"/>
      <c r="O46" s="247"/>
      <c r="P46" s="69">
        <f t="shared" si="1"/>
        <v>0</v>
      </c>
      <c r="Q46" s="70"/>
      <c r="R46" s="71"/>
      <c r="S46" s="78">
        <f t="shared" si="5"/>
        <v>881.49</v>
      </c>
    </row>
    <row r="47" spans="2:19" x14ac:dyDescent="0.25">
      <c r="B47" s="183">
        <f t="shared" si="2"/>
        <v>23</v>
      </c>
      <c r="C47" s="15">
        <v>4</v>
      </c>
      <c r="D47" s="782">
        <v>81.260000000000005</v>
      </c>
      <c r="E47" s="783">
        <v>44810</v>
      </c>
      <c r="F47" s="782">
        <f t="shared" si="6"/>
        <v>81.260000000000005</v>
      </c>
      <c r="G47" s="784" t="s">
        <v>571</v>
      </c>
      <c r="H47" s="206">
        <v>148</v>
      </c>
      <c r="I47" s="78">
        <f t="shared" si="3"/>
        <v>404.46000000000078</v>
      </c>
      <c r="L47" s="183">
        <f t="shared" si="4"/>
        <v>42</v>
      </c>
      <c r="M47" s="15"/>
      <c r="N47" s="69"/>
      <c r="O47" s="247"/>
      <c r="P47" s="69">
        <f t="shared" si="1"/>
        <v>0</v>
      </c>
      <c r="Q47" s="70"/>
      <c r="R47" s="71"/>
      <c r="S47" s="78">
        <f t="shared" si="5"/>
        <v>881.49</v>
      </c>
    </row>
    <row r="48" spans="2:19" x14ac:dyDescent="0.25">
      <c r="B48" s="183">
        <f t="shared" si="2"/>
        <v>22</v>
      </c>
      <c r="C48" s="15">
        <v>1</v>
      </c>
      <c r="D48" s="782">
        <v>18.100000000000001</v>
      </c>
      <c r="E48" s="783">
        <v>44816</v>
      </c>
      <c r="F48" s="782">
        <f t="shared" si="6"/>
        <v>18.100000000000001</v>
      </c>
      <c r="G48" s="784" t="s">
        <v>607</v>
      </c>
      <c r="H48" s="206">
        <v>148</v>
      </c>
      <c r="I48" s="78">
        <f t="shared" si="3"/>
        <v>386.36000000000075</v>
      </c>
      <c r="L48" s="183">
        <f t="shared" si="4"/>
        <v>42</v>
      </c>
      <c r="M48" s="15"/>
      <c r="N48" s="69"/>
      <c r="O48" s="247"/>
      <c r="P48" s="69">
        <f t="shared" si="1"/>
        <v>0</v>
      </c>
      <c r="Q48" s="70"/>
      <c r="R48" s="71"/>
      <c r="S48" s="78">
        <f t="shared" si="5"/>
        <v>881.49</v>
      </c>
    </row>
    <row r="49" spans="2:19" x14ac:dyDescent="0.25">
      <c r="B49" s="183">
        <f t="shared" si="2"/>
        <v>21</v>
      </c>
      <c r="C49" s="15">
        <v>1</v>
      </c>
      <c r="D49" s="782">
        <v>17.25</v>
      </c>
      <c r="E49" s="783">
        <v>44816</v>
      </c>
      <c r="F49" s="782">
        <f t="shared" si="6"/>
        <v>17.25</v>
      </c>
      <c r="G49" s="784" t="s">
        <v>615</v>
      </c>
      <c r="H49" s="206">
        <v>148</v>
      </c>
      <c r="I49" s="78">
        <f t="shared" si="3"/>
        <v>369.11000000000075</v>
      </c>
      <c r="L49" s="183">
        <f t="shared" si="4"/>
        <v>42</v>
      </c>
      <c r="M49" s="15"/>
      <c r="N49" s="69"/>
      <c r="O49" s="247"/>
      <c r="P49" s="69">
        <f t="shared" si="1"/>
        <v>0</v>
      </c>
      <c r="Q49" s="70"/>
      <c r="R49" s="71"/>
      <c r="S49" s="78">
        <f t="shared" si="5"/>
        <v>881.49</v>
      </c>
    </row>
    <row r="50" spans="2:19" x14ac:dyDescent="0.25">
      <c r="B50" s="183">
        <f t="shared" si="2"/>
        <v>20</v>
      </c>
      <c r="C50" s="15">
        <v>1</v>
      </c>
      <c r="D50" s="782">
        <v>17.350000000000001</v>
      </c>
      <c r="E50" s="783">
        <v>44816</v>
      </c>
      <c r="F50" s="782">
        <f t="shared" si="6"/>
        <v>17.350000000000001</v>
      </c>
      <c r="G50" s="784" t="s">
        <v>615</v>
      </c>
      <c r="H50" s="206">
        <v>148</v>
      </c>
      <c r="I50" s="78">
        <f t="shared" si="3"/>
        <v>351.76000000000073</v>
      </c>
      <c r="L50" s="183">
        <f t="shared" si="4"/>
        <v>42</v>
      </c>
      <c r="M50" s="15"/>
      <c r="N50" s="69"/>
      <c r="O50" s="247"/>
      <c r="P50" s="69">
        <f t="shared" si="1"/>
        <v>0</v>
      </c>
      <c r="Q50" s="70"/>
      <c r="R50" s="71"/>
      <c r="S50" s="78">
        <f t="shared" si="5"/>
        <v>881.49</v>
      </c>
    </row>
    <row r="51" spans="2:19" x14ac:dyDescent="0.25">
      <c r="B51" s="183">
        <f t="shared" si="2"/>
        <v>19</v>
      </c>
      <c r="C51" s="15">
        <v>1</v>
      </c>
      <c r="D51" s="782">
        <v>17.95</v>
      </c>
      <c r="E51" s="783">
        <v>44817</v>
      </c>
      <c r="F51" s="782">
        <f t="shared" si="6"/>
        <v>17.95</v>
      </c>
      <c r="G51" s="784" t="s">
        <v>627</v>
      </c>
      <c r="H51" s="206">
        <v>148</v>
      </c>
      <c r="I51" s="78">
        <f t="shared" si="3"/>
        <v>333.81000000000074</v>
      </c>
      <c r="L51" s="183">
        <f t="shared" si="4"/>
        <v>42</v>
      </c>
      <c r="M51" s="15"/>
      <c r="N51" s="69"/>
      <c r="O51" s="247"/>
      <c r="P51" s="69">
        <f t="shared" si="1"/>
        <v>0</v>
      </c>
      <c r="Q51" s="70"/>
      <c r="R51" s="71"/>
      <c r="S51" s="78">
        <f t="shared" si="5"/>
        <v>881.49</v>
      </c>
    </row>
    <row r="52" spans="2:19" x14ac:dyDescent="0.25">
      <c r="B52" s="183">
        <f t="shared" si="2"/>
        <v>18</v>
      </c>
      <c r="C52" s="15">
        <v>1</v>
      </c>
      <c r="D52" s="782">
        <v>17.25</v>
      </c>
      <c r="E52" s="783">
        <v>44817</v>
      </c>
      <c r="F52" s="782">
        <f t="shared" si="6"/>
        <v>17.25</v>
      </c>
      <c r="G52" s="784" t="s">
        <v>627</v>
      </c>
      <c r="H52" s="206">
        <v>148</v>
      </c>
      <c r="I52" s="78">
        <f t="shared" si="3"/>
        <v>316.56000000000074</v>
      </c>
      <c r="L52" s="183">
        <f t="shared" si="4"/>
        <v>42</v>
      </c>
      <c r="M52" s="15"/>
      <c r="N52" s="69"/>
      <c r="O52" s="247"/>
      <c r="P52" s="69">
        <f t="shared" si="1"/>
        <v>0</v>
      </c>
      <c r="Q52" s="70"/>
      <c r="R52" s="71"/>
      <c r="S52" s="78">
        <f t="shared" si="5"/>
        <v>881.49</v>
      </c>
    </row>
    <row r="53" spans="2:19" x14ac:dyDescent="0.25">
      <c r="B53" s="183">
        <f t="shared" si="2"/>
        <v>9</v>
      </c>
      <c r="C53" s="15">
        <v>9</v>
      </c>
      <c r="D53" s="782">
        <v>137.94999999999999</v>
      </c>
      <c r="E53" s="783">
        <v>44818</v>
      </c>
      <c r="F53" s="782">
        <f t="shared" si="6"/>
        <v>137.94999999999999</v>
      </c>
      <c r="G53" s="784" t="s">
        <v>634</v>
      </c>
      <c r="H53" s="206">
        <v>148</v>
      </c>
      <c r="I53" s="78">
        <f t="shared" si="3"/>
        <v>178.61000000000075</v>
      </c>
      <c r="L53" s="183"/>
      <c r="M53" s="15"/>
      <c r="N53" s="69"/>
      <c r="O53" s="247"/>
      <c r="P53" s="69"/>
      <c r="Q53" s="70"/>
      <c r="R53" s="71"/>
      <c r="S53" s="78"/>
    </row>
    <row r="54" spans="2:19" x14ac:dyDescent="0.25">
      <c r="B54" s="183">
        <f t="shared" si="2"/>
        <v>1</v>
      </c>
      <c r="C54" s="15">
        <v>8</v>
      </c>
      <c r="D54" s="782">
        <v>142.15</v>
      </c>
      <c r="E54" s="783">
        <v>44828</v>
      </c>
      <c r="F54" s="782">
        <f t="shared" si="6"/>
        <v>142.15</v>
      </c>
      <c r="G54" s="784" t="s">
        <v>713</v>
      </c>
      <c r="H54" s="206">
        <v>148</v>
      </c>
      <c r="I54" s="78">
        <f t="shared" si="3"/>
        <v>36.460000000000747</v>
      </c>
      <c r="L54" s="183"/>
      <c r="M54" s="15"/>
      <c r="N54" s="69"/>
      <c r="O54" s="247"/>
      <c r="P54" s="69"/>
      <c r="Q54" s="70"/>
      <c r="R54" s="71"/>
      <c r="S54" s="78"/>
    </row>
    <row r="55" spans="2:19" x14ac:dyDescent="0.25">
      <c r="B55" s="183">
        <f t="shared" si="2"/>
        <v>1</v>
      </c>
      <c r="C55" s="15"/>
      <c r="D55" s="782"/>
      <c r="E55" s="783"/>
      <c r="F55" s="782">
        <f t="shared" si="6"/>
        <v>0</v>
      </c>
      <c r="G55" s="784"/>
      <c r="H55" s="206"/>
      <c r="I55" s="78">
        <f t="shared" si="3"/>
        <v>36.460000000000747</v>
      </c>
      <c r="L55" s="183"/>
      <c r="M55" s="15"/>
      <c r="N55" s="69"/>
      <c r="O55" s="247"/>
      <c r="P55" s="69"/>
      <c r="Q55" s="70"/>
      <c r="R55" s="71"/>
      <c r="S55" s="78"/>
    </row>
    <row r="56" spans="2:19" x14ac:dyDescent="0.25">
      <c r="B56" s="183">
        <f t="shared" si="2"/>
        <v>0</v>
      </c>
      <c r="C56" s="15">
        <v>1</v>
      </c>
      <c r="D56" s="782"/>
      <c r="E56" s="783"/>
      <c r="F56" s="782">
        <v>36.46</v>
      </c>
      <c r="G56" s="784"/>
      <c r="H56" s="206"/>
      <c r="I56" s="78">
        <f t="shared" si="3"/>
        <v>7.460698725481052E-13</v>
      </c>
      <c r="L56" s="183"/>
      <c r="M56" s="15"/>
      <c r="N56" s="69"/>
      <c r="O56" s="247"/>
      <c r="P56" s="69"/>
      <c r="Q56" s="70"/>
      <c r="R56" s="71"/>
      <c r="S56" s="78"/>
    </row>
    <row r="57" spans="2:19" x14ac:dyDescent="0.25">
      <c r="B57" s="183">
        <f t="shared" si="2"/>
        <v>0</v>
      </c>
      <c r="C57" s="15"/>
      <c r="D57" s="782"/>
      <c r="E57" s="783"/>
      <c r="F57" s="902">
        <f t="shared" si="6"/>
        <v>0</v>
      </c>
      <c r="G57" s="903"/>
      <c r="H57" s="904"/>
      <c r="I57" s="924">
        <f t="shared" si="3"/>
        <v>7.460698725481052E-13</v>
      </c>
      <c r="L57" s="183"/>
      <c r="M57" s="15"/>
      <c r="N57" s="69"/>
      <c r="O57" s="247"/>
      <c r="P57" s="69"/>
      <c r="Q57" s="70"/>
      <c r="R57" s="71"/>
      <c r="S57" s="78"/>
    </row>
    <row r="58" spans="2:19" x14ac:dyDescent="0.25">
      <c r="B58" s="183">
        <f t="shared" si="2"/>
        <v>0</v>
      </c>
      <c r="C58" s="15"/>
      <c r="D58" s="782"/>
      <c r="E58" s="783"/>
      <c r="F58" s="902">
        <f t="shared" si="6"/>
        <v>0</v>
      </c>
      <c r="G58" s="903"/>
      <c r="H58" s="904"/>
      <c r="I58" s="924">
        <f t="shared" si="3"/>
        <v>7.460698725481052E-13</v>
      </c>
      <c r="L58" s="183"/>
      <c r="M58" s="15"/>
      <c r="N58" s="69"/>
      <c r="O58" s="247"/>
      <c r="P58" s="69"/>
      <c r="Q58" s="70"/>
      <c r="R58" s="71"/>
      <c r="S58" s="78"/>
    </row>
    <row r="59" spans="2:19" x14ac:dyDescent="0.25">
      <c r="B59" s="183">
        <f t="shared" si="2"/>
        <v>0</v>
      </c>
      <c r="C59" s="15"/>
      <c r="D59" s="782"/>
      <c r="E59" s="783"/>
      <c r="F59" s="902">
        <f t="shared" si="6"/>
        <v>0</v>
      </c>
      <c r="G59" s="903"/>
      <c r="H59" s="904"/>
      <c r="I59" s="924">
        <f t="shared" si="3"/>
        <v>7.460698725481052E-13</v>
      </c>
      <c r="L59" s="183"/>
      <c r="M59" s="15"/>
      <c r="N59" s="69"/>
      <c r="O59" s="247"/>
      <c r="P59" s="69"/>
      <c r="Q59" s="70"/>
      <c r="R59" s="71"/>
      <c r="S59" s="78"/>
    </row>
    <row r="60" spans="2:19" x14ac:dyDescent="0.25">
      <c r="B60" s="183">
        <f t="shared" si="2"/>
        <v>0</v>
      </c>
      <c r="C60" s="15"/>
      <c r="D60" s="782"/>
      <c r="E60" s="783"/>
      <c r="F60" s="902">
        <f t="shared" si="6"/>
        <v>0</v>
      </c>
      <c r="G60" s="903"/>
      <c r="H60" s="904"/>
      <c r="I60" s="924">
        <f t="shared" si="3"/>
        <v>7.460698725481052E-13</v>
      </c>
      <c r="L60" s="183"/>
      <c r="M60" s="15"/>
      <c r="N60" s="69"/>
      <c r="O60" s="247"/>
      <c r="P60" s="69"/>
      <c r="Q60" s="70"/>
      <c r="R60" s="71"/>
      <c r="S60" s="78"/>
    </row>
    <row r="61" spans="2:19" x14ac:dyDescent="0.25">
      <c r="B61" s="183">
        <f t="shared" si="2"/>
        <v>0</v>
      </c>
      <c r="C61" s="15"/>
      <c r="D61" s="782"/>
      <c r="E61" s="783"/>
      <c r="F61" s="782">
        <f t="shared" si="6"/>
        <v>0</v>
      </c>
      <c r="G61" s="784"/>
      <c r="H61" s="206"/>
      <c r="I61" s="78">
        <f t="shared" si="3"/>
        <v>7.460698725481052E-13</v>
      </c>
      <c r="L61" s="183"/>
      <c r="M61" s="15"/>
      <c r="N61" s="69"/>
      <c r="O61" s="247"/>
      <c r="P61" s="69"/>
      <c r="Q61" s="70"/>
      <c r="R61" s="71"/>
      <c r="S61" s="78"/>
    </row>
    <row r="62" spans="2:19" x14ac:dyDescent="0.25">
      <c r="B62" s="183">
        <f t="shared" si="2"/>
        <v>0</v>
      </c>
      <c r="C62" s="15"/>
      <c r="D62" s="782"/>
      <c r="E62" s="783"/>
      <c r="F62" s="782">
        <f t="shared" si="6"/>
        <v>0</v>
      </c>
      <c r="G62" s="784"/>
      <c r="H62" s="206"/>
      <c r="I62" s="78">
        <f t="shared" si="3"/>
        <v>7.460698725481052E-13</v>
      </c>
      <c r="L62" s="183"/>
      <c r="M62" s="15"/>
      <c r="N62" s="69"/>
      <c r="O62" s="247"/>
      <c r="P62" s="69"/>
      <c r="Q62" s="70"/>
      <c r="R62" s="71"/>
      <c r="S62" s="78"/>
    </row>
    <row r="63" spans="2:19" x14ac:dyDescent="0.25">
      <c r="B63" s="183">
        <f t="shared" si="2"/>
        <v>0</v>
      </c>
      <c r="C63" s="15"/>
      <c r="D63" s="782"/>
      <c r="E63" s="783"/>
      <c r="F63" s="782">
        <f t="shared" si="6"/>
        <v>0</v>
      </c>
      <c r="G63" s="784"/>
      <c r="H63" s="206"/>
      <c r="I63" s="78">
        <f t="shared" si="3"/>
        <v>7.460698725481052E-13</v>
      </c>
      <c r="L63" s="183"/>
      <c r="M63" s="15"/>
      <c r="N63" s="69"/>
      <c r="O63" s="247"/>
      <c r="P63" s="69"/>
      <c r="Q63" s="70"/>
      <c r="R63" s="71"/>
      <c r="S63" s="78"/>
    </row>
    <row r="64" spans="2:19" x14ac:dyDescent="0.25">
      <c r="B64" s="183">
        <f t="shared" si="2"/>
        <v>0</v>
      </c>
      <c r="C64" s="15"/>
      <c r="D64" s="782"/>
      <c r="E64" s="783"/>
      <c r="F64" s="782">
        <f t="shared" si="6"/>
        <v>0</v>
      </c>
      <c r="G64" s="784"/>
      <c r="H64" s="206"/>
      <c r="I64" s="78">
        <f t="shared" si="3"/>
        <v>7.460698725481052E-13</v>
      </c>
      <c r="L64" s="183"/>
      <c r="M64" s="15"/>
      <c r="N64" s="69"/>
      <c r="O64" s="247"/>
      <c r="P64" s="69"/>
      <c r="Q64" s="70"/>
      <c r="R64" s="71"/>
      <c r="S64" s="78"/>
    </row>
    <row r="65" spans="2:19" x14ac:dyDescent="0.25">
      <c r="B65" s="183">
        <f t="shared" si="2"/>
        <v>0</v>
      </c>
      <c r="C65" s="15"/>
      <c r="D65" s="782"/>
      <c r="E65" s="783"/>
      <c r="F65" s="782">
        <f t="shared" si="6"/>
        <v>0</v>
      </c>
      <c r="G65" s="784"/>
      <c r="H65" s="206"/>
      <c r="I65" s="78">
        <f t="shared" si="3"/>
        <v>7.460698725481052E-13</v>
      </c>
      <c r="L65" s="183"/>
      <c r="M65" s="15"/>
      <c r="N65" s="69"/>
      <c r="O65" s="247"/>
      <c r="P65" s="69"/>
      <c r="Q65" s="70"/>
      <c r="R65" s="71"/>
      <c r="S65" s="78"/>
    </row>
    <row r="66" spans="2:19" x14ac:dyDescent="0.25">
      <c r="B66" s="183">
        <f t="shared" si="2"/>
        <v>0</v>
      </c>
      <c r="C66" s="15"/>
      <c r="D66" s="782"/>
      <c r="E66" s="783"/>
      <c r="F66" s="782">
        <f t="shared" si="6"/>
        <v>0</v>
      </c>
      <c r="G66" s="784"/>
      <c r="H66" s="206"/>
      <c r="I66" s="78">
        <f t="shared" si="3"/>
        <v>7.460698725481052E-13</v>
      </c>
      <c r="L66" s="183"/>
      <c r="M66" s="15"/>
      <c r="N66" s="69"/>
      <c r="O66" s="247"/>
      <c r="P66" s="69"/>
      <c r="Q66" s="70"/>
      <c r="R66" s="71"/>
      <c r="S66" s="78"/>
    </row>
    <row r="67" spans="2:19" ht="15.75" thickBot="1" x14ac:dyDescent="0.3">
      <c r="B67" s="917">
        <f t="shared" si="2"/>
        <v>0</v>
      </c>
      <c r="C67" s="36"/>
      <c r="D67" s="150"/>
      <c r="E67" s="253"/>
      <c r="F67" s="150">
        <f t="shared" si="6"/>
        <v>0</v>
      </c>
      <c r="G67" s="207"/>
      <c r="H67" s="75"/>
      <c r="I67" s="78">
        <f t="shared" si="3"/>
        <v>7.460698725481052E-13</v>
      </c>
      <c r="L67" s="3"/>
      <c r="M67" s="36"/>
      <c r="N67" s="150"/>
      <c r="O67" s="253"/>
      <c r="P67" s="150">
        <f t="shared" si="1"/>
        <v>0</v>
      </c>
      <c r="Q67" s="207"/>
      <c r="R67" s="75"/>
      <c r="S67" s="78">
        <f>S52-P67</f>
        <v>881.49</v>
      </c>
    </row>
    <row r="68" spans="2:19" x14ac:dyDescent="0.25">
      <c r="C68" s="53">
        <f>SUM(C9:C67)</f>
        <v>181</v>
      </c>
      <c r="D68" s="124">
        <f>SUM(D9:D67)</f>
        <v>3018.9100000000003</v>
      </c>
      <c r="E68" s="165"/>
      <c r="F68" s="124">
        <f>SUM(F9:F67)</f>
        <v>3055.3700000000003</v>
      </c>
      <c r="G68" s="159"/>
      <c r="H68" s="159"/>
      <c r="M68" s="53">
        <f>SUM(M9:M67)</f>
        <v>5</v>
      </c>
      <c r="N68" s="124">
        <f>SUM(N9:N67)</f>
        <v>98.59</v>
      </c>
      <c r="O68" s="165"/>
      <c r="P68" s="124">
        <f>SUM(P9:P67)</f>
        <v>98.59</v>
      </c>
      <c r="Q68" s="159"/>
      <c r="R68" s="159"/>
    </row>
    <row r="69" spans="2:19" x14ac:dyDescent="0.25">
      <c r="C69" s="110"/>
      <c r="M69" s="110"/>
    </row>
    <row r="70" spans="2:19" ht="15.75" thickBot="1" x14ac:dyDescent="0.3">
      <c r="B70" s="47"/>
      <c r="L70" s="47"/>
    </row>
    <row r="71" spans="2:1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42</v>
      </c>
    </row>
    <row r="72" spans="2:19" ht="15.75" thickBot="1" x14ac:dyDescent="0.3">
      <c r="B72" s="125"/>
      <c r="L72" s="125"/>
    </row>
    <row r="73" spans="2:19" ht="15.75" thickBot="1" x14ac:dyDescent="0.3">
      <c r="B73" s="91"/>
      <c r="C73" s="1056" t="s">
        <v>11</v>
      </c>
      <c r="D73" s="1057"/>
      <c r="E73" s="57">
        <f>E5-F68+E4+E6+E7</f>
        <v>-2.2737367544323206E-13</v>
      </c>
      <c r="L73" s="91"/>
      <c r="M73" s="1056" t="s">
        <v>11</v>
      </c>
      <c r="N73" s="1057"/>
      <c r="O73" s="57">
        <f>O5-P68+O4+O6+O7</f>
        <v>881.49</v>
      </c>
    </row>
  </sheetData>
  <mergeCells count="6">
    <mergeCell ref="A1:G1"/>
    <mergeCell ref="A5:A6"/>
    <mergeCell ref="C73:D73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58"/>
      <c r="B1" s="1058"/>
      <c r="C1" s="1058"/>
      <c r="D1" s="1058"/>
      <c r="E1" s="1058"/>
      <c r="F1" s="1058"/>
      <c r="G1" s="105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1052"/>
      <c r="B5" s="1081" t="s">
        <v>85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052"/>
      <c r="B6" s="1081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56" t="s">
        <v>11</v>
      </c>
      <c r="D60" s="1057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49" activePane="bottomLeft" state="frozen"/>
      <selection pane="bottomLeft" activeCell="E62" sqref="E6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58" t="s">
        <v>306</v>
      </c>
      <c r="B1" s="1058"/>
      <c r="C1" s="1058"/>
      <c r="D1" s="1058"/>
      <c r="E1" s="1058"/>
      <c r="F1" s="1058"/>
      <c r="G1" s="105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052"/>
      <c r="B4" s="1082" t="s">
        <v>94</v>
      </c>
      <c r="C4" s="128"/>
      <c r="D4" s="134"/>
      <c r="E4" s="124"/>
      <c r="F4" s="73"/>
      <c r="G4" s="47">
        <f>F56</f>
        <v>0</v>
      </c>
      <c r="H4" s="7">
        <f>E4-G4+E5+E6+E7+E8</f>
        <v>1309.6500000000001</v>
      </c>
    </row>
    <row r="5" spans="1:9" ht="15" customHeight="1" x14ac:dyDescent="0.25">
      <c r="A5" s="1052"/>
      <c r="B5" s="1083"/>
      <c r="C5" s="128">
        <v>70</v>
      </c>
      <c r="D5" s="233">
        <v>44819</v>
      </c>
      <c r="E5" s="78">
        <v>1309.6500000000001</v>
      </c>
      <c r="F5" s="62">
        <v>51</v>
      </c>
    </row>
    <row r="6" spans="1:9" ht="15" customHeight="1" x14ac:dyDescent="0.25">
      <c r="A6" s="575" t="s">
        <v>52</v>
      </c>
      <c r="B6" s="1083"/>
      <c r="C6" s="128"/>
      <c r="D6" s="233"/>
      <c r="E6" s="78"/>
      <c r="F6" s="62"/>
    </row>
    <row r="7" spans="1:9" ht="15.75" x14ac:dyDescent="0.25">
      <c r="A7" s="575"/>
      <c r="B7" s="601"/>
      <c r="C7" s="128"/>
      <c r="D7" s="233"/>
      <c r="E7" s="78"/>
      <c r="F7" s="62"/>
    </row>
    <row r="8" spans="1:9" ht="16.5" thickBot="1" x14ac:dyDescent="0.3">
      <c r="A8" s="575"/>
      <c r="B8" s="601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28">
        <f>F4+F5-C10+F6+F7+F8</f>
        <v>51</v>
      </c>
      <c r="C10" s="53"/>
      <c r="D10" s="69"/>
      <c r="E10" s="247"/>
      <c r="F10" s="69">
        <f t="shared" ref="F10:F55" si="0">D10</f>
        <v>0</v>
      </c>
      <c r="G10" s="70"/>
      <c r="H10" s="71"/>
      <c r="I10" s="78">
        <f>E5+E4-F10+E6+E7+E8</f>
        <v>1309.6500000000001</v>
      </c>
    </row>
    <row r="11" spans="1:9" x14ac:dyDescent="0.25">
      <c r="A11" s="77"/>
      <c r="B11" s="183">
        <f t="shared" ref="B11:B54" si="1">B10-C11</f>
        <v>51</v>
      </c>
      <c r="C11" s="53"/>
      <c r="D11" s="69"/>
      <c r="E11" s="247"/>
      <c r="F11" s="69">
        <f t="shared" si="0"/>
        <v>0</v>
      </c>
      <c r="G11" s="70"/>
      <c r="H11" s="71"/>
      <c r="I11" s="78">
        <f>I10-F11</f>
        <v>1309.6500000000001</v>
      </c>
    </row>
    <row r="12" spans="1:9" x14ac:dyDescent="0.25">
      <c r="A12" s="12"/>
      <c r="B12" s="183">
        <f t="shared" si="1"/>
        <v>51</v>
      </c>
      <c r="C12" s="15"/>
      <c r="D12" s="69"/>
      <c r="E12" s="247"/>
      <c r="F12" s="69">
        <f t="shared" si="0"/>
        <v>0</v>
      </c>
      <c r="G12" s="70"/>
      <c r="H12" s="71"/>
      <c r="I12" s="78">
        <f t="shared" ref="I12:I55" si="2">I11-F12</f>
        <v>1309.6500000000001</v>
      </c>
    </row>
    <row r="13" spans="1:9" x14ac:dyDescent="0.25">
      <c r="A13" s="55" t="s">
        <v>33</v>
      </c>
      <c r="B13" s="183">
        <f t="shared" si="1"/>
        <v>51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1309.6500000000001</v>
      </c>
    </row>
    <row r="14" spans="1:9" x14ac:dyDescent="0.25">
      <c r="A14" s="77"/>
      <c r="B14" s="183">
        <f t="shared" si="1"/>
        <v>51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1309.6500000000001</v>
      </c>
    </row>
    <row r="15" spans="1:9" x14ac:dyDescent="0.25">
      <c r="A15" s="12"/>
      <c r="B15" s="183">
        <f t="shared" si="1"/>
        <v>51</v>
      </c>
      <c r="C15" s="15"/>
      <c r="D15" s="69"/>
      <c r="E15" s="247"/>
      <c r="F15" s="69">
        <f t="shared" si="0"/>
        <v>0</v>
      </c>
      <c r="G15" s="70"/>
      <c r="H15" s="71"/>
      <c r="I15" s="78">
        <f t="shared" si="2"/>
        <v>1309.6500000000001</v>
      </c>
    </row>
    <row r="16" spans="1:9" x14ac:dyDescent="0.25">
      <c r="B16" s="183">
        <f t="shared" si="1"/>
        <v>51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1309.6500000000001</v>
      </c>
    </row>
    <row r="17" spans="2:9" x14ac:dyDescent="0.25">
      <c r="B17" s="183">
        <f t="shared" si="1"/>
        <v>51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1309.6500000000001</v>
      </c>
    </row>
    <row r="18" spans="2:9" x14ac:dyDescent="0.25">
      <c r="B18" s="183">
        <f t="shared" si="1"/>
        <v>51</v>
      </c>
      <c r="C18" s="15"/>
      <c r="D18" s="69"/>
      <c r="E18" s="247"/>
      <c r="F18" s="69">
        <f t="shared" si="0"/>
        <v>0</v>
      </c>
      <c r="G18" s="70"/>
      <c r="H18" s="71"/>
      <c r="I18" s="78">
        <f t="shared" si="2"/>
        <v>1309.6500000000001</v>
      </c>
    </row>
    <row r="19" spans="2:9" x14ac:dyDescent="0.25">
      <c r="B19" s="183">
        <f t="shared" si="1"/>
        <v>51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1309.6500000000001</v>
      </c>
    </row>
    <row r="20" spans="2:9" x14ac:dyDescent="0.25">
      <c r="B20" s="183">
        <f t="shared" si="1"/>
        <v>51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1309.6500000000001</v>
      </c>
    </row>
    <row r="21" spans="2:9" x14ac:dyDescent="0.25">
      <c r="B21" s="183">
        <f t="shared" si="1"/>
        <v>51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1309.6500000000001</v>
      </c>
    </row>
    <row r="22" spans="2:9" x14ac:dyDescent="0.25">
      <c r="B22" s="183">
        <f t="shared" si="1"/>
        <v>51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1309.6500000000001</v>
      </c>
    </row>
    <row r="23" spans="2:9" x14ac:dyDescent="0.25">
      <c r="B23" s="183">
        <f t="shared" si="1"/>
        <v>51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1309.6500000000001</v>
      </c>
    </row>
    <row r="24" spans="2:9" x14ac:dyDescent="0.25">
      <c r="B24" s="183">
        <f t="shared" si="1"/>
        <v>51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1309.6500000000001</v>
      </c>
    </row>
    <row r="25" spans="2:9" x14ac:dyDescent="0.25">
      <c r="B25" s="183">
        <f t="shared" si="1"/>
        <v>51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1309.6500000000001</v>
      </c>
    </row>
    <row r="26" spans="2:9" x14ac:dyDescent="0.25">
      <c r="B26" s="183">
        <f t="shared" si="1"/>
        <v>51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1309.6500000000001</v>
      </c>
    </row>
    <row r="27" spans="2:9" x14ac:dyDescent="0.25">
      <c r="B27" s="183">
        <f t="shared" si="1"/>
        <v>51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1309.6500000000001</v>
      </c>
    </row>
    <row r="28" spans="2:9" x14ac:dyDescent="0.25">
      <c r="B28" s="183">
        <f t="shared" si="1"/>
        <v>51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1309.6500000000001</v>
      </c>
    </row>
    <row r="29" spans="2:9" x14ac:dyDescent="0.25">
      <c r="B29" s="183">
        <f t="shared" si="1"/>
        <v>51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1309.6500000000001</v>
      </c>
    </row>
    <row r="30" spans="2:9" x14ac:dyDescent="0.25">
      <c r="B30" s="183">
        <f t="shared" si="1"/>
        <v>51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1309.6500000000001</v>
      </c>
    </row>
    <row r="31" spans="2:9" x14ac:dyDescent="0.25">
      <c r="B31" s="183">
        <f t="shared" si="1"/>
        <v>51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1309.6500000000001</v>
      </c>
    </row>
    <row r="32" spans="2:9" x14ac:dyDescent="0.25">
      <c r="B32" s="183">
        <f t="shared" si="1"/>
        <v>51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1309.6500000000001</v>
      </c>
    </row>
    <row r="33" spans="2:9" x14ac:dyDescent="0.25">
      <c r="B33" s="183">
        <f t="shared" si="1"/>
        <v>51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1309.6500000000001</v>
      </c>
    </row>
    <row r="34" spans="2:9" x14ac:dyDescent="0.25">
      <c r="B34" s="183">
        <f t="shared" si="1"/>
        <v>51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1309.6500000000001</v>
      </c>
    </row>
    <row r="35" spans="2:9" x14ac:dyDescent="0.25">
      <c r="B35" s="183">
        <f t="shared" si="1"/>
        <v>51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1309.6500000000001</v>
      </c>
    </row>
    <row r="36" spans="2:9" x14ac:dyDescent="0.25">
      <c r="B36" s="183">
        <f t="shared" si="1"/>
        <v>51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1309.6500000000001</v>
      </c>
    </row>
    <row r="37" spans="2:9" x14ac:dyDescent="0.25">
      <c r="B37" s="183">
        <f t="shared" si="1"/>
        <v>51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1309.6500000000001</v>
      </c>
    </row>
    <row r="38" spans="2:9" x14ac:dyDescent="0.25">
      <c r="B38" s="183">
        <f t="shared" si="1"/>
        <v>51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1309.6500000000001</v>
      </c>
    </row>
    <row r="39" spans="2:9" x14ac:dyDescent="0.25">
      <c r="B39" s="183">
        <f t="shared" si="1"/>
        <v>51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1309.6500000000001</v>
      </c>
    </row>
    <row r="40" spans="2:9" x14ac:dyDescent="0.25">
      <c r="B40" s="183">
        <f t="shared" si="1"/>
        <v>51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1309.6500000000001</v>
      </c>
    </row>
    <row r="41" spans="2:9" x14ac:dyDescent="0.25">
      <c r="B41" s="183">
        <f t="shared" si="1"/>
        <v>51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1309.6500000000001</v>
      </c>
    </row>
    <row r="42" spans="2:9" x14ac:dyDescent="0.25">
      <c r="B42" s="183">
        <f t="shared" si="1"/>
        <v>51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1309.6500000000001</v>
      </c>
    </row>
    <row r="43" spans="2:9" x14ac:dyDescent="0.25">
      <c r="B43" s="183">
        <f t="shared" si="1"/>
        <v>51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1309.6500000000001</v>
      </c>
    </row>
    <row r="44" spans="2:9" x14ac:dyDescent="0.25">
      <c r="B44" s="183">
        <f t="shared" si="1"/>
        <v>51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1309.6500000000001</v>
      </c>
    </row>
    <row r="45" spans="2:9" x14ac:dyDescent="0.25">
      <c r="B45" s="183">
        <f t="shared" si="1"/>
        <v>51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1309.6500000000001</v>
      </c>
    </row>
    <row r="46" spans="2:9" x14ac:dyDescent="0.25">
      <c r="B46" s="183">
        <f t="shared" si="1"/>
        <v>51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1309.6500000000001</v>
      </c>
    </row>
    <row r="47" spans="2:9" x14ac:dyDescent="0.25">
      <c r="B47" s="183">
        <f t="shared" si="1"/>
        <v>51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1309.6500000000001</v>
      </c>
    </row>
    <row r="48" spans="2:9" x14ac:dyDescent="0.25">
      <c r="B48" s="183">
        <f t="shared" si="1"/>
        <v>51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1309.6500000000001</v>
      </c>
    </row>
    <row r="49" spans="2:9" x14ac:dyDescent="0.25">
      <c r="B49" s="183">
        <f t="shared" si="1"/>
        <v>51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1309.6500000000001</v>
      </c>
    </row>
    <row r="50" spans="2:9" x14ac:dyDescent="0.25">
      <c r="B50" s="183">
        <f t="shared" si="1"/>
        <v>51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1309.6500000000001</v>
      </c>
    </row>
    <row r="51" spans="2:9" x14ac:dyDescent="0.25">
      <c r="B51" s="183">
        <f t="shared" si="1"/>
        <v>51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1309.6500000000001</v>
      </c>
    </row>
    <row r="52" spans="2:9" x14ac:dyDescent="0.25">
      <c r="B52" s="183">
        <f t="shared" si="1"/>
        <v>51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1309.6500000000001</v>
      </c>
    </row>
    <row r="53" spans="2:9" x14ac:dyDescent="0.25">
      <c r="B53" s="183">
        <f t="shared" si="1"/>
        <v>51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1309.6500000000001</v>
      </c>
    </row>
    <row r="54" spans="2:9" x14ac:dyDescent="0.25">
      <c r="B54" s="183">
        <f t="shared" si="1"/>
        <v>51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1309.6500000000001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1309.6500000000001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51</v>
      </c>
    </row>
    <row r="60" spans="2:9" ht="15.75" thickBot="1" x14ac:dyDescent="0.3">
      <c r="B60" s="125"/>
    </row>
    <row r="61" spans="2:9" ht="15.75" thickBot="1" x14ac:dyDescent="0.3">
      <c r="B61" s="91"/>
      <c r="C61" s="1056" t="s">
        <v>11</v>
      </c>
      <c r="D61" s="1057"/>
      <c r="E61" s="57">
        <f>E5+E6+E7+E8-F56</f>
        <v>1309.6500000000001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58"/>
      <c r="B1" s="1058"/>
      <c r="C1" s="1058"/>
      <c r="D1" s="1058"/>
      <c r="E1" s="1058"/>
      <c r="F1" s="1058"/>
      <c r="G1" s="1058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1084"/>
      <c r="B5" s="1086" t="s">
        <v>77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1085"/>
      <c r="B6" s="1087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088" t="s">
        <v>11</v>
      </c>
      <c r="D56" s="1089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054" t="s">
        <v>129</v>
      </c>
      <c r="B1" s="1054"/>
      <c r="C1" s="1054"/>
      <c r="D1" s="1054"/>
      <c r="E1" s="1054"/>
      <c r="F1" s="1054"/>
      <c r="G1" s="1054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3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95</v>
      </c>
      <c r="B5" s="1055" t="s">
        <v>97</v>
      </c>
      <c r="C5" s="403">
        <v>57</v>
      </c>
      <c r="D5" s="134">
        <v>44712</v>
      </c>
      <c r="E5" s="753">
        <v>2060</v>
      </c>
      <c r="F5" s="758">
        <v>2</v>
      </c>
      <c r="G5" s="759"/>
      <c r="H5" s="760"/>
      <c r="I5" s="761" t="s">
        <v>267</v>
      </c>
      <c r="J5" s="760"/>
      <c r="K5" s="760"/>
      <c r="L5" s="760"/>
      <c r="M5" s="760"/>
    </row>
    <row r="6" spans="1:13" x14ac:dyDescent="0.25">
      <c r="A6" s="416" t="s">
        <v>96</v>
      </c>
      <c r="B6" s="1055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3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108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109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110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80"/>
      <c r="E13" s="681"/>
      <c r="F13" s="680">
        <f t="shared" ref="F13:F73" si="3">D13</f>
        <v>0</v>
      </c>
      <c r="G13" s="682"/>
      <c r="H13" s="674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80"/>
      <c r="E14" s="681"/>
      <c r="F14" s="680">
        <f t="shared" si="3"/>
        <v>0</v>
      </c>
      <c r="G14" s="682"/>
      <c r="H14" s="674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80"/>
      <c r="E15" s="681"/>
      <c r="F15" s="680">
        <f t="shared" si="3"/>
        <v>0</v>
      </c>
      <c r="G15" s="682"/>
      <c r="H15" s="674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80"/>
      <c r="E16" s="681"/>
      <c r="F16" s="680">
        <f t="shared" si="3"/>
        <v>0</v>
      </c>
      <c r="G16" s="682"/>
      <c r="H16" s="674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80"/>
      <c r="E17" s="681"/>
      <c r="F17" s="680">
        <f t="shared" si="3"/>
        <v>0</v>
      </c>
      <c r="G17" s="682"/>
      <c r="H17" s="674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56" t="s">
        <v>11</v>
      </c>
      <c r="D83" s="1057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43"/>
      <c r="B1" s="1043"/>
      <c r="C1" s="1043"/>
      <c r="D1" s="1043"/>
      <c r="E1" s="1043"/>
      <c r="F1" s="1043"/>
      <c r="G1" s="104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090"/>
      <c r="C4" s="17"/>
      <c r="E4" s="255"/>
      <c r="F4" s="241"/>
    </row>
    <row r="5" spans="1:10" ht="15" customHeight="1" x14ac:dyDescent="0.25">
      <c r="A5" s="1084"/>
      <c r="B5" s="1091"/>
      <c r="C5" s="382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1085"/>
      <c r="B6" s="1092"/>
      <c r="C6" s="383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7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7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7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7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7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7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088" t="s">
        <v>11</v>
      </c>
      <c r="D55" s="1089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102" activePane="bottomLeft" state="frozen"/>
      <selection activeCell="M1" sqref="M1"/>
      <selection pane="bottomLeft" activeCell="S113" sqref="S113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54" t="s">
        <v>287</v>
      </c>
      <c r="B1" s="1054"/>
      <c r="C1" s="1054"/>
      <c r="D1" s="1054"/>
      <c r="E1" s="1054"/>
      <c r="F1" s="1054"/>
      <c r="G1" s="1054"/>
      <c r="H1" s="1054"/>
      <c r="I1" s="1054"/>
      <c r="J1" s="11">
        <v>1</v>
      </c>
      <c r="M1" s="1058" t="s">
        <v>309</v>
      </c>
      <c r="N1" s="1058"/>
      <c r="O1" s="1058"/>
      <c r="P1" s="1058"/>
      <c r="Q1" s="1058"/>
      <c r="R1" s="1058"/>
      <c r="S1" s="1058"/>
      <c r="T1" s="1058"/>
      <c r="U1" s="1058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093" t="s">
        <v>43</v>
      </c>
      <c r="C5" s="200">
        <v>52</v>
      </c>
      <c r="D5" s="149">
        <v>44781</v>
      </c>
      <c r="E5" s="105">
        <v>2043</v>
      </c>
      <c r="F5" s="73">
        <v>450</v>
      </c>
      <c r="G5" s="5">
        <f>F109</f>
        <v>2052.08</v>
      </c>
      <c r="H5" s="7">
        <f>E4+E5-G5+E6+E7</f>
        <v>7.2830630415410269E-14</v>
      </c>
      <c r="I5" s="191"/>
      <c r="J5" s="73"/>
      <c r="M5" s="73" t="s">
        <v>55</v>
      </c>
      <c r="N5" s="1093" t="s">
        <v>43</v>
      </c>
      <c r="O5" s="200">
        <v>49</v>
      </c>
      <c r="P5" s="149">
        <v>44809</v>
      </c>
      <c r="Q5" s="105">
        <v>2687.68</v>
      </c>
      <c r="R5" s="73">
        <v>592</v>
      </c>
      <c r="S5" s="5">
        <f>R109</f>
        <v>2601.42</v>
      </c>
      <c r="T5" s="7">
        <f>Q4+Q5-S5+Q6+Q7</f>
        <v>86.259999999999764</v>
      </c>
      <c r="U5" s="191"/>
      <c r="V5" s="73"/>
    </row>
    <row r="6" spans="1:23" x14ac:dyDescent="0.25">
      <c r="B6" s="1093"/>
      <c r="C6" s="200"/>
      <c r="D6" s="149"/>
      <c r="E6" s="78">
        <v>9.08</v>
      </c>
      <c r="F6" s="62">
        <v>2</v>
      </c>
      <c r="I6" s="192"/>
      <c r="J6" s="73"/>
      <c r="N6" s="1093"/>
      <c r="O6" s="200"/>
      <c r="P6" s="149"/>
      <c r="Q6" s="78"/>
      <c r="R6" s="62"/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20</v>
      </c>
      <c r="D9" s="69">
        <f t="shared" ref="D9" si="0">C9*B9</f>
        <v>90.8</v>
      </c>
      <c r="E9" s="196">
        <v>44785</v>
      </c>
      <c r="F9" s="69">
        <f t="shared" ref="F9" si="1">D9</f>
        <v>90.8</v>
      </c>
      <c r="G9" s="70" t="s">
        <v>219</v>
      </c>
      <c r="H9" s="71">
        <v>56</v>
      </c>
      <c r="I9" s="191">
        <f>E5+E4+E6+E7-F9</f>
        <v>1961.28</v>
      </c>
      <c r="J9" s="73">
        <f>F5-C9+F6+F4+F7</f>
        <v>432</v>
      </c>
      <c r="K9" s="60">
        <f>H9*F9</f>
        <v>5084.8</v>
      </c>
      <c r="M9" s="73"/>
      <c r="N9" s="133">
        <v>4.54</v>
      </c>
      <c r="O9" s="15">
        <v>40</v>
      </c>
      <c r="P9" s="69">
        <f t="shared" ref="P9:P72" si="2">O9*N9</f>
        <v>181.6</v>
      </c>
      <c r="Q9" s="196">
        <v>44810</v>
      </c>
      <c r="R9" s="69">
        <f t="shared" ref="R9:R31" si="3">P9</f>
        <v>181.6</v>
      </c>
      <c r="S9" s="70" t="s">
        <v>541</v>
      </c>
      <c r="T9" s="71">
        <v>55</v>
      </c>
      <c r="U9" s="191">
        <f>Q5+Q4+Q6+Q7-R9</f>
        <v>2506.08</v>
      </c>
      <c r="V9" s="73">
        <f>R5-O9+R6+R4+R7</f>
        <v>552</v>
      </c>
      <c r="W9" s="60">
        <f>T9*R9</f>
        <v>9988</v>
      </c>
    </row>
    <row r="10" spans="1:23" x14ac:dyDescent="0.25">
      <c r="B10" s="133">
        <v>4.54</v>
      </c>
      <c r="C10" s="15">
        <v>10</v>
      </c>
      <c r="D10" s="69">
        <f t="shared" ref="D10:D108" si="4">C10*B10</f>
        <v>45.4</v>
      </c>
      <c r="E10" s="196">
        <v>44786</v>
      </c>
      <c r="F10" s="69">
        <f t="shared" ref="F10:F31" si="5">D10</f>
        <v>45.4</v>
      </c>
      <c r="G10" s="70" t="s">
        <v>220</v>
      </c>
      <c r="H10" s="71">
        <v>56</v>
      </c>
      <c r="I10" s="191">
        <f>I9-F10</f>
        <v>1915.8799999999999</v>
      </c>
      <c r="J10" s="73">
        <f>J9-C10</f>
        <v>422</v>
      </c>
      <c r="K10" s="60">
        <f t="shared" ref="K10:K83" si="6">H10*F10</f>
        <v>2542.4</v>
      </c>
      <c r="N10" s="133">
        <v>4.54</v>
      </c>
      <c r="O10" s="15">
        <v>10</v>
      </c>
      <c r="P10" s="69">
        <f t="shared" si="2"/>
        <v>45.4</v>
      </c>
      <c r="Q10" s="196">
        <v>44810</v>
      </c>
      <c r="R10" s="69">
        <f t="shared" si="3"/>
        <v>45.4</v>
      </c>
      <c r="S10" s="70" t="s">
        <v>571</v>
      </c>
      <c r="T10" s="71">
        <v>55</v>
      </c>
      <c r="U10" s="191">
        <f>U9-R10</f>
        <v>2460.6799999999998</v>
      </c>
      <c r="V10" s="73">
        <f>V9-O10</f>
        <v>542</v>
      </c>
      <c r="W10" s="60">
        <f t="shared" ref="W10:W83" si="7">T10*R10</f>
        <v>2497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4"/>
        <v>45.4</v>
      </c>
      <c r="E11" s="196">
        <v>44786</v>
      </c>
      <c r="F11" s="69">
        <f t="shared" si="5"/>
        <v>45.4</v>
      </c>
      <c r="G11" s="70" t="s">
        <v>224</v>
      </c>
      <c r="H11" s="71">
        <v>56</v>
      </c>
      <c r="I11" s="191">
        <f t="shared" ref="I11:I74" si="8">I10-F11</f>
        <v>1870.4799999999998</v>
      </c>
      <c r="J11" s="73">
        <f t="shared" ref="J11:J74" si="9">J10-C11</f>
        <v>412</v>
      </c>
      <c r="K11" s="60">
        <f t="shared" si="6"/>
        <v>2542.4</v>
      </c>
      <c r="M11" s="55" t="s">
        <v>32</v>
      </c>
      <c r="N11" s="133">
        <v>4.54</v>
      </c>
      <c r="O11" s="15">
        <v>10</v>
      </c>
      <c r="P11" s="69">
        <f t="shared" si="2"/>
        <v>45.4</v>
      </c>
      <c r="Q11" s="196">
        <v>44810</v>
      </c>
      <c r="R11" s="69">
        <f t="shared" si="3"/>
        <v>45.4</v>
      </c>
      <c r="S11" s="70" t="s">
        <v>560</v>
      </c>
      <c r="T11" s="71">
        <v>55</v>
      </c>
      <c r="U11" s="191">
        <f t="shared" ref="U11:U74" si="10">U10-R11</f>
        <v>2415.2799999999997</v>
      </c>
      <c r="V11" s="73">
        <f t="shared" ref="V11:V74" si="11">V10-O11</f>
        <v>532</v>
      </c>
      <c r="W11" s="60">
        <f t="shared" si="7"/>
        <v>2497</v>
      </c>
    </row>
    <row r="12" spans="1:23" x14ac:dyDescent="0.25">
      <c r="A12" s="85"/>
      <c r="B12" s="133">
        <v>4.54</v>
      </c>
      <c r="C12" s="15">
        <v>3</v>
      </c>
      <c r="D12" s="69">
        <f t="shared" si="4"/>
        <v>13.620000000000001</v>
      </c>
      <c r="E12" s="196">
        <v>44788</v>
      </c>
      <c r="F12" s="69">
        <f t="shared" si="5"/>
        <v>13.620000000000001</v>
      </c>
      <c r="G12" s="70" t="s">
        <v>225</v>
      </c>
      <c r="H12" s="71">
        <v>56</v>
      </c>
      <c r="I12" s="191">
        <f t="shared" si="8"/>
        <v>1856.86</v>
      </c>
      <c r="J12" s="73">
        <f t="shared" si="9"/>
        <v>409</v>
      </c>
      <c r="K12" s="60">
        <f t="shared" si="6"/>
        <v>762.72</v>
      </c>
      <c r="M12" s="85"/>
      <c r="N12" s="133">
        <v>4.54</v>
      </c>
      <c r="O12" s="15">
        <v>5</v>
      </c>
      <c r="P12" s="69">
        <f t="shared" si="2"/>
        <v>22.7</v>
      </c>
      <c r="Q12" s="196">
        <v>44810</v>
      </c>
      <c r="R12" s="69">
        <f t="shared" si="3"/>
        <v>22.7</v>
      </c>
      <c r="S12" s="70" t="s">
        <v>573</v>
      </c>
      <c r="T12" s="71">
        <v>55</v>
      </c>
      <c r="U12" s="191">
        <f t="shared" si="10"/>
        <v>2392.58</v>
      </c>
      <c r="V12" s="73">
        <f t="shared" si="11"/>
        <v>527</v>
      </c>
      <c r="W12" s="60">
        <f t="shared" si="7"/>
        <v>1248.5</v>
      </c>
    </row>
    <row r="13" spans="1:23" x14ac:dyDescent="0.25">
      <c r="B13" s="133">
        <v>4.54</v>
      </c>
      <c r="C13" s="15">
        <v>30</v>
      </c>
      <c r="D13" s="69">
        <f t="shared" si="4"/>
        <v>136.19999999999999</v>
      </c>
      <c r="E13" s="196">
        <v>44788</v>
      </c>
      <c r="F13" s="69">
        <f t="shared" si="5"/>
        <v>136.19999999999999</v>
      </c>
      <c r="G13" s="70" t="s">
        <v>228</v>
      </c>
      <c r="H13" s="71">
        <v>56</v>
      </c>
      <c r="I13" s="191">
        <f t="shared" si="8"/>
        <v>1720.6599999999999</v>
      </c>
      <c r="J13" s="73">
        <f t="shared" si="9"/>
        <v>379</v>
      </c>
      <c r="K13" s="60">
        <f t="shared" si="6"/>
        <v>7627.1999999999989</v>
      </c>
      <c r="N13" s="133">
        <v>4.54</v>
      </c>
      <c r="O13" s="15">
        <v>30</v>
      </c>
      <c r="P13" s="69">
        <f t="shared" si="2"/>
        <v>136.19999999999999</v>
      </c>
      <c r="Q13" s="196">
        <v>44811</v>
      </c>
      <c r="R13" s="69">
        <f t="shared" si="3"/>
        <v>136.19999999999999</v>
      </c>
      <c r="S13" s="70" t="s">
        <v>576</v>
      </c>
      <c r="T13" s="71">
        <v>55</v>
      </c>
      <c r="U13" s="191">
        <f t="shared" si="10"/>
        <v>2256.38</v>
      </c>
      <c r="V13" s="73">
        <f t="shared" si="11"/>
        <v>497</v>
      </c>
      <c r="W13" s="60">
        <f t="shared" si="7"/>
        <v>7490.9999999999991</v>
      </c>
    </row>
    <row r="14" spans="1:23" x14ac:dyDescent="0.25">
      <c r="A14" s="55" t="s">
        <v>33</v>
      </c>
      <c r="B14" s="133">
        <v>4.54</v>
      </c>
      <c r="C14" s="15">
        <v>5</v>
      </c>
      <c r="D14" s="69">
        <f t="shared" si="4"/>
        <v>22.7</v>
      </c>
      <c r="E14" s="196">
        <v>44788</v>
      </c>
      <c r="F14" s="69">
        <f t="shared" si="5"/>
        <v>22.7</v>
      </c>
      <c r="G14" s="70" t="s">
        <v>229</v>
      </c>
      <c r="H14" s="71">
        <v>56</v>
      </c>
      <c r="I14" s="191">
        <f t="shared" si="8"/>
        <v>1697.9599999999998</v>
      </c>
      <c r="J14" s="73">
        <f t="shared" si="9"/>
        <v>374</v>
      </c>
      <c r="K14" s="60">
        <f t="shared" si="6"/>
        <v>1271.2</v>
      </c>
      <c r="M14" s="55" t="s">
        <v>33</v>
      </c>
      <c r="N14" s="133">
        <v>4.54</v>
      </c>
      <c r="O14" s="15">
        <v>15</v>
      </c>
      <c r="P14" s="69">
        <f t="shared" si="2"/>
        <v>68.099999999999994</v>
      </c>
      <c r="Q14" s="196">
        <v>44812</v>
      </c>
      <c r="R14" s="69">
        <f t="shared" si="3"/>
        <v>68.099999999999994</v>
      </c>
      <c r="S14" s="70" t="s">
        <v>561</v>
      </c>
      <c r="T14" s="71">
        <v>55</v>
      </c>
      <c r="U14" s="191">
        <f t="shared" si="10"/>
        <v>2188.2800000000002</v>
      </c>
      <c r="V14" s="73">
        <f t="shared" si="11"/>
        <v>482</v>
      </c>
      <c r="W14" s="60">
        <f t="shared" si="7"/>
        <v>3745.4999999999995</v>
      </c>
    </row>
    <row r="15" spans="1:23" x14ac:dyDescent="0.25">
      <c r="B15" s="133">
        <v>4.54</v>
      </c>
      <c r="C15" s="15">
        <v>40</v>
      </c>
      <c r="D15" s="69">
        <f t="shared" si="4"/>
        <v>181.6</v>
      </c>
      <c r="E15" s="134">
        <v>44788</v>
      </c>
      <c r="F15" s="69">
        <f t="shared" si="5"/>
        <v>181.6</v>
      </c>
      <c r="G15" s="70" t="s">
        <v>230</v>
      </c>
      <c r="H15" s="71">
        <v>56</v>
      </c>
      <c r="I15" s="191">
        <f t="shared" si="8"/>
        <v>1516.36</v>
      </c>
      <c r="J15" s="73">
        <f t="shared" si="9"/>
        <v>334</v>
      </c>
      <c r="K15" s="60">
        <f t="shared" si="6"/>
        <v>10169.6</v>
      </c>
      <c r="N15" s="133">
        <v>4.54</v>
      </c>
      <c r="O15" s="15">
        <v>30</v>
      </c>
      <c r="P15" s="69">
        <f t="shared" si="2"/>
        <v>136.19999999999999</v>
      </c>
      <c r="Q15" s="134">
        <v>44813</v>
      </c>
      <c r="R15" s="69">
        <f t="shared" si="3"/>
        <v>136.19999999999999</v>
      </c>
      <c r="S15" s="70" t="s">
        <v>586</v>
      </c>
      <c r="T15" s="71">
        <v>55</v>
      </c>
      <c r="U15" s="191">
        <f t="shared" si="10"/>
        <v>2052.0800000000004</v>
      </c>
      <c r="V15" s="73">
        <f t="shared" si="11"/>
        <v>452</v>
      </c>
      <c r="W15" s="60">
        <f t="shared" si="7"/>
        <v>7490.9999999999991</v>
      </c>
    </row>
    <row r="16" spans="1:23" x14ac:dyDescent="0.25">
      <c r="B16" s="133">
        <v>4.54</v>
      </c>
      <c r="C16" s="15">
        <v>30</v>
      </c>
      <c r="D16" s="69">
        <f t="shared" si="4"/>
        <v>136.19999999999999</v>
      </c>
      <c r="E16" s="196">
        <v>44792</v>
      </c>
      <c r="F16" s="69">
        <f t="shared" si="5"/>
        <v>136.19999999999999</v>
      </c>
      <c r="G16" s="70" t="s">
        <v>236</v>
      </c>
      <c r="H16" s="71">
        <v>56</v>
      </c>
      <c r="I16" s="191">
        <f t="shared" si="8"/>
        <v>1380.1599999999999</v>
      </c>
      <c r="J16" s="73">
        <f t="shared" si="9"/>
        <v>304</v>
      </c>
      <c r="K16" s="60">
        <f t="shared" si="6"/>
        <v>7627.1999999999989</v>
      </c>
      <c r="N16" s="133">
        <v>4.54</v>
      </c>
      <c r="O16" s="15">
        <v>30</v>
      </c>
      <c r="P16" s="69">
        <f t="shared" si="2"/>
        <v>136.19999999999999</v>
      </c>
      <c r="Q16" s="196">
        <v>44814</v>
      </c>
      <c r="R16" s="69">
        <f t="shared" si="3"/>
        <v>136.19999999999999</v>
      </c>
      <c r="S16" s="70" t="s">
        <v>603</v>
      </c>
      <c r="T16" s="71">
        <v>55</v>
      </c>
      <c r="U16" s="191">
        <f t="shared" si="10"/>
        <v>1915.8800000000003</v>
      </c>
      <c r="V16" s="73">
        <f t="shared" si="11"/>
        <v>422</v>
      </c>
      <c r="W16" s="60">
        <f t="shared" si="7"/>
        <v>7490.9999999999991</v>
      </c>
    </row>
    <row r="17" spans="2:23" x14ac:dyDescent="0.25">
      <c r="B17" s="133">
        <v>4.54</v>
      </c>
      <c r="C17" s="15">
        <v>1</v>
      </c>
      <c r="D17" s="69">
        <f t="shared" si="4"/>
        <v>4.54</v>
      </c>
      <c r="E17" s="196">
        <v>44792</v>
      </c>
      <c r="F17" s="69">
        <f t="shared" si="5"/>
        <v>4.54</v>
      </c>
      <c r="G17" s="70" t="s">
        <v>238</v>
      </c>
      <c r="H17" s="71">
        <v>56</v>
      </c>
      <c r="I17" s="191">
        <f t="shared" si="8"/>
        <v>1375.62</v>
      </c>
      <c r="J17" s="73">
        <f t="shared" si="9"/>
        <v>303</v>
      </c>
      <c r="K17" s="60">
        <f t="shared" si="6"/>
        <v>254.24</v>
      </c>
      <c r="N17" s="133">
        <v>4.54</v>
      </c>
      <c r="O17" s="15">
        <v>1</v>
      </c>
      <c r="P17" s="69">
        <f t="shared" si="2"/>
        <v>4.54</v>
      </c>
      <c r="Q17" s="196">
        <v>44816</v>
      </c>
      <c r="R17" s="69">
        <f t="shared" si="3"/>
        <v>4.54</v>
      </c>
      <c r="S17" s="70" t="s">
        <v>608</v>
      </c>
      <c r="T17" s="71">
        <v>55</v>
      </c>
      <c r="U17" s="191">
        <f t="shared" si="10"/>
        <v>1911.3400000000004</v>
      </c>
      <c r="V17" s="73">
        <f t="shared" si="11"/>
        <v>421</v>
      </c>
      <c r="W17" s="60">
        <f t="shared" si="7"/>
        <v>249.7</v>
      </c>
    </row>
    <row r="18" spans="2:23" x14ac:dyDescent="0.25">
      <c r="B18" s="133">
        <v>4.54</v>
      </c>
      <c r="C18" s="15">
        <v>10</v>
      </c>
      <c r="D18" s="69">
        <f t="shared" si="4"/>
        <v>45.4</v>
      </c>
      <c r="E18" s="196">
        <v>44793</v>
      </c>
      <c r="F18" s="69">
        <f t="shared" si="5"/>
        <v>45.4</v>
      </c>
      <c r="G18" s="70" t="s">
        <v>244</v>
      </c>
      <c r="H18" s="71">
        <v>56</v>
      </c>
      <c r="I18" s="191">
        <f t="shared" si="8"/>
        <v>1330.2199999999998</v>
      </c>
      <c r="J18" s="73">
        <f t="shared" si="9"/>
        <v>293</v>
      </c>
      <c r="K18" s="60">
        <f t="shared" si="6"/>
        <v>2542.4</v>
      </c>
      <c r="N18" s="133">
        <v>4.54</v>
      </c>
      <c r="O18" s="15">
        <v>10</v>
      </c>
      <c r="P18" s="69">
        <f t="shared" si="2"/>
        <v>45.4</v>
      </c>
      <c r="Q18" s="196">
        <v>44816</v>
      </c>
      <c r="R18" s="69">
        <f t="shared" si="3"/>
        <v>45.4</v>
      </c>
      <c r="S18" s="70" t="s">
        <v>612</v>
      </c>
      <c r="T18" s="71">
        <v>55</v>
      </c>
      <c r="U18" s="191">
        <f t="shared" si="10"/>
        <v>1865.9400000000003</v>
      </c>
      <c r="V18" s="73">
        <f t="shared" si="11"/>
        <v>411</v>
      </c>
      <c r="W18" s="60">
        <f t="shared" si="7"/>
        <v>2497</v>
      </c>
    </row>
    <row r="19" spans="2:23" x14ac:dyDescent="0.25">
      <c r="B19" s="133">
        <v>4.54</v>
      </c>
      <c r="C19" s="15">
        <v>30</v>
      </c>
      <c r="D19" s="69">
        <f t="shared" si="4"/>
        <v>136.19999999999999</v>
      </c>
      <c r="E19" s="196">
        <v>44793</v>
      </c>
      <c r="F19" s="69">
        <f t="shared" si="5"/>
        <v>136.19999999999999</v>
      </c>
      <c r="G19" s="70" t="s">
        <v>245</v>
      </c>
      <c r="H19" s="71">
        <v>56</v>
      </c>
      <c r="I19" s="191">
        <f t="shared" si="8"/>
        <v>1194.0199999999998</v>
      </c>
      <c r="J19" s="73">
        <f t="shared" si="9"/>
        <v>263</v>
      </c>
      <c r="K19" s="60">
        <f t="shared" si="6"/>
        <v>7627.1999999999989</v>
      </c>
      <c r="N19" s="133">
        <v>4.54</v>
      </c>
      <c r="O19" s="15">
        <v>20</v>
      </c>
      <c r="P19" s="69">
        <f t="shared" si="2"/>
        <v>90.8</v>
      </c>
      <c r="Q19" s="196">
        <v>44816</v>
      </c>
      <c r="R19" s="69">
        <f t="shared" si="3"/>
        <v>90.8</v>
      </c>
      <c r="S19" s="70" t="s">
        <v>613</v>
      </c>
      <c r="T19" s="71">
        <v>55</v>
      </c>
      <c r="U19" s="191">
        <f t="shared" si="10"/>
        <v>1775.1400000000003</v>
      </c>
      <c r="V19" s="73">
        <f t="shared" si="11"/>
        <v>391</v>
      </c>
      <c r="W19" s="60">
        <f t="shared" si="7"/>
        <v>4994</v>
      </c>
    </row>
    <row r="20" spans="2:23" x14ac:dyDescent="0.25">
      <c r="B20" s="133">
        <v>4.54</v>
      </c>
      <c r="C20" s="15">
        <v>5</v>
      </c>
      <c r="D20" s="69">
        <f t="shared" si="4"/>
        <v>22.7</v>
      </c>
      <c r="E20" s="196">
        <v>44795</v>
      </c>
      <c r="F20" s="69">
        <f t="shared" si="5"/>
        <v>22.7</v>
      </c>
      <c r="G20" s="70" t="s">
        <v>252</v>
      </c>
      <c r="H20" s="71">
        <v>56</v>
      </c>
      <c r="I20" s="191">
        <f t="shared" si="8"/>
        <v>1171.3199999999997</v>
      </c>
      <c r="J20" s="73">
        <f t="shared" si="9"/>
        <v>258</v>
      </c>
      <c r="K20" s="60">
        <f t="shared" si="6"/>
        <v>1271.2</v>
      </c>
      <c r="N20" s="133">
        <v>4.54</v>
      </c>
      <c r="O20" s="15">
        <v>5</v>
      </c>
      <c r="P20" s="69">
        <f t="shared" si="2"/>
        <v>22.7</v>
      </c>
      <c r="Q20" s="196">
        <v>44816</v>
      </c>
      <c r="R20" s="69">
        <f t="shared" si="3"/>
        <v>22.7</v>
      </c>
      <c r="S20" s="70" t="s">
        <v>615</v>
      </c>
      <c r="T20" s="71">
        <v>55</v>
      </c>
      <c r="U20" s="191">
        <f t="shared" si="10"/>
        <v>1752.4400000000003</v>
      </c>
      <c r="V20" s="73">
        <f t="shared" si="11"/>
        <v>386</v>
      </c>
      <c r="W20" s="60">
        <f t="shared" si="7"/>
        <v>1248.5</v>
      </c>
    </row>
    <row r="21" spans="2:23" x14ac:dyDescent="0.25">
      <c r="B21" s="133">
        <v>4.54</v>
      </c>
      <c r="C21" s="15">
        <v>30</v>
      </c>
      <c r="D21" s="69">
        <f t="shared" si="4"/>
        <v>136.19999999999999</v>
      </c>
      <c r="E21" s="196">
        <v>44795</v>
      </c>
      <c r="F21" s="69">
        <f t="shared" si="5"/>
        <v>136.19999999999999</v>
      </c>
      <c r="G21" s="70" t="s">
        <v>246</v>
      </c>
      <c r="H21" s="71">
        <v>56</v>
      </c>
      <c r="I21" s="191">
        <f t="shared" si="8"/>
        <v>1035.1199999999997</v>
      </c>
      <c r="J21" s="73">
        <f t="shared" si="9"/>
        <v>228</v>
      </c>
      <c r="K21" s="60">
        <f t="shared" si="6"/>
        <v>7627.1999999999989</v>
      </c>
      <c r="N21" s="133">
        <v>4.54</v>
      </c>
      <c r="O21" s="15">
        <v>5</v>
      </c>
      <c r="P21" s="69">
        <f t="shared" si="2"/>
        <v>22.7</v>
      </c>
      <c r="Q21" s="196">
        <v>44817</v>
      </c>
      <c r="R21" s="69">
        <f t="shared" si="3"/>
        <v>22.7</v>
      </c>
      <c r="S21" s="70" t="s">
        <v>619</v>
      </c>
      <c r="T21" s="71">
        <v>55</v>
      </c>
      <c r="U21" s="191">
        <f t="shared" si="10"/>
        <v>1729.7400000000002</v>
      </c>
      <c r="V21" s="73">
        <f t="shared" si="11"/>
        <v>381</v>
      </c>
      <c r="W21" s="60">
        <f t="shared" si="7"/>
        <v>1248.5</v>
      </c>
    </row>
    <row r="22" spans="2:23" x14ac:dyDescent="0.25">
      <c r="B22" s="133">
        <v>4.54</v>
      </c>
      <c r="C22" s="15">
        <v>10</v>
      </c>
      <c r="D22" s="69">
        <f t="shared" si="4"/>
        <v>45.4</v>
      </c>
      <c r="E22" s="196">
        <v>44796</v>
      </c>
      <c r="F22" s="69">
        <f t="shared" si="5"/>
        <v>45.4</v>
      </c>
      <c r="G22" s="70" t="s">
        <v>255</v>
      </c>
      <c r="H22" s="71">
        <v>56</v>
      </c>
      <c r="I22" s="191">
        <f t="shared" si="8"/>
        <v>989.71999999999969</v>
      </c>
      <c r="J22" s="73">
        <f t="shared" si="9"/>
        <v>218</v>
      </c>
      <c r="K22" s="60">
        <f t="shared" si="6"/>
        <v>2542.4</v>
      </c>
      <c r="N22" s="133">
        <v>4.54</v>
      </c>
      <c r="O22" s="15">
        <v>30</v>
      </c>
      <c r="P22" s="69">
        <f t="shared" si="2"/>
        <v>136.19999999999999</v>
      </c>
      <c r="Q22" s="196">
        <v>44817</v>
      </c>
      <c r="R22" s="69">
        <f t="shared" si="3"/>
        <v>136.19999999999999</v>
      </c>
      <c r="S22" s="70" t="s">
        <v>623</v>
      </c>
      <c r="T22" s="71">
        <v>55</v>
      </c>
      <c r="U22" s="191">
        <f t="shared" si="10"/>
        <v>1593.5400000000002</v>
      </c>
      <c r="V22" s="73">
        <f t="shared" si="11"/>
        <v>351</v>
      </c>
      <c r="W22" s="60">
        <f t="shared" si="7"/>
        <v>7490.9999999999991</v>
      </c>
    </row>
    <row r="23" spans="2:23" x14ac:dyDescent="0.25">
      <c r="B23" s="133">
        <v>4.54</v>
      </c>
      <c r="C23" s="15">
        <v>2</v>
      </c>
      <c r="D23" s="69">
        <f t="shared" si="4"/>
        <v>9.08</v>
      </c>
      <c r="E23" s="196">
        <v>44797</v>
      </c>
      <c r="F23" s="69">
        <f t="shared" si="5"/>
        <v>9.08</v>
      </c>
      <c r="G23" s="70" t="s">
        <v>259</v>
      </c>
      <c r="H23" s="71">
        <v>56</v>
      </c>
      <c r="I23" s="191">
        <f t="shared" si="8"/>
        <v>980.63999999999965</v>
      </c>
      <c r="J23" s="73">
        <f t="shared" si="9"/>
        <v>216</v>
      </c>
      <c r="K23" s="60">
        <f t="shared" si="6"/>
        <v>508.48</v>
      </c>
      <c r="N23" s="133">
        <v>4.54</v>
      </c>
      <c r="O23" s="15">
        <v>15</v>
      </c>
      <c r="P23" s="69">
        <f t="shared" si="2"/>
        <v>68.099999999999994</v>
      </c>
      <c r="Q23" s="196">
        <v>44818</v>
      </c>
      <c r="R23" s="69">
        <f t="shared" si="3"/>
        <v>68.099999999999994</v>
      </c>
      <c r="S23" s="70" t="s">
        <v>632</v>
      </c>
      <c r="T23" s="71">
        <v>55</v>
      </c>
      <c r="U23" s="191">
        <f t="shared" si="10"/>
        <v>1525.4400000000003</v>
      </c>
      <c r="V23" s="73">
        <f t="shared" si="11"/>
        <v>336</v>
      </c>
      <c r="W23" s="60">
        <f t="shared" si="7"/>
        <v>3745.4999999999995</v>
      </c>
    </row>
    <row r="24" spans="2:23" x14ac:dyDescent="0.25">
      <c r="B24" s="133">
        <v>4.54</v>
      </c>
      <c r="C24" s="15">
        <v>10</v>
      </c>
      <c r="D24" s="69">
        <f t="shared" si="4"/>
        <v>45.4</v>
      </c>
      <c r="E24" s="196">
        <v>44798</v>
      </c>
      <c r="F24" s="69">
        <f t="shared" si="5"/>
        <v>45.4</v>
      </c>
      <c r="G24" s="70" t="s">
        <v>261</v>
      </c>
      <c r="H24" s="71">
        <v>58</v>
      </c>
      <c r="I24" s="191">
        <f t="shared" si="8"/>
        <v>935.23999999999967</v>
      </c>
      <c r="J24" s="73">
        <f t="shared" si="9"/>
        <v>206</v>
      </c>
      <c r="K24" s="60">
        <f t="shared" si="6"/>
        <v>2633.2</v>
      </c>
      <c r="N24" s="133">
        <v>4.54</v>
      </c>
      <c r="O24" s="15">
        <v>30</v>
      </c>
      <c r="P24" s="69">
        <f t="shared" si="2"/>
        <v>136.19999999999999</v>
      </c>
      <c r="Q24" s="196">
        <v>44819</v>
      </c>
      <c r="R24" s="69">
        <f t="shared" si="3"/>
        <v>136.19999999999999</v>
      </c>
      <c r="S24" s="70" t="s">
        <v>638</v>
      </c>
      <c r="T24" s="71">
        <v>55</v>
      </c>
      <c r="U24" s="191">
        <f t="shared" si="10"/>
        <v>1389.2400000000002</v>
      </c>
      <c r="V24" s="73">
        <f t="shared" si="11"/>
        <v>306</v>
      </c>
      <c r="W24" s="60">
        <f t="shared" si="7"/>
        <v>7490.9999999999991</v>
      </c>
    </row>
    <row r="25" spans="2:23" x14ac:dyDescent="0.25">
      <c r="B25" s="133">
        <v>4.54</v>
      </c>
      <c r="C25" s="15">
        <v>30</v>
      </c>
      <c r="D25" s="69">
        <f t="shared" si="4"/>
        <v>136.19999999999999</v>
      </c>
      <c r="E25" s="196">
        <v>44798</v>
      </c>
      <c r="F25" s="69">
        <f t="shared" si="5"/>
        <v>136.19999999999999</v>
      </c>
      <c r="G25" s="70" t="s">
        <v>262</v>
      </c>
      <c r="H25" s="71">
        <v>58</v>
      </c>
      <c r="I25" s="191">
        <f t="shared" si="8"/>
        <v>799.03999999999974</v>
      </c>
      <c r="J25" s="73">
        <f t="shared" si="9"/>
        <v>176</v>
      </c>
      <c r="K25" s="60">
        <f t="shared" si="6"/>
        <v>7899.5999999999995</v>
      </c>
      <c r="N25" s="133">
        <v>4.54</v>
      </c>
      <c r="O25" s="15">
        <v>10</v>
      </c>
      <c r="P25" s="69">
        <f t="shared" si="2"/>
        <v>45.4</v>
      </c>
      <c r="Q25" s="196">
        <v>44821</v>
      </c>
      <c r="R25" s="69">
        <f t="shared" si="3"/>
        <v>45.4</v>
      </c>
      <c r="S25" s="70" t="s">
        <v>666</v>
      </c>
      <c r="T25" s="71">
        <v>55</v>
      </c>
      <c r="U25" s="191">
        <f t="shared" si="10"/>
        <v>1343.8400000000001</v>
      </c>
      <c r="V25" s="73">
        <f t="shared" si="11"/>
        <v>296</v>
      </c>
      <c r="W25" s="60">
        <f t="shared" si="7"/>
        <v>2497</v>
      </c>
    </row>
    <row r="26" spans="2:23" x14ac:dyDescent="0.25">
      <c r="B26" s="133">
        <v>4.54</v>
      </c>
      <c r="C26" s="15">
        <v>10</v>
      </c>
      <c r="D26" s="69">
        <f t="shared" si="4"/>
        <v>45.4</v>
      </c>
      <c r="E26" s="196">
        <v>44798</v>
      </c>
      <c r="F26" s="69">
        <f t="shared" si="5"/>
        <v>45.4</v>
      </c>
      <c r="G26" s="70" t="s">
        <v>263</v>
      </c>
      <c r="H26" s="71">
        <v>58</v>
      </c>
      <c r="I26" s="191">
        <f t="shared" si="8"/>
        <v>753.63999999999976</v>
      </c>
      <c r="J26" s="73">
        <f t="shared" si="9"/>
        <v>166</v>
      </c>
      <c r="K26" s="60">
        <f t="shared" si="6"/>
        <v>2633.2</v>
      </c>
      <c r="N26" s="133">
        <v>4.54</v>
      </c>
      <c r="O26" s="15">
        <v>5</v>
      </c>
      <c r="P26" s="69">
        <f t="shared" si="2"/>
        <v>22.7</v>
      </c>
      <c r="Q26" s="196">
        <v>44821</v>
      </c>
      <c r="R26" s="69">
        <f t="shared" si="3"/>
        <v>22.7</v>
      </c>
      <c r="S26" s="70" t="s">
        <v>661</v>
      </c>
      <c r="T26" s="71">
        <v>55</v>
      </c>
      <c r="U26" s="191">
        <f t="shared" si="10"/>
        <v>1321.14</v>
      </c>
      <c r="V26" s="73">
        <f t="shared" si="11"/>
        <v>291</v>
      </c>
      <c r="W26" s="60">
        <f t="shared" si="7"/>
        <v>1248.5</v>
      </c>
    </row>
    <row r="27" spans="2:23" x14ac:dyDescent="0.25">
      <c r="B27" s="133">
        <v>4.54</v>
      </c>
      <c r="C27" s="15">
        <v>5</v>
      </c>
      <c r="D27" s="69">
        <f t="shared" si="4"/>
        <v>22.7</v>
      </c>
      <c r="E27" s="196">
        <v>44800</v>
      </c>
      <c r="F27" s="69">
        <f t="shared" si="5"/>
        <v>22.7</v>
      </c>
      <c r="G27" s="70" t="s">
        <v>265</v>
      </c>
      <c r="H27" s="71">
        <v>58</v>
      </c>
      <c r="I27" s="191">
        <f t="shared" si="8"/>
        <v>730.93999999999971</v>
      </c>
      <c r="J27" s="73">
        <f t="shared" si="9"/>
        <v>161</v>
      </c>
      <c r="K27" s="60">
        <f t="shared" si="6"/>
        <v>1316.6</v>
      </c>
      <c r="N27" s="133">
        <v>4.54</v>
      </c>
      <c r="O27" s="15">
        <v>5</v>
      </c>
      <c r="P27" s="69">
        <f t="shared" si="2"/>
        <v>22.7</v>
      </c>
      <c r="Q27" s="196">
        <v>44821</v>
      </c>
      <c r="R27" s="69">
        <f t="shared" si="3"/>
        <v>22.7</v>
      </c>
      <c r="S27" s="70" t="s">
        <v>673</v>
      </c>
      <c r="T27" s="71">
        <v>55</v>
      </c>
      <c r="U27" s="191">
        <f t="shared" si="10"/>
        <v>1298.44</v>
      </c>
      <c r="V27" s="73">
        <f t="shared" si="11"/>
        <v>286</v>
      </c>
      <c r="W27" s="60">
        <f t="shared" si="7"/>
        <v>1248.5</v>
      </c>
    </row>
    <row r="28" spans="2:23" x14ac:dyDescent="0.25">
      <c r="B28" s="133">
        <v>4.54</v>
      </c>
      <c r="C28" s="15">
        <v>30</v>
      </c>
      <c r="D28" s="69">
        <f t="shared" si="4"/>
        <v>136.19999999999999</v>
      </c>
      <c r="E28" s="196">
        <v>44800</v>
      </c>
      <c r="F28" s="69">
        <f t="shared" si="5"/>
        <v>136.19999999999999</v>
      </c>
      <c r="G28" s="70" t="s">
        <v>272</v>
      </c>
      <c r="H28" s="71">
        <v>58</v>
      </c>
      <c r="I28" s="191">
        <f t="shared" si="8"/>
        <v>594.73999999999978</v>
      </c>
      <c r="J28" s="73">
        <f t="shared" si="9"/>
        <v>131</v>
      </c>
      <c r="K28" s="60">
        <f t="shared" si="6"/>
        <v>7899.5999999999995</v>
      </c>
      <c r="N28" s="133">
        <v>4.54</v>
      </c>
      <c r="O28" s="15">
        <v>3</v>
      </c>
      <c r="P28" s="69">
        <f t="shared" si="2"/>
        <v>13.620000000000001</v>
      </c>
      <c r="Q28" s="196">
        <v>44823</v>
      </c>
      <c r="R28" s="69">
        <f t="shared" si="3"/>
        <v>13.620000000000001</v>
      </c>
      <c r="S28" s="70" t="s">
        <v>676</v>
      </c>
      <c r="T28" s="71">
        <v>55</v>
      </c>
      <c r="U28" s="191">
        <f t="shared" si="10"/>
        <v>1284.8200000000002</v>
      </c>
      <c r="V28" s="73">
        <f t="shared" si="11"/>
        <v>283</v>
      </c>
      <c r="W28" s="60">
        <f t="shared" si="7"/>
        <v>749.1</v>
      </c>
    </row>
    <row r="29" spans="2:23" x14ac:dyDescent="0.25">
      <c r="B29" s="133">
        <v>4.54</v>
      </c>
      <c r="C29" s="15">
        <v>15</v>
      </c>
      <c r="D29" s="694">
        <f t="shared" si="4"/>
        <v>68.099999999999994</v>
      </c>
      <c r="E29" s="702">
        <v>44802</v>
      </c>
      <c r="F29" s="694">
        <f t="shared" si="5"/>
        <v>68.099999999999994</v>
      </c>
      <c r="G29" s="696" t="s">
        <v>502</v>
      </c>
      <c r="H29" s="388">
        <v>58</v>
      </c>
      <c r="I29" s="191">
        <f t="shared" si="8"/>
        <v>526.63999999999976</v>
      </c>
      <c r="J29" s="73">
        <f t="shared" si="9"/>
        <v>116</v>
      </c>
      <c r="K29" s="60">
        <f t="shared" si="6"/>
        <v>3949.7999999999997</v>
      </c>
      <c r="N29" s="133">
        <v>4.54</v>
      </c>
      <c r="O29" s="15">
        <v>30</v>
      </c>
      <c r="P29" s="69">
        <f t="shared" si="2"/>
        <v>136.19999999999999</v>
      </c>
      <c r="Q29" s="196">
        <v>44823</v>
      </c>
      <c r="R29" s="69">
        <f t="shared" si="3"/>
        <v>136.19999999999999</v>
      </c>
      <c r="S29" s="70" t="s">
        <v>677</v>
      </c>
      <c r="T29" s="71">
        <v>55</v>
      </c>
      <c r="U29" s="191">
        <f t="shared" si="10"/>
        <v>1148.6200000000001</v>
      </c>
      <c r="V29" s="73">
        <f t="shared" si="11"/>
        <v>253</v>
      </c>
      <c r="W29" s="60">
        <f t="shared" si="7"/>
        <v>7490.9999999999991</v>
      </c>
    </row>
    <row r="30" spans="2:23" x14ac:dyDescent="0.25">
      <c r="B30" s="133">
        <v>4.54</v>
      </c>
      <c r="C30" s="15">
        <v>2</v>
      </c>
      <c r="D30" s="694">
        <f t="shared" si="4"/>
        <v>9.08</v>
      </c>
      <c r="E30" s="702">
        <v>44802</v>
      </c>
      <c r="F30" s="694">
        <f t="shared" si="5"/>
        <v>9.08</v>
      </c>
      <c r="G30" s="696" t="s">
        <v>504</v>
      </c>
      <c r="H30" s="388">
        <v>58</v>
      </c>
      <c r="I30" s="191">
        <f t="shared" si="8"/>
        <v>517.55999999999972</v>
      </c>
      <c r="J30" s="73">
        <f t="shared" si="9"/>
        <v>114</v>
      </c>
      <c r="K30" s="60">
        <f t="shared" si="6"/>
        <v>526.64</v>
      </c>
      <c r="N30" s="133">
        <v>4.54</v>
      </c>
      <c r="O30" s="15">
        <v>10</v>
      </c>
      <c r="P30" s="69">
        <f t="shared" si="2"/>
        <v>45.4</v>
      </c>
      <c r="Q30" s="196">
        <v>44824</v>
      </c>
      <c r="R30" s="69">
        <f t="shared" si="3"/>
        <v>45.4</v>
      </c>
      <c r="S30" s="70" t="s">
        <v>687</v>
      </c>
      <c r="T30" s="71">
        <v>55</v>
      </c>
      <c r="U30" s="191">
        <f t="shared" si="10"/>
        <v>1103.22</v>
      </c>
      <c r="V30" s="73">
        <f t="shared" si="11"/>
        <v>243</v>
      </c>
      <c r="W30" s="60">
        <f t="shared" si="7"/>
        <v>2497</v>
      </c>
    </row>
    <row r="31" spans="2:23" x14ac:dyDescent="0.25">
      <c r="B31" s="133">
        <v>4.54</v>
      </c>
      <c r="C31" s="15">
        <v>20</v>
      </c>
      <c r="D31" s="694">
        <f t="shared" si="4"/>
        <v>90.8</v>
      </c>
      <c r="E31" s="702">
        <v>44802</v>
      </c>
      <c r="F31" s="694">
        <f t="shared" si="5"/>
        <v>90.8</v>
      </c>
      <c r="G31" s="696" t="s">
        <v>504</v>
      </c>
      <c r="H31" s="388">
        <v>58</v>
      </c>
      <c r="I31" s="191">
        <f t="shared" si="8"/>
        <v>426.75999999999971</v>
      </c>
      <c r="J31" s="73">
        <f t="shared" si="9"/>
        <v>94</v>
      </c>
      <c r="K31" s="60">
        <f t="shared" si="6"/>
        <v>5266.4</v>
      </c>
      <c r="N31" s="133">
        <v>4.54</v>
      </c>
      <c r="O31" s="15">
        <v>30</v>
      </c>
      <c r="P31" s="69">
        <f t="shared" si="2"/>
        <v>136.19999999999999</v>
      </c>
      <c r="Q31" s="196">
        <v>44827</v>
      </c>
      <c r="R31" s="69">
        <f t="shared" si="3"/>
        <v>136.19999999999999</v>
      </c>
      <c r="S31" s="70" t="s">
        <v>706</v>
      </c>
      <c r="T31" s="71">
        <v>55</v>
      </c>
      <c r="U31" s="191">
        <f t="shared" si="10"/>
        <v>967.02</v>
      </c>
      <c r="V31" s="73">
        <f t="shared" si="11"/>
        <v>213</v>
      </c>
      <c r="W31" s="60">
        <f t="shared" si="7"/>
        <v>7490.9999999999991</v>
      </c>
    </row>
    <row r="32" spans="2:23" x14ac:dyDescent="0.25">
      <c r="B32" s="133">
        <v>4.54</v>
      </c>
      <c r="C32" s="15">
        <v>5</v>
      </c>
      <c r="D32" s="694">
        <f t="shared" si="4"/>
        <v>22.7</v>
      </c>
      <c r="E32" s="702">
        <v>44803</v>
      </c>
      <c r="F32" s="694">
        <f>D32</f>
        <v>22.7</v>
      </c>
      <c r="G32" s="696" t="s">
        <v>507</v>
      </c>
      <c r="H32" s="388">
        <v>58</v>
      </c>
      <c r="I32" s="191">
        <f t="shared" si="8"/>
        <v>404.05999999999972</v>
      </c>
      <c r="J32" s="73">
        <f t="shared" si="9"/>
        <v>89</v>
      </c>
      <c r="K32" s="60">
        <f t="shared" si="6"/>
        <v>1316.6</v>
      </c>
      <c r="N32" s="133">
        <v>4.54</v>
      </c>
      <c r="O32" s="15">
        <v>10</v>
      </c>
      <c r="P32" s="69">
        <f t="shared" si="2"/>
        <v>45.4</v>
      </c>
      <c r="Q32" s="196">
        <v>44827</v>
      </c>
      <c r="R32" s="69">
        <f>P32</f>
        <v>45.4</v>
      </c>
      <c r="S32" s="70" t="s">
        <v>706</v>
      </c>
      <c r="T32" s="71">
        <v>55</v>
      </c>
      <c r="U32" s="191">
        <f t="shared" si="10"/>
        <v>921.62</v>
      </c>
      <c r="V32" s="73">
        <f t="shared" si="11"/>
        <v>203</v>
      </c>
      <c r="W32" s="60">
        <f t="shared" si="7"/>
        <v>2497</v>
      </c>
    </row>
    <row r="33" spans="1:23" x14ac:dyDescent="0.25">
      <c r="B33" s="133">
        <v>4.54</v>
      </c>
      <c r="C33" s="15">
        <v>20</v>
      </c>
      <c r="D33" s="694">
        <f t="shared" si="4"/>
        <v>90.8</v>
      </c>
      <c r="E33" s="705">
        <v>44804</v>
      </c>
      <c r="F33" s="694">
        <f>D33</f>
        <v>90.8</v>
      </c>
      <c r="G33" s="696" t="s">
        <v>518</v>
      </c>
      <c r="H33" s="388">
        <v>58</v>
      </c>
      <c r="I33" s="191">
        <f t="shared" si="8"/>
        <v>313.25999999999971</v>
      </c>
      <c r="J33" s="73">
        <f t="shared" si="9"/>
        <v>69</v>
      </c>
      <c r="K33" s="60">
        <f t="shared" si="6"/>
        <v>5266.4</v>
      </c>
      <c r="N33" s="133">
        <v>4.54</v>
      </c>
      <c r="O33" s="15">
        <v>10</v>
      </c>
      <c r="P33" s="69">
        <f t="shared" si="2"/>
        <v>45.4</v>
      </c>
      <c r="Q33" s="134">
        <v>44828</v>
      </c>
      <c r="R33" s="69">
        <f>P33</f>
        <v>45.4</v>
      </c>
      <c r="S33" s="70" t="s">
        <v>711</v>
      </c>
      <c r="T33" s="71">
        <v>55</v>
      </c>
      <c r="U33" s="191">
        <f t="shared" si="10"/>
        <v>876.22</v>
      </c>
      <c r="V33" s="73">
        <f t="shared" si="11"/>
        <v>193</v>
      </c>
      <c r="W33" s="60">
        <f t="shared" si="7"/>
        <v>2497</v>
      </c>
    </row>
    <row r="34" spans="1:23" x14ac:dyDescent="0.25">
      <c r="B34" s="133">
        <v>4.54</v>
      </c>
      <c r="C34" s="15">
        <v>5</v>
      </c>
      <c r="D34" s="694">
        <f t="shared" si="4"/>
        <v>22.7</v>
      </c>
      <c r="E34" s="705">
        <v>44804</v>
      </c>
      <c r="F34" s="694">
        <f t="shared" ref="F34:F108" si="12">D34</f>
        <v>22.7</v>
      </c>
      <c r="G34" s="696" t="s">
        <v>523</v>
      </c>
      <c r="H34" s="388">
        <v>58</v>
      </c>
      <c r="I34" s="191">
        <f t="shared" si="8"/>
        <v>290.55999999999972</v>
      </c>
      <c r="J34" s="73">
        <f t="shared" si="9"/>
        <v>64</v>
      </c>
      <c r="K34" s="60">
        <f t="shared" si="6"/>
        <v>1316.6</v>
      </c>
      <c r="N34" s="133">
        <v>4.54</v>
      </c>
      <c r="O34" s="15">
        <v>30</v>
      </c>
      <c r="P34" s="69">
        <f t="shared" si="2"/>
        <v>136.19999999999999</v>
      </c>
      <c r="Q34" s="134">
        <v>44828</v>
      </c>
      <c r="R34" s="69">
        <f t="shared" ref="R34:R108" si="13">P34</f>
        <v>136.19999999999999</v>
      </c>
      <c r="S34" s="70" t="s">
        <v>713</v>
      </c>
      <c r="T34" s="71">
        <v>55</v>
      </c>
      <c r="U34" s="191">
        <f t="shared" si="10"/>
        <v>740.02</v>
      </c>
      <c r="V34" s="73">
        <f t="shared" si="11"/>
        <v>163</v>
      </c>
      <c r="W34" s="60">
        <f t="shared" si="7"/>
        <v>7490.9999999999991</v>
      </c>
    </row>
    <row r="35" spans="1:23" x14ac:dyDescent="0.25">
      <c r="B35" s="133">
        <v>4.54</v>
      </c>
      <c r="C35" s="15">
        <v>15</v>
      </c>
      <c r="D35" s="694">
        <f t="shared" si="4"/>
        <v>68.099999999999994</v>
      </c>
      <c r="E35" s="705">
        <v>44805</v>
      </c>
      <c r="F35" s="694">
        <f t="shared" si="12"/>
        <v>68.099999999999994</v>
      </c>
      <c r="G35" s="696" t="s">
        <v>527</v>
      </c>
      <c r="H35" s="388">
        <v>58</v>
      </c>
      <c r="I35" s="191">
        <f t="shared" si="8"/>
        <v>222.45999999999972</v>
      </c>
      <c r="J35" s="73">
        <f t="shared" si="9"/>
        <v>49</v>
      </c>
      <c r="K35" s="60">
        <f t="shared" si="6"/>
        <v>3949.7999999999997</v>
      </c>
      <c r="N35" s="133">
        <v>4.54</v>
      </c>
      <c r="O35" s="15">
        <v>6</v>
      </c>
      <c r="P35" s="69">
        <f t="shared" si="2"/>
        <v>27.240000000000002</v>
      </c>
      <c r="Q35" s="134">
        <v>44830</v>
      </c>
      <c r="R35" s="69">
        <f t="shared" si="13"/>
        <v>27.240000000000002</v>
      </c>
      <c r="S35" s="70" t="s">
        <v>719</v>
      </c>
      <c r="T35" s="71">
        <v>55</v>
      </c>
      <c r="U35" s="191">
        <f t="shared" si="10"/>
        <v>712.78</v>
      </c>
      <c r="V35" s="73">
        <f t="shared" si="11"/>
        <v>157</v>
      </c>
      <c r="W35" s="60">
        <f t="shared" si="7"/>
        <v>1498.2</v>
      </c>
    </row>
    <row r="36" spans="1:23" x14ac:dyDescent="0.25">
      <c r="A36" s="75"/>
      <c r="B36" s="133">
        <v>4.54</v>
      </c>
      <c r="C36" s="15">
        <v>5</v>
      </c>
      <c r="D36" s="694">
        <f t="shared" si="4"/>
        <v>22.7</v>
      </c>
      <c r="E36" s="705">
        <v>44807</v>
      </c>
      <c r="F36" s="694">
        <f t="shared" si="12"/>
        <v>22.7</v>
      </c>
      <c r="G36" s="696" t="s">
        <v>552</v>
      </c>
      <c r="H36" s="388">
        <v>58</v>
      </c>
      <c r="I36" s="191">
        <f t="shared" si="8"/>
        <v>199.75999999999974</v>
      </c>
      <c r="J36" s="73">
        <f t="shared" si="9"/>
        <v>44</v>
      </c>
      <c r="K36" s="60">
        <f t="shared" si="6"/>
        <v>1316.6</v>
      </c>
      <c r="M36" s="75"/>
      <c r="N36" s="133">
        <v>4.54</v>
      </c>
      <c r="O36" s="15">
        <v>30</v>
      </c>
      <c r="P36" s="69">
        <f t="shared" si="2"/>
        <v>136.19999999999999</v>
      </c>
      <c r="Q36" s="134">
        <v>44830</v>
      </c>
      <c r="R36" s="69">
        <f t="shared" si="13"/>
        <v>136.19999999999999</v>
      </c>
      <c r="S36" s="70" t="s">
        <v>720</v>
      </c>
      <c r="T36" s="71">
        <v>55</v>
      </c>
      <c r="U36" s="191">
        <f t="shared" si="10"/>
        <v>576.57999999999993</v>
      </c>
      <c r="V36" s="73">
        <f t="shared" si="11"/>
        <v>127</v>
      </c>
      <c r="W36" s="60">
        <f t="shared" si="7"/>
        <v>7490.9999999999991</v>
      </c>
    </row>
    <row r="37" spans="1:23" x14ac:dyDescent="0.25">
      <c r="B37" s="133">
        <v>4.54</v>
      </c>
      <c r="C37" s="15">
        <v>30</v>
      </c>
      <c r="D37" s="694">
        <f t="shared" si="4"/>
        <v>136.19999999999999</v>
      </c>
      <c r="E37" s="705">
        <v>44807</v>
      </c>
      <c r="F37" s="694">
        <f t="shared" si="12"/>
        <v>136.19999999999999</v>
      </c>
      <c r="G37" s="696" t="s">
        <v>555</v>
      </c>
      <c r="H37" s="388">
        <v>58</v>
      </c>
      <c r="I37" s="191">
        <f t="shared" si="8"/>
        <v>63.559999999999746</v>
      </c>
      <c r="J37" s="73">
        <f t="shared" si="9"/>
        <v>14</v>
      </c>
      <c r="K37" s="60">
        <f t="shared" si="6"/>
        <v>7899.5999999999995</v>
      </c>
      <c r="N37" s="133">
        <v>4.54</v>
      </c>
      <c r="O37" s="15">
        <v>1</v>
      </c>
      <c r="P37" s="69">
        <f t="shared" si="2"/>
        <v>4.54</v>
      </c>
      <c r="Q37" s="134">
        <v>44830</v>
      </c>
      <c r="R37" s="69">
        <f t="shared" si="13"/>
        <v>4.54</v>
      </c>
      <c r="S37" s="70" t="s">
        <v>724</v>
      </c>
      <c r="T37" s="71">
        <v>55</v>
      </c>
      <c r="U37" s="191">
        <f t="shared" si="10"/>
        <v>572.04</v>
      </c>
      <c r="V37" s="73">
        <f t="shared" si="11"/>
        <v>126</v>
      </c>
      <c r="W37" s="60">
        <f t="shared" si="7"/>
        <v>249.7</v>
      </c>
    </row>
    <row r="38" spans="1:23" x14ac:dyDescent="0.25">
      <c r="B38" s="133">
        <v>4.54</v>
      </c>
      <c r="C38" s="15">
        <v>10</v>
      </c>
      <c r="D38" s="694">
        <f t="shared" si="4"/>
        <v>45.4</v>
      </c>
      <c r="E38" s="702">
        <v>44807</v>
      </c>
      <c r="F38" s="694">
        <f t="shared" si="12"/>
        <v>45.4</v>
      </c>
      <c r="G38" s="696" t="s">
        <v>556</v>
      </c>
      <c r="H38" s="388">
        <v>58</v>
      </c>
      <c r="I38" s="191">
        <f t="shared" si="8"/>
        <v>18.159999999999748</v>
      </c>
      <c r="J38" s="73">
        <f t="shared" si="9"/>
        <v>4</v>
      </c>
      <c r="K38" s="60">
        <f t="shared" si="6"/>
        <v>2633.2</v>
      </c>
      <c r="N38" s="133">
        <v>4.54</v>
      </c>
      <c r="O38" s="15">
        <v>10</v>
      </c>
      <c r="P38" s="69">
        <f t="shared" si="2"/>
        <v>45.4</v>
      </c>
      <c r="Q38" s="196">
        <v>44831</v>
      </c>
      <c r="R38" s="69">
        <f t="shared" si="13"/>
        <v>45.4</v>
      </c>
      <c r="S38" s="70" t="s">
        <v>725</v>
      </c>
      <c r="T38" s="71">
        <v>55</v>
      </c>
      <c r="U38" s="191">
        <f t="shared" si="10"/>
        <v>526.64</v>
      </c>
      <c r="V38" s="73">
        <f t="shared" si="11"/>
        <v>116</v>
      </c>
      <c r="W38" s="60">
        <f t="shared" si="7"/>
        <v>2497</v>
      </c>
    </row>
    <row r="39" spans="1:23" x14ac:dyDescent="0.25">
      <c r="B39" s="133">
        <v>4.54</v>
      </c>
      <c r="C39" s="15">
        <v>4</v>
      </c>
      <c r="D39" s="694">
        <f t="shared" si="4"/>
        <v>18.16</v>
      </c>
      <c r="E39" s="702">
        <v>44807</v>
      </c>
      <c r="F39" s="694">
        <f t="shared" si="12"/>
        <v>18.16</v>
      </c>
      <c r="G39" s="696" t="s">
        <v>562</v>
      </c>
      <c r="H39" s="388">
        <v>58</v>
      </c>
      <c r="I39" s="191">
        <f t="shared" si="8"/>
        <v>-2.5224267119483557E-13</v>
      </c>
      <c r="J39" s="73">
        <f t="shared" si="9"/>
        <v>0</v>
      </c>
      <c r="K39" s="60">
        <f t="shared" si="6"/>
        <v>1053.28</v>
      </c>
      <c r="N39" s="133">
        <v>4.54</v>
      </c>
      <c r="O39" s="15">
        <v>30</v>
      </c>
      <c r="P39" s="69">
        <f t="shared" si="2"/>
        <v>136.19999999999999</v>
      </c>
      <c r="Q39" s="196">
        <v>44831</v>
      </c>
      <c r="R39" s="69">
        <f t="shared" si="13"/>
        <v>136.19999999999999</v>
      </c>
      <c r="S39" s="70" t="s">
        <v>726</v>
      </c>
      <c r="T39" s="71">
        <v>55</v>
      </c>
      <c r="U39" s="191">
        <f t="shared" si="10"/>
        <v>390.44</v>
      </c>
      <c r="V39" s="73">
        <f t="shared" si="11"/>
        <v>86</v>
      </c>
      <c r="W39" s="60">
        <f t="shared" si="7"/>
        <v>7490.9999999999991</v>
      </c>
    </row>
    <row r="40" spans="1:23" x14ac:dyDescent="0.25">
      <c r="B40" s="133">
        <v>4.54</v>
      </c>
      <c r="C40" s="15"/>
      <c r="D40" s="694">
        <f t="shared" si="4"/>
        <v>0</v>
      </c>
      <c r="E40" s="702"/>
      <c r="F40" s="694">
        <f t="shared" si="12"/>
        <v>0</v>
      </c>
      <c r="G40" s="696"/>
      <c r="H40" s="892"/>
      <c r="I40" s="896">
        <f t="shared" si="8"/>
        <v>-2.5224267119483557E-13</v>
      </c>
      <c r="J40" s="897">
        <f t="shared" si="9"/>
        <v>0</v>
      </c>
      <c r="K40" s="898">
        <f t="shared" si="6"/>
        <v>0</v>
      </c>
      <c r="N40" s="133">
        <v>4.54</v>
      </c>
      <c r="O40" s="15">
        <v>1</v>
      </c>
      <c r="P40" s="69">
        <f t="shared" si="2"/>
        <v>4.54</v>
      </c>
      <c r="Q40" s="196">
        <v>44833</v>
      </c>
      <c r="R40" s="69">
        <f t="shared" si="13"/>
        <v>4.54</v>
      </c>
      <c r="S40" s="70" t="s">
        <v>737</v>
      </c>
      <c r="T40" s="71">
        <v>55</v>
      </c>
      <c r="U40" s="191">
        <f t="shared" si="10"/>
        <v>385.9</v>
      </c>
      <c r="V40" s="73">
        <f t="shared" si="11"/>
        <v>85</v>
      </c>
      <c r="W40" s="60">
        <f t="shared" si="7"/>
        <v>249.7</v>
      </c>
    </row>
    <row r="41" spans="1:23" x14ac:dyDescent="0.25">
      <c r="B41" s="133">
        <v>4.54</v>
      </c>
      <c r="C41" s="15"/>
      <c r="D41" s="694">
        <f t="shared" si="4"/>
        <v>0</v>
      </c>
      <c r="E41" s="702"/>
      <c r="F41" s="694">
        <f t="shared" si="12"/>
        <v>0</v>
      </c>
      <c r="G41" s="696"/>
      <c r="H41" s="892"/>
      <c r="I41" s="896">
        <f t="shared" si="8"/>
        <v>-2.5224267119483557E-13</v>
      </c>
      <c r="J41" s="897">
        <f t="shared" si="9"/>
        <v>0</v>
      </c>
      <c r="K41" s="898">
        <f t="shared" si="6"/>
        <v>0</v>
      </c>
      <c r="N41" s="133">
        <v>4.54</v>
      </c>
      <c r="O41" s="15">
        <v>30</v>
      </c>
      <c r="P41" s="69">
        <f t="shared" si="2"/>
        <v>136.19999999999999</v>
      </c>
      <c r="Q41" s="196">
        <v>44834</v>
      </c>
      <c r="R41" s="69">
        <f t="shared" si="13"/>
        <v>136.19999999999999</v>
      </c>
      <c r="S41" s="70" t="s">
        <v>745</v>
      </c>
      <c r="T41" s="71">
        <v>55</v>
      </c>
      <c r="U41" s="191">
        <f t="shared" si="10"/>
        <v>249.7</v>
      </c>
      <c r="V41" s="73">
        <f t="shared" si="11"/>
        <v>55</v>
      </c>
      <c r="W41" s="60">
        <f t="shared" si="7"/>
        <v>7490.9999999999991</v>
      </c>
    </row>
    <row r="42" spans="1:23" x14ac:dyDescent="0.25">
      <c r="B42" s="133">
        <v>4.54</v>
      </c>
      <c r="C42" s="15"/>
      <c r="D42" s="694">
        <f t="shared" si="4"/>
        <v>0</v>
      </c>
      <c r="E42" s="702"/>
      <c r="F42" s="694">
        <f t="shared" si="12"/>
        <v>0</v>
      </c>
      <c r="G42" s="696"/>
      <c r="H42" s="892"/>
      <c r="I42" s="896">
        <f t="shared" si="8"/>
        <v>-2.5224267119483557E-13</v>
      </c>
      <c r="J42" s="897">
        <f t="shared" si="9"/>
        <v>0</v>
      </c>
      <c r="K42" s="898">
        <f t="shared" si="6"/>
        <v>0</v>
      </c>
      <c r="N42" s="133">
        <v>4.54</v>
      </c>
      <c r="O42" s="15">
        <v>10</v>
      </c>
      <c r="P42" s="69">
        <f t="shared" si="2"/>
        <v>45.4</v>
      </c>
      <c r="Q42" s="196">
        <v>44835</v>
      </c>
      <c r="R42" s="69">
        <f t="shared" si="13"/>
        <v>45.4</v>
      </c>
      <c r="S42" s="70" t="s">
        <v>748</v>
      </c>
      <c r="T42" s="71">
        <v>55</v>
      </c>
      <c r="U42" s="191">
        <f t="shared" si="10"/>
        <v>204.29999999999998</v>
      </c>
      <c r="V42" s="73">
        <f t="shared" si="11"/>
        <v>45</v>
      </c>
      <c r="W42" s="60">
        <f t="shared" si="7"/>
        <v>2497</v>
      </c>
    </row>
    <row r="43" spans="1:23" x14ac:dyDescent="0.25">
      <c r="B43" s="133">
        <v>4.54</v>
      </c>
      <c r="C43" s="15"/>
      <c r="D43" s="694">
        <f t="shared" si="4"/>
        <v>0</v>
      </c>
      <c r="E43" s="702"/>
      <c r="F43" s="694">
        <f t="shared" si="12"/>
        <v>0</v>
      </c>
      <c r="G43" s="696"/>
      <c r="H43" s="892"/>
      <c r="I43" s="896">
        <f t="shared" si="8"/>
        <v>-2.5224267119483557E-13</v>
      </c>
      <c r="J43" s="897">
        <f t="shared" si="9"/>
        <v>0</v>
      </c>
      <c r="K43" s="898">
        <f t="shared" si="6"/>
        <v>0</v>
      </c>
      <c r="N43" s="133">
        <v>4.54</v>
      </c>
      <c r="O43" s="15">
        <v>6</v>
      </c>
      <c r="P43" s="69">
        <f t="shared" si="2"/>
        <v>27.240000000000002</v>
      </c>
      <c r="Q43" s="196">
        <v>44835</v>
      </c>
      <c r="R43" s="69">
        <f t="shared" si="13"/>
        <v>27.240000000000002</v>
      </c>
      <c r="S43" s="70" t="s">
        <v>751</v>
      </c>
      <c r="T43" s="71">
        <v>55</v>
      </c>
      <c r="U43" s="191">
        <f t="shared" si="10"/>
        <v>177.05999999999997</v>
      </c>
      <c r="V43" s="73">
        <f t="shared" si="11"/>
        <v>39</v>
      </c>
      <c r="W43" s="60">
        <f t="shared" si="7"/>
        <v>1498.2</v>
      </c>
    </row>
    <row r="44" spans="1:23" x14ac:dyDescent="0.25">
      <c r="B44" s="133">
        <v>4.54</v>
      </c>
      <c r="C44" s="15"/>
      <c r="D44" s="694">
        <f t="shared" si="4"/>
        <v>0</v>
      </c>
      <c r="E44" s="702"/>
      <c r="F44" s="694">
        <f t="shared" si="12"/>
        <v>0</v>
      </c>
      <c r="G44" s="696"/>
      <c r="H44" s="892"/>
      <c r="I44" s="896">
        <f t="shared" si="8"/>
        <v>-2.5224267119483557E-13</v>
      </c>
      <c r="J44" s="897">
        <f t="shared" si="9"/>
        <v>0</v>
      </c>
      <c r="K44" s="898">
        <f t="shared" si="6"/>
        <v>0</v>
      </c>
      <c r="N44" s="133">
        <v>4.54</v>
      </c>
      <c r="O44" s="15">
        <v>20</v>
      </c>
      <c r="P44" s="69">
        <f t="shared" si="2"/>
        <v>90.8</v>
      </c>
      <c r="Q44" s="196">
        <v>44836</v>
      </c>
      <c r="R44" s="69">
        <f t="shared" si="13"/>
        <v>90.8</v>
      </c>
      <c r="S44" s="70" t="s">
        <v>754</v>
      </c>
      <c r="T44" s="71">
        <v>55</v>
      </c>
      <c r="U44" s="191">
        <f t="shared" si="10"/>
        <v>86.259999999999977</v>
      </c>
      <c r="V44" s="73">
        <f t="shared" si="11"/>
        <v>19</v>
      </c>
      <c r="W44" s="60">
        <f t="shared" si="7"/>
        <v>4994</v>
      </c>
    </row>
    <row r="45" spans="1:23" x14ac:dyDescent="0.25">
      <c r="B45" s="133">
        <v>4.54</v>
      </c>
      <c r="C45" s="15"/>
      <c r="D45" s="694">
        <f t="shared" si="4"/>
        <v>0</v>
      </c>
      <c r="E45" s="702"/>
      <c r="F45" s="694">
        <f t="shared" si="12"/>
        <v>0</v>
      </c>
      <c r="G45" s="696"/>
      <c r="H45" s="388"/>
      <c r="I45" s="191">
        <f t="shared" si="8"/>
        <v>-2.5224267119483557E-13</v>
      </c>
      <c r="J45" s="73">
        <f t="shared" si="9"/>
        <v>0</v>
      </c>
      <c r="K45" s="60">
        <f t="shared" si="6"/>
        <v>0</v>
      </c>
      <c r="N45" s="133">
        <v>4.54</v>
      </c>
      <c r="O45" s="15"/>
      <c r="P45" s="69">
        <f t="shared" si="2"/>
        <v>0</v>
      </c>
      <c r="Q45" s="196"/>
      <c r="R45" s="69">
        <f t="shared" si="13"/>
        <v>0</v>
      </c>
      <c r="S45" s="70"/>
      <c r="T45" s="71"/>
      <c r="U45" s="191">
        <f t="shared" si="10"/>
        <v>86.259999999999977</v>
      </c>
      <c r="V45" s="73">
        <f t="shared" si="11"/>
        <v>19</v>
      </c>
      <c r="W45" s="60">
        <f t="shared" si="7"/>
        <v>0</v>
      </c>
    </row>
    <row r="46" spans="1:23" x14ac:dyDescent="0.25">
      <c r="B46" s="133">
        <v>4.54</v>
      </c>
      <c r="C46" s="15"/>
      <c r="D46" s="694">
        <f t="shared" si="4"/>
        <v>0</v>
      </c>
      <c r="E46" s="702"/>
      <c r="F46" s="694">
        <f t="shared" si="12"/>
        <v>0</v>
      </c>
      <c r="G46" s="696"/>
      <c r="H46" s="388"/>
      <c r="I46" s="191">
        <f t="shared" si="8"/>
        <v>-2.5224267119483557E-13</v>
      </c>
      <c r="J46" s="73">
        <f t="shared" si="9"/>
        <v>0</v>
      </c>
      <c r="K46" s="60">
        <f t="shared" si="6"/>
        <v>0</v>
      </c>
      <c r="N46" s="133">
        <v>4.54</v>
      </c>
      <c r="O46" s="15"/>
      <c r="P46" s="69">
        <f t="shared" si="2"/>
        <v>0</v>
      </c>
      <c r="Q46" s="196"/>
      <c r="R46" s="69">
        <f t="shared" si="13"/>
        <v>0</v>
      </c>
      <c r="S46" s="70"/>
      <c r="T46" s="71"/>
      <c r="U46" s="191">
        <f t="shared" si="10"/>
        <v>86.259999999999977</v>
      </c>
      <c r="V46" s="73">
        <f t="shared" si="11"/>
        <v>19</v>
      </c>
      <c r="W46" s="60">
        <f t="shared" si="7"/>
        <v>0</v>
      </c>
    </row>
    <row r="47" spans="1:23" x14ac:dyDescent="0.25">
      <c r="B47" s="133">
        <v>4.54</v>
      </c>
      <c r="C47" s="15"/>
      <c r="D47" s="694">
        <f t="shared" si="4"/>
        <v>0</v>
      </c>
      <c r="E47" s="702"/>
      <c r="F47" s="694">
        <f t="shared" si="12"/>
        <v>0</v>
      </c>
      <c r="G47" s="696"/>
      <c r="H47" s="388"/>
      <c r="I47" s="191">
        <f t="shared" si="8"/>
        <v>-2.5224267119483557E-13</v>
      </c>
      <c r="J47" s="73">
        <f t="shared" si="9"/>
        <v>0</v>
      </c>
      <c r="K47" s="60">
        <f t="shared" si="6"/>
        <v>0</v>
      </c>
      <c r="N47" s="133">
        <v>4.54</v>
      </c>
      <c r="O47" s="15"/>
      <c r="P47" s="69">
        <f t="shared" si="2"/>
        <v>0</v>
      </c>
      <c r="Q47" s="196"/>
      <c r="R47" s="69">
        <f t="shared" si="13"/>
        <v>0</v>
      </c>
      <c r="S47" s="70"/>
      <c r="T47" s="71"/>
      <c r="U47" s="191">
        <f t="shared" si="10"/>
        <v>86.259999999999977</v>
      </c>
      <c r="V47" s="73">
        <f t="shared" si="11"/>
        <v>19</v>
      </c>
      <c r="W47" s="60">
        <f t="shared" si="7"/>
        <v>0</v>
      </c>
    </row>
    <row r="48" spans="1:23" x14ac:dyDescent="0.25">
      <c r="B48" s="133">
        <v>4.54</v>
      </c>
      <c r="C48" s="15"/>
      <c r="D48" s="694">
        <f t="shared" si="4"/>
        <v>0</v>
      </c>
      <c r="E48" s="702"/>
      <c r="F48" s="694">
        <f t="shared" si="12"/>
        <v>0</v>
      </c>
      <c r="G48" s="696"/>
      <c r="H48" s="388"/>
      <c r="I48" s="191">
        <f t="shared" si="8"/>
        <v>-2.5224267119483557E-13</v>
      </c>
      <c r="J48" s="73">
        <f t="shared" si="9"/>
        <v>0</v>
      </c>
      <c r="K48" s="60">
        <f t="shared" si="6"/>
        <v>0</v>
      </c>
      <c r="N48" s="133">
        <v>4.54</v>
      </c>
      <c r="O48" s="15"/>
      <c r="P48" s="69">
        <f t="shared" si="2"/>
        <v>0</v>
      </c>
      <c r="Q48" s="196"/>
      <c r="R48" s="69">
        <f t="shared" si="13"/>
        <v>0</v>
      </c>
      <c r="S48" s="70"/>
      <c r="T48" s="71"/>
      <c r="U48" s="191">
        <f t="shared" si="10"/>
        <v>86.259999999999977</v>
      </c>
      <c r="V48" s="73">
        <f t="shared" si="11"/>
        <v>19</v>
      </c>
      <c r="W48" s="60">
        <f t="shared" si="7"/>
        <v>0</v>
      </c>
    </row>
    <row r="49" spans="2:23" x14ac:dyDescent="0.25">
      <c r="B49" s="133">
        <v>4.54</v>
      </c>
      <c r="C49" s="15"/>
      <c r="D49" s="694">
        <f t="shared" si="4"/>
        <v>0</v>
      </c>
      <c r="E49" s="702"/>
      <c r="F49" s="694">
        <f t="shared" si="12"/>
        <v>0</v>
      </c>
      <c r="G49" s="696"/>
      <c r="H49" s="388"/>
      <c r="I49" s="191">
        <f t="shared" si="8"/>
        <v>-2.5224267119483557E-13</v>
      </c>
      <c r="J49" s="73">
        <f t="shared" si="9"/>
        <v>0</v>
      </c>
      <c r="K49" s="60">
        <f t="shared" si="6"/>
        <v>0</v>
      </c>
      <c r="N49" s="133">
        <v>4.54</v>
      </c>
      <c r="O49" s="15"/>
      <c r="P49" s="69">
        <f t="shared" si="2"/>
        <v>0</v>
      </c>
      <c r="Q49" s="196"/>
      <c r="R49" s="69">
        <f t="shared" si="13"/>
        <v>0</v>
      </c>
      <c r="S49" s="70"/>
      <c r="T49" s="71"/>
      <c r="U49" s="191">
        <f t="shared" si="10"/>
        <v>86.259999999999977</v>
      </c>
      <c r="V49" s="73">
        <f t="shared" si="11"/>
        <v>19</v>
      </c>
      <c r="W49" s="60">
        <f t="shared" si="7"/>
        <v>0</v>
      </c>
    </row>
    <row r="50" spans="2:23" x14ac:dyDescent="0.25">
      <c r="B50" s="133">
        <v>4.54</v>
      </c>
      <c r="C50" s="15"/>
      <c r="D50" s="694">
        <f t="shared" si="4"/>
        <v>0</v>
      </c>
      <c r="E50" s="702"/>
      <c r="F50" s="694">
        <f t="shared" si="12"/>
        <v>0</v>
      </c>
      <c r="G50" s="696"/>
      <c r="H50" s="388"/>
      <c r="I50" s="191">
        <f t="shared" si="8"/>
        <v>-2.5224267119483557E-13</v>
      </c>
      <c r="J50" s="73">
        <f t="shared" si="9"/>
        <v>0</v>
      </c>
      <c r="K50" s="60">
        <f t="shared" si="6"/>
        <v>0</v>
      </c>
      <c r="N50" s="133">
        <v>4.54</v>
      </c>
      <c r="O50" s="15"/>
      <c r="P50" s="69">
        <f t="shared" si="2"/>
        <v>0</v>
      </c>
      <c r="Q50" s="196"/>
      <c r="R50" s="69">
        <f t="shared" si="13"/>
        <v>0</v>
      </c>
      <c r="S50" s="70"/>
      <c r="T50" s="71"/>
      <c r="U50" s="191">
        <f t="shared" si="10"/>
        <v>86.259999999999977</v>
      </c>
      <c r="V50" s="73">
        <f t="shared" si="11"/>
        <v>19</v>
      </c>
      <c r="W50" s="60">
        <f t="shared" si="7"/>
        <v>0</v>
      </c>
    </row>
    <row r="51" spans="2:23" x14ac:dyDescent="0.25">
      <c r="B51" s="133">
        <v>4.54</v>
      </c>
      <c r="C51" s="15"/>
      <c r="D51" s="694">
        <f t="shared" si="4"/>
        <v>0</v>
      </c>
      <c r="E51" s="702"/>
      <c r="F51" s="694">
        <f t="shared" si="12"/>
        <v>0</v>
      </c>
      <c r="G51" s="696"/>
      <c r="H51" s="388"/>
      <c r="I51" s="191">
        <f t="shared" si="8"/>
        <v>-2.5224267119483557E-13</v>
      </c>
      <c r="J51" s="73">
        <f t="shared" si="9"/>
        <v>0</v>
      </c>
      <c r="K51" s="60">
        <f t="shared" si="6"/>
        <v>0</v>
      </c>
      <c r="N51" s="133">
        <v>4.54</v>
      </c>
      <c r="O51" s="15"/>
      <c r="P51" s="69">
        <f t="shared" si="2"/>
        <v>0</v>
      </c>
      <c r="Q51" s="196"/>
      <c r="R51" s="69">
        <f t="shared" si="13"/>
        <v>0</v>
      </c>
      <c r="S51" s="70"/>
      <c r="T51" s="71"/>
      <c r="U51" s="191">
        <f t="shared" si="10"/>
        <v>86.259999999999977</v>
      </c>
      <c r="V51" s="73">
        <f t="shared" si="11"/>
        <v>19</v>
      </c>
      <c r="W51" s="60">
        <f t="shared" si="7"/>
        <v>0</v>
      </c>
    </row>
    <row r="52" spans="2:23" x14ac:dyDescent="0.25">
      <c r="B52" s="133">
        <v>4.54</v>
      </c>
      <c r="C52" s="15"/>
      <c r="D52" s="694">
        <f t="shared" si="4"/>
        <v>0</v>
      </c>
      <c r="E52" s="702"/>
      <c r="F52" s="694">
        <f t="shared" si="12"/>
        <v>0</v>
      </c>
      <c r="G52" s="696"/>
      <c r="H52" s="388"/>
      <c r="I52" s="191">
        <f t="shared" si="8"/>
        <v>-2.5224267119483557E-13</v>
      </c>
      <c r="J52" s="73">
        <f t="shared" si="9"/>
        <v>0</v>
      </c>
      <c r="K52" s="60">
        <f t="shared" si="6"/>
        <v>0</v>
      </c>
      <c r="N52" s="133">
        <v>4.54</v>
      </c>
      <c r="O52" s="15"/>
      <c r="P52" s="69">
        <f t="shared" si="2"/>
        <v>0</v>
      </c>
      <c r="Q52" s="196"/>
      <c r="R52" s="69">
        <f t="shared" si="13"/>
        <v>0</v>
      </c>
      <c r="S52" s="70"/>
      <c r="T52" s="71"/>
      <c r="U52" s="191">
        <f t="shared" si="10"/>
        <v>86.259999999999977</v>
      </c>
      <c r="V52" s="73">
        <f t="shared" si="11"/>
        <v>19</v>
      </c>
      <c r="W52" s="60">
        <f t="shared" si="7"/>
        <v>0</v>
      </c>
    </row>
    <row r="53" spans="2:23" x14ac:dyDescent="0.25">
      <c r="B53" s="133">
        <v>4.54</v>
      </c>
      <c r="C53" s="15"/>
      <c r="D53" s="694">
        <f t="shared" si="4"/>
        <v>0</v>
      </c>
      <c r="E53" s="702"/>
      <c r="F53" s="694">
        <f t="shared" si="12"/>
        <v>0</v>
      </c>
      <c r="G53" s="696"/>
      <c r="H53" s="388"/>
      <c r="I53" s="191">
        <f t="shared" si="8"/>
        <v>-2.5224267119483557E-13</v>
      </c>
      <c r="J53" s="73">
        <f t="shared" si="9"/>
        <v>0</v>
      </c>
      <c r="K53" s="60">
        <f t="shared" si="6"/>
        <v>0</v>
      </c>
      <c r="N53" s="133">
        <v>4.54</v>
      </c>
      <c r="O53" s="15"/>
      <c r="P53" s="69">
        <f t="shared" si="2"/>
        <v>0</v>
      </c>
      <c r="Q53" s="196"/>
      <c r="R53" s="69">
        <f t="shared" si="13"/>
        <v>0</v>
      </c>
      <c r="S53" s="70"/>
      <c r="T53" s="71"/>
      <c r="U53" s="191">
        <f t="shared" si="10"/>
        <v>86.259999999999977</v>
      </c>
      <c r="V53" s="73">
        <f t="shared" si="11"/>
        <v>19</v>
      </c>
      <c r="W53" s="60">
        <f t="shared" si="7"/>
        <v>0</v>
      </c>
    </row>
    <row r="54" spans="2:23" x14ac:dyDescent="0.25">
      <c r="B54" s="133">
        <v>4.54</v>
      </c>
      <c r="C54" s="15"/>
      <c r="D54" s="694">
        <f t="shared" si="4"/>
        <v>0</v>
      </c>
      <c r="E54" s="702"/>
      <c r="F54" s="694">
        <f t="shared" si="12"/>
        <v>0</v>
      </c>
      <c r="G54" s="696"/>
      <c r="H54" s="388"/>
      <c r="I54" s="191">
        <f t="shared" si="8"/>
        <v>-2.5224267119483557E-13</v>
      </c>
      <c r="J54" s="73">
        <f t="shared" si="9"/>
        <v>0</v>
      </c>
      <c r="K54" s="60">
        <f t="shared" si="6"/>
        <v>0</v>
      </c>
      <c r="N54" s="133">
        <v>4.54</v>
      </c>
      <c r="O54" s="15"/>
      <c r="P54" s="69">
        <f t="shared" si="2"/>
        <v>0</v>
      </c>
      <c r="Q54" s="196"/>
      <c r="R54" s="69">
        <f t="shared" si="13"/>
        <v>0</v>
      </c>
      <c r="S54" s="70"/>
      <c r="T54" s="71"/>
      <c r="U54" s="191">
        <f t="shared" si="10"/>
        <v>86.259999999999977</v>
      </c>
      <c r="V54" s="73">
        <f t="shared" si="11"/>
        <v>19</v>
      </c>
      <c r="W54" s="60">
        <f t="shared" si="7"/>
        <v>0</v>
      </c>
    </row>
    <row r="55" spans="2:23" x14ac:dyDescent="0.25">
      <c r="B55" s="133">
        <v>4.54</v>
      </c>
      <c r="C55" s="15"/>
      <c r="D55" s="694">
        <f t="shared" si="4"/>
        <v>0</v>
      </c>
      <c r="E55" s="702"/>
      <c r="F55" s="694">
        <f t="shared" si="12"/>
        <v>0</v>
      </c>
      <c r="G55" s="696"/>
      <c r="H55" s="388"/>
      <c r="I55" s="191">
        <f t="shared" si="8"/>
        <v>-2.5224267119483557E-13</v>
      </c>
      <c r="J55" s="73">
        <f t="shared" si="9"/>
        <v>0</v>
      </c>
      <c r="K55" s="60">
        <f t="shared" si="6"/>
        <v>0</v>
      </c>
      <c r="N55" s="133">
        <v>4.54</v>
      </c>
      <c r="O55" s="15"/>
      <c r="P55" s="69">
        <f t="shared" si="2"/>
        <v>0</v>
      </c>
      <c r="Q55" s="196"/>
      <c r="R55" s="69">
        <f t="shared" si="13"/>
        <v>0</v>
      </c>
      <c r="S55" s="70"/>
      <c r="T55" s="71"/>
      <c r="U55" s="191">
        <f t="shared" si="10"/>
        <v>86.259999999999977</v>
      </c>
      <c r="V55" s="73">
        <f t="shared" si="11"/>
        <v>19</v>
      </c>
      <c r="W55" s="60">
        <f t="shared" si="7"/>
        <v>0</v>
      </c>
    </row>
    <row r="56" spans="2:23" x14ac:dyDescent="0.25">
      <c r="B56" s="133">
        <v>4.54</v>
      </c>
      <c r="C56" s="15"/>
      <c r="D56" s="694">
        <f t="shared" si="4"/>
        <v>0</v>
      </c>
      <c r="E56" s="702"/>
      <c r="F56" s="694">
        <f t="shared" si="12"/>
        <v>0</v>
      </c>
      <c r="G56" s="696"/>
      <c r="H56" s="388"/>
      <c r="I56" s="191">
        <f t="shared" si="8"/>
        <v>-2.5224267119483557E-13</v>
      </c>
      <c r="J56" s="73">
        <f t="shared" si="9"/>
        <v>0</v>
      </c>
      <c r="K56" s="60">
        <f t="shared" si="6"/>
        <v>0</v>
      </c>
      <c r="N56" s="133">
        <v>4.54</v>
      </c>
      <c r="O56" s="15"/>
      <c r="P56" s="69">
        <f t="shared" si="2"/>
        <v>0</v>
      </c>
      <c r="Q56" s="196"/>
      <c r="R56" s="69">
        <f t="shared" si="13"/>
        <v>0</v>
      </c>
      <c r="S56" s="70"/>
      <c r="T56" s="71"/>
      <c r="U56" s="191">
        <f t="shared" si="10"/>
        <v>86.259999999999977</v>
      </c>
      <c r="V56" s="73">
        <f t="shared" si="11"/>
        <v>19</v>
      </c>
      <c r="W56" s="60">
        <f t="shared" si="7"/>
        <v>0</v>
      </c>
    </row>
    <row r="57" spans="2:23" x14ac:dyDescent="0.25">
      <c r="B57" s="133">
        <v>4.54</v>
      </c>
      <c r="C57" s="15"/>
      <c r="D57" s="694">
        <f t="shared" si="4"/>
        <v>0</v>
      </c>
      <c r="E57" s="702"/>
      <c r="F57" s="694">
        <f t="shared" si="12"/>
        <v>0</v>
      </c>
      <c r="G57" s="696"/>
      <c r="H57" s="388"/>
      <c r="I57" s="191">
        <f t="shared" si="8"/>
        <v>-2.5224267119483557E-13</v>
      </c>
      <c r="J57" s="73">
        <f t="shared" si="9"/>
        <v>0</v>
      </c>
      <c r="K57" s="60">
        <f t="shared" si="6"/>
        <v>0</v>
      </c>
      <c r="N57" s="133">
        <v>4.54</v>
      </c>
      <c r="O57" s="15"/>
      <c r="P57" s="69">
        <f t="shared" si="2"/>
        <v>0</v>
      </c>
      <c r="Q57" s="196"/>
      <c r="R57" s="69">
        <f t="shared" si="13"/>
        <v>0</v>
      </c>
      <c r="S57" s="70"/>
      <c r="T57" s="71"/>
      <c r="U57" s="191">
        <f t="shared" si="10"/>
        <v>86.259999999999977</v>
      </c>
      <c r="V57" s="73">
        <f t="shared" si="11"/>
        <v>19</v>
      </c>
      <c r="W57" s="60">
        <f t="shared" si="7"/>
        <v>0</v>
      </c>
    </row>
    <row r="58" spans="2:23" x14ac:dyDescent="0.25">
      <c r="B58" s="133">
        <v>4.54</v>
      </c>
      <c r="C58" s="15"/>
      <c r="D58" s="69">
        <f t="shared" si="4"/>
        <v>0</v>
      </c>
      <c r="E58" s="196"/>
      <c r="F58" s="69">
        <f t="shared" si="12"/>
        <v>0</v>
      </c>
      <c r="G58" s="70"/>
      <c r="H58" s="71"/>
      <c r="I58" s="191">
        <f t="shared" si="8"/>
        <v>-2.5224267119483557E-13</v>
      </c>
      <c r="J58" s="73">
        <f t="shared" si="9"/>
        <v>0</v>
      </c>
      <c r="K58" s="60">
        <f t="shared" si="6"/>
        <v>0</v>
      </c>
      <c r="N58" s="133">
        <v>4.54</v>
      </c>
      <c r="O58" s="15"/>
      <c r="P58" s="69">
        <f t="shared" si="2"/>
        <v>0</v>
      </c>
      <c r="Q58" s="196"/>
      <c r="R58" s="69">
        <f t="shared" si="13"/>
        <v>0</v>
      </c>
      <c r="S58" s="70"/>
      <c r="T58" s="71"/>
      <c r="U58" s="191">
        <f t="shared" si="10"/>
        <v>86.259999999999977</v>
      </c>
      <c r="V58" s="73">
        <f t="shared" si="11"/>
        <v>19</v>
      </c>
      <c r="W58" s="60">
        <f t="shared" si="7"/>
        <v>0</v>
      </c>
    </row>
    <row r="59" spans="2:23" x14ac:dyDescent="0.25">
      <c r="B59" s="133">
        <v>4.54</v>
      </c>
      <c r="C59" s="15"/>
      <c r="D59" s="69">
        <f t="shared" si="4"/>
        <v>0</v>
      </c>
      <c r="E59" s="196"/>
      <c r="F59" s="69">
        <f t="shared" si="12"/>
        <v>0</v>
      </c>
      <c r="G59" s="70"/>
      <c r="H59" s="71"/>
      <c r="I59" s="191">
        <f t="shared" si="8"/>
        <v>-2.5224267119483557E-13</v>
      </c>
      <c r="J59" s="73">
        <f t="shared" si="9"/>
        <v>0</v>
      </c>
      <c r="K59" s="60">
        <f t="shared" si="6"/>
        <v>0</v>
      </c>
      <c r="N59" s="133">
        <v>4.54</v>
      </c>
      <c r="O59" s="15"/>
      <c r="P59" s="69">
        <f t="shared" si="2"/>
        <v>0</v>
      </c>
      <c r="Q59" s="196"/>
      <c r="R59" s="69">
        <f t="shared" si="13"/>
        <v>0</v>
      </c>
      <c r="S59" s="70"/>
      <c r="T59" s="71"/>
      <c r="U59" s="191">
        <f t="shared" si="10"/>
        <v>86.259999999999977</v>
      </c>
      <c r="V59" s="73">
        <f t="shared" si="11"/>
        <v>19</v>
      </c>
      <c r="W59" s="60">
        <f t="shared" si="7"/>
        <v>0</v>
      </c>
    </row>
    <row r="60" spans="2:23" x14ac:dyDescent="0.25">
      <c r="B60" s="133">
        <v>4.54</v>
      </c>
      <c r="C60" s="15"/>
      <c r="D60" s="69">
        <f t="shared" si="4"/>
        <v>0</v>
      </c>
      <c r="E60" s="196"/>
      <c r="F60" s="69">
        <f t="shared" si="12"/>
        <v>0</v>
      </c>
      <c r="G60" s="70"/>
      <c r="H60" s="71"/>
      <c r="I60" s="191">
        <f t="shared" si="8"/>
        <v>-2.5224267119483557E-13</v>
      </c>
      <c r="J60" s="73">
        <f t="shared" si="9"/>
        <v>0</v>
      </c>
      <c r="K60" s="60">
        <f t="shared" si="6"/>
        <v>0</v>
      </c>
      <c r="N60" s="133">
        <v>4.54</v>
      </c>
      <c r="O60" s="15"/>
      <c r="P60" s="69">
        <f t="shared" si="2"/>
        <v>0</v>
      </c>
      <c r="Q60" s="196"/>
      <c r="R60" s="69">
        <f t="shared" si="13"/>
        <v>0</v>
      </c>
      <c r="S60" s="70"/>
      <c r="T60" s="71"/>
      <c r="U60" s="191">
        <f t="shared" si="10"/>
        <v>86.259999999999977</v>
      </c>
      <c r="V60" s="73">
        <f t="shared" si="11"/>
        <v>19</v>
      </c>
      <c r="W60" s="60">
        <f t="shared" si="7"/>
        <v>0</v>
      </c>
    </row>
    <row r="61" spans="2:23" x14ac:dyDescent="0.25">
      <c r="B61" s="133">
        <v>4.54</v>
      </c>
      <c r="C61" s="15"/>
      <c r="D61" s="69">
        <f t="shared" si="4"/>
        <v>0</v>
      </c>
      <c r="E61" s="196"/>
      <c r="F61" s="69">
        <f t="shared" si="12"/>
        <v>0</v>
      </c>
      <c r="G61" s="70"/>
      <c r="H61" s="71"/>
      <c r="I61" s="191">
        <f t="shared" si="8"/>
        <v>-2.5224267119483557E-13</v>
      </c>
      <c r="J61" s="73">
        <f t="shared" si="9"/>
        <v>0</v>
      </c>
      <c r="K61" s="60">
        <f t="shared" si="6"/>
        <v>0</v>
      </c>
      <c r="N61" s="133">
        <v>4.54</v>
      </c>
      <c r="O61" s="15"/>
      <c r="P61" s="69">
        <f t="shared" si="2"/>
        <v>0</v>
      </c>
      <c r="Q61" s="196"/>
      <c r="R61" s="69">
        <f t="shared" si="13"/>
        <v>0</v>
      </c>
      <c r="S61" s="70"/>
      <c r="T61" s="71"/>
      <c r="U61" s="191">
        <f t="shared" si="10"/>
        <v>86.259999999999977</v>
      </c>
      <c r="V61" s="73">
        <f t="shared" si="11"/>
        <v>19</v>
      </c>
      <c r="W61" s="60">
        <f t="shared" si="7"/>
        <v>0</v>
      </c>
    </row>
    <row r="62" spans="2:23" x14ac:dyDescent="0.25">
      <c r="B62" s="133">
        <v>4.54</v>
      </c>
      <c r="C62" s="15"/>
      <c r="D62" s="69">
        <f t="shared" si="4"/>
        <v>0</v>
      </c>
      <c r="E62" s="196"/>
      <c r="F62" s="69">
        <f t="shared" si="12"/>
        <v>0</v>
      </c>
      <c r="G62" s="70"/>
      <c r="H62" s="71"/>
      <c r="I62" s="191">
        <f t="shared" si="8"/>
        <v>-2.5224267119483557E-13</v>
      </c>
      <c r="J62" s="73">
        <f t="shared" si="9"/>
        <v>0</v>
      </c>
      <c r="K62" s="60">
        <f t="shared" si="6"/>
        <v>0</v>
      </c>
      <c r="N62" s="133">
        <v>4.54</v>
      </c>
      <c r="O62" s="15"/>
      <c r="P62" s="69">
        <f t="shared" si="2"/>
        <v>0</v>
      </c>
      <c r="Q62" s="196"/>
      <c r="R62" s="69">
        <f t="shared" si="13"/>
        <v>0</v>
      </c>
      <c r="S62" s="70"/>
      <c r="T62" s="71"/>
      <c r="U62" s="191">
        <f t="shared" si="10"/>
        <v>86.259999999999977</v>
      </c>
      <c r="V62" s="73">
        <f t="shared" si="11"/>
        <v>19</v>
      </c>
      <c r="W62" s="60">
        <f t="shared" si="7"/>
        <v>0</v>
      </c>
    </row>
    <row r="63" spans="2:23" x14ac:dyDescent="0.25">
      <c r="B63" s="133">
        <v>4.54</v>
      </c>
      <c r="C63" s="15"/>
      <c r="D63" s="69">
        <f t="shared" si="4"/>
        <v>0</v>
      </c>
      <c r="E63" s="196"/>
      <c r="F63" s="69">
        <f t="shared" si="12"/>
        <v>0</v>
      </c>
      <c r="G63" s="70"/>
      <c r="H63" s="71"/>
      <c r="I63" s="191">
        <f t="shared" si="8"/>
        <v>-2.5224267119483557E-13</v>
      </c>
      <c r="J63" s="73">
        <f t="shared" si="9"/>
        <v>0</v>
      </c>
      <c r="K63" s="60">
        <f t="shared" si="6"/>
        <v>0</v>
      </c>
      <c r="N63" s="133">
        <v>4.54</v>
      </c>
      <c r="O63" s="15"/>
      <c r="P63" s="69">
        <f t="shared" si="2"/>
        <v>0</v>
      </c>
      <c r="Q63" s="196"/>
      <c r="R63" s="69">
        <f t="shared" si="13"/>
        <v>0</v>
      </c>
      <c r="S63" s="70"/>
      <c r="T63" s="71"/>
      <c r="U63" s="191">
        <f t="shared" si="10"/>
        <v>86.259999999999977</v>
      </c>
      <c r="V63" s="73">
        <f t="shared" si="11"/>
        <v>19</v>
      </c>
      <c r="W63" s="60">
        <f t="shared" si="7"/>
        <v>0</v>
      </c>
    </row>
    <row r="64" spans="2:23" x14ac:dyDescent="0.25">
      <c r="B64" s="133">
        <v>4.54</v>
      </c>
      <c r="C64" s="15"/>
      <c r="D64" s="69">
        <f t="shared" si="4"/>
        <v>0</v>
      </c>
      <c r="E64" s="196"/>
      <c r="F64" s="69">
        <f t="shared" si="12"/>
        <v>0</v>
      </c>
      <c r="G64" s="70"/>
      <c r="H64" s="71"/>
      <c r="I64" s="191">
        <f t="shared" si="8"/>
        <v>-2.5224267119483557E-13</v>
      </c>
      <c r="J64" s="73">
        <f t="shared" si="9"/>
        <v>0</v>
      </c>
      <c r="K64" s="60">
        <f t="shared" si="6"/>
        <v>0</v>
      </c>
      <c r="N64" s="133">
        <v>4.54</v>
      </c>
      <c r="O64" s="15"/>
      <c r="P64" s="69">
        <f t="shared" si="2"/>
        <v>0</v>
      </c>
      <c r="Q64" s="196"/>
      <c r="R64" s="69">
        <f t="shared" si="13"/>
        <v>0</v>
      </c>
      <c r="S64" s="70"/>
      <c r="T64" s="71"/>
      <c r="U64" s="191">
        <f t="shared" si="10"/>
        <v>86.259999999999977</v>
      </c>
      <c r="V64" s="73">
        <f t="shared" si="11"/>
        <v>19</v>
      </c>
      <c r="W64" s="60">
        <f t="shared" si="7"/>
        <v>0</v>
      </c>
    </row>
    <row r="65" spans="2:23" x14ac:dyDescent="0.25">
      <c r="B65" s="133">
        <v>4.54</v>
      </c>
      <c r="C65" s="15"/>
      <c r="D65" s="69">
        <f t="shared" si="4"/>
        <v>0</v>
      </c>
      <c r="E65" s="196"/>
      <c r="F65" s="69">
        <f t="shared" si="12"/>
        <v>0</v>
      </c>
      <c r="G65" s="70"/>
      <c r="H65" s="71"/>
      <c r="I65" s="191">
        <f t="shared" si="8"/>
        <v>-2.5224267119483557E-13</v>
      </c>
      <c r="J65" s="73">
        <f t="shared" si="9"/>
        <v>0</v>
      </c>
      <c r="K65" s="60">
        <f t="shared" si="6"/>
        <v>0</v>
      </c>
      <c r="N65" s="133">
        <v>4.54</v>
      </c>
      <c r="O65" s="15"/>
      <c r="P65" s="69">
        <f t="shared" si="2"/>
        <v>0</v>
      </c>
      <c r="Q65" s="196"/>
      <c r="R65" s="69">
        <f t="shared" si="13"/>
        <v>0</v>
      </c>
      <c r="S65" s="70"/>
      <c r="T65" s="71"/>
      <c r="U65" s="191">
        <f t="shared" si="10"/>
        <v>86.259999999999977</v>
      </c>
      <c r="V65" s="73">
        <f t="shared" si="11"/>
        <v>19</v>
      </c>
      <c r="W65" s="60">
        <f t="shared" si="7"/>
        <v>0</v>
      </c>
    </row>
    <row r="66" spans="2:23" x14ac:dyDescent="0.25">
      <c r="B66" s="133">
        <v>4.54</v>
      </c>
      <c r="C66" s="15"/>
      <c r="D66" s="69">
        <f t="shared" si="4"/>
        <v>0</v>
      </c>
      <c r="E66" s="196"/>
      <c r="F66" s="69">
        <f t="shared" si="12"/>
        <v>0</v>
      </c>
      <c r="G66" s="70"/>
      <c r="H66" s="71"/>
      <c r="I66" s="191">
        <f t="shared" si="8"/>
        <v>-2.5224267119483557E-13</v>
      </c>
      <c r="J66" s="73">
        <f t="shared" si="9"/>
        <v>0</v>
      </c>
      <c r="K66" s="60">
        <f t="shared" si="6"/>
        <v>0</v>
      </c>
      <c r="N66" s="133">
        <v>4.54</v>
      </c>
      <c r="O66" s="15"/>
      <c r="P66" s="69">
        <f t="shared" si="2"/>
        <v>0</v>
      </c>
      <c r="Q66" s="196"/>
      <c r="R66" s="69">
        <f t="shared" si="13"/>
        <v>0</v>
      </c>
      <c r="S66" s="70"/>
      <c r="T66" s="71"/>
      <c r="U66" s="191">
        <f t="shared" si="10"/>
        <v>86.259999999999977</v>
      </c>
      <c r="V66" s="73">
        <f t="shared" si="11"/>
        <v>19</v>
      </c>
      <c r="W66" s="60">
        <f t="shared" si="7"/>
        <v>0</v>
      </c>
    </row>
    <row r="67" spans="2:23" x14ac:dyDescent="0.25">
      <c r="B67" s="133">
        <v>4.54</v>
      </c>
      <c r="C67" s="15"/>
      <c r="D67" s="69">
        <f t="shared" si="4"/>
        <v>0</v>
      </c>
      <c r="E67" s="196"/>
      <c r="F67" s="69">
        <f t="shared" si="12"/>
        <v>0</v>
      </c>
      <c r="G67" s="70"/>
      <c r="H67" s="71"/>
      <c r="I67" s="191">
        <f t="shared" si="8"/>
        <v>-2.5224267119483557E-13</v>
      </c>
      <c r="J67" s="73">
        <f t="shared" si="9"/>
        <v>0</v>
      </c>
      <c r="K67" s="60">
        <f t="shared" si="6"/>
        <v>0</v>
      </c>
      <c r="N67" s="133">
        <v>4.54</v>
      </c>
      <c r="O67" s="15"/>
      <c r="P67" s="69">
        <f t="shared" si="2"/>
        <v>0</v>
      </c>
      <c r="Q67" s="196"/>
      <c r="R67" s="69">
        <f t="shared" si="13"/>
        <v>0</v>
      </c>
      <c r="S67" s="70"/>
      <c r="T67" s="71"/>
      <c r="U67" s="191">
        <f t="shared" si="10"/>
        <v>86.259999999999977</v>
      </c>
      <c r="V67" s="73">
        <f t="shared" si="11"/>
        <v>19</v>
      </c>
      <c r="W67" s="60">
        <f t="shared" si="7"/>
        <v>0</v>
      </c>
    </row>
    <row r="68" spans="2:23" x14ac:dyDescent="0.25">
      <c r="B68" s="133">
        <v>4.54</v>
      </c>
      <c r="C68" s="15"/>
      <c r="D68" s="69">
        <f t="shared" si="4"/>
        <v>0</v>
      </c>
      <c r="E68" s="196"/>
      <c r="F68" s="69">
        <f t="shared" si="12"/>
        <v>0</v>
      </c>
      <c r="G68" s="70"/>
      <c r="H68" s="71"/>
      <c r="I68" s="191">
        <f t="shared" si="8"/>
        <v>-2.5224267119483557E-13</v>
      </c>
      <c r="J68" s="73">
        <f t="shared" si="9"/>
        <v>0</v>
      </c>
      <c r="K68" s="60">
        <f t="shared" si="6"/>
        <v>0</v>
      </c>
      <c r="N68" s="133">
        <v>4.54</v>
      </c>
      <c r="O68" s="15"/>
      <c r="P68" s="69">
        <f t="shared" si="2"/>
        <v>0</v>
      </c>
      <c r="Q68" s="196"/>
      <c r="R68" s="69">
        <f t="shared" si="13"/>
        <v>0</v>
      </c>
      <c r="S68" s="70"/>
      <c r="T68" s="71"/>
      <c r="U68" s="191">
        <f t="shared" si="10"/>
        <v>86.259999999999977</v>
      </c>
      <c r="V68" s="73">
        <f t="shared" si="11"/>
        <v>19</v>
      </c>
      <c r="W68" s="60">
        <f t="shared" si="7"/>
        <v>0</v>
      </c>
    </row>
    <row r="69" spans="2:23" x14ac:dyDescent="0.25">
      <c r="B69" s="133">
        <v>4.54</v>
      </c>
      <c r="C69" s="15"/>
      <c r="D69" s="69">
        <f t="shared" si="4"/>
        <v>0</v>
      </c>
      <c r="E69" s="196"/>
      <c r="F69" s="69">
        <f t="shared" si="12"/>
        <v>0</v>
      </c>
      <c r="G69" s="70"/>
      <c r="H69" s="71"/>
      <c r="I69" s="191">
        <f t="shared" si="8"/>
        <v>-2.5224267119483557E-13</v>
      </c>
      <c r="J69" s="73">
        <f t="shared" si="9"/>
        <v>0</v>
      </c>
      <c r="K69" s="60">
        <f t="shared" si="6"/>
        <v>0</v>
      </c>
      <c r="N69" s="133">
        <v>4.54</v>
      </c>
      <c r="O69" s="15"/>
      <c r="P69" s="69">
        <f t="shared" si="2"/>
        <v>0</v>
      </c>
      <c r="Q69" s="196"/>
      <c r="R69" s="69">
        <f t="shared" si="13"/>
        <v>0</v>
      </c>
      <c r="S69" s="70"/>
      <c r="T69" s="71"/>
      <c r="U69" s="191">
        <f t="shared" si="10"/>
        <v>86.259999999999977</v>
      </c>
      <c r="V69" s="73">
        <f t="shared" si="11"/>
        <v>19</v>
      </c>
      <c r="W69" s="60">
        <f t="shared" si="7"/>
        <v>0</v>
      </c>
    </row>
    <row r="70" spans="2:23" x14ac:dyDescent="0.25">
      <c r="B70" s="133">
        <v>4.54</v>
      </c>
      <c r="C70" s="15"/>
      <c r="D70" s="69">
        <f t="shared" si="4"/>
        <v>0</v>
      </c>
      <c r="E70" s="196"/>
      <c r="F70" s="69">
        <f t="shared" si="12"/>
        <v>0</v>
      </c>
      <c r="G70" s="70"/>
      <c r="H70" s="71"/>
      <c r="I70" s="191">
        <f t="shared" si="8"/>
        <v>-2.5224267119483557E-13</v>
      </c>
      <c r="J70" s="73">
        <f t="shared" si="9"/>
        <v>0</v>
      </c>
      <c r="K70" s="60">
        <f t="shared" si="6"/>
        <v>0</v>
      </c>
      <c r="N70" s="133">
        <v>4.54</v>
      </c>
      <c r="O70" s="15"/>
      <c r="P70" s="69">
        <f t="shared" si="2"/>
        <v>0</v>
      </c>
      <c r="Q70" s="196"/>
      <c r="R70" s="69">
        <f t="shared" si="13"/>
        <v>0</v>
      </c>
      <c r="S70" s="70"/>
      <c r="T70" s="71"/>
      <c r="U70" s="191">
        <f t="shared" si="10"/>
        <v>86.259999999999977</v>
      </c>
      <c r="V70" s="73">
        <f t="shared" si="11"/>
        <v>19</v>
      </c>
      <c r="W70" s="60">
        <f t="shared" si="7"/>
        <v>0</v>
      </c>
    </row>
    <row r="71" spans="2:23" x14ac:dyDescent="0.25">
      <c r="B71" s="133">
        <v>4.54</v>
      </c>
      <c r="C71" s="15"/>
      <c r="D71" s="69">
        <f t="shared" si="4"/>
        <v>0</v>
      </c>
      <c r="E71" s="196"/>
      <c r="F71" s="69">
        <f t="shared" si="12"/>
        <v>0</v>
      </c>
      <c r="G71" s="70"/>
      <c r="H71" s="71"/>
      <c r="I71" s="191">
        <f t="shared" si="8"/>
        <v>-2.5224267119483557E-13</v>
      </c>
      <c r="J71" s="73">
        <f t="shared" si="9"/>
        <v>0</v>
      </c>
      <c r="K71" s="60">
        <f t="shared" si="6"/>
        <v>0</v>
      </c>
      <c r="N71" s="133">
        <v>4.54</v>
      </c>
      <c r="O71" s="15"/>
      <c r="P71" s="69">
        <f t="shared" si="2"/>
        <v>0</v>
      </c>
      <c r="Q71" s="196"/>
      <c r="R71" s="69">
        <f t="shared" si="13"/>
        <v>0</v>
      </c>
      <c r="S71" s="70"/>
      <c r="T71" s="71"/>
      <c r="U71" s="191">
        <f t="shared" si="10"/>
        <v>86.259999999999977</v>
      </c>
      <c r="V71" s="73">
        <f t="shared" si="11"/>
        <v>19</v>
      </c>
      <c r="W71" s="60">
        <f t="shared" si="7"/>
        <v>0</v>
      </c>
    </row>
    <row r="72" spans="2:23" x14ac:dyDescent="0.25">
      <c r="B72" s="133">
        <v>4.54</v>
      </c>
      <c r="C72" s="15"/>
      <c r="D72" s="69">
        <f t="shared" si="4"/>
        <v>0</v>
      </c>
      <c r="E72" s="196"/>
      <c r="F72" s="69">
        <f t="shared" si="12"/>
        <v>0</v>
      </c>
      <c r="G72" s="70"/>
      <c r="H72" s="71"/>
      <c r="I72" s="191">
        <f t="shared" si="8"/>
        <v>-2.5224267119483557E-13</v>
      </c>
      <c r="J72" s="73">
        <f t="shared" si="9"/>
        <v>0</v>
      </c>
      <c r="K72" s="60">
        <f t="shared" si="6"/>
        <v>0</v>
      </c>
      <c r="N72" s="133">
        <v>4.54</v>
      </c>
      <c r="O72" s="15"/>
      <c r="P72" s="69">
        <f t="shared" si="2"/>
        <v>0</v>
      </c>
      <c r="Q72" s="196"/>
      <c r="R72" s="69">
        <f t="shared" si="13"/>
        <v>0</v>
      </c>
      <c r="S72" s="70"/>
      <c r="T72" s="71"/>
      <c r="U72" s="191">
        <f t="shared" si="10"/>
        <v>86.259999999999977</v>
      </c>
      <c r="V72" s="73">
        <f t="shared" si="11"/>
        <v>19</v>
      </c>
      <c r="W72" s="60">
        <f t="shared" si="7"/>
        <v>0</v>
      </c>
    </row>
    <row r="73" spans="2:23" x14ac:dyDescent="0.25">
      <c r="B73" s="133">
        <v>4.54</v>
      </c>
      <c r="C73" s="15"/>
      <c r="D73" s="69">
        <f t="shared" si="4"/>
        <v>0</v>
      </c>
      <c r="E73" s="196"/>
      <c r="F73" s="69">
        <f t="shared" si="12"/>
        <v>0</v>
      </c>
      <c r="G73" s="70"/>
      <c r="H73" s="71"/>
      <c r="I73" s="191">
        <f t="shared" si="8"/>
        <v>-2.5224267119483557E-13</v>
      </c>
      <c r="J73" s="73">
        <f t="shared" si="9"/>
        <v>0</v>
      </c>
      <c r="K73" s="60">
        <f t="shared" si="6"/>
        <v>0</v>
      </c>
      <c r="N73" s="133">
        <v>4.54</v>
      </c>
      <c r="O73" s="15"/>
      <c r="P73" s="69">
        <f t="shared" ref="P73:P108" si="14">O73*N73</f>
        <v>0</v>
      </c>
      <c r="Q73" s="196"/>
      <c r="R73" s="69">
        <f t="shared" si="13"/>
        <v>0</v>
      </c>
      <c r="S73" s="70"/>
      <c r="T73" s="71"/>
      <c r="U73" s="191">
        <f t="shared" si="10"/>
        <v>86.259999999999977</v>
      </c>
      <c r="V73" s="73">
        <f t="shared" si="11"/>
        <v>19</v>
      </c>
      <c r="W73" s="60">
        <f t="shared" si="7"/>
        <v>0</v>
      </c>
    </row>
    <row r="74" spans="2:23" x14ac:dyDescent="0.25">
      <c r="B74" s="133">
        <v>4.54</v>
      </c>
      <c r="C74" s="15"/>
      <c r="D74" s="69">
        <f t="shared" si="4"/>
        <v>0</v>
      </c>
      <c r="E74" s="196"/>
      <c r="F74" s="69">
        <f t="shared" si="12"/>
        <v>0</v>
      </c>
      <c r="G74" s="70"/>
      <c r="H74" s="71"/>
      <c r="I74" s="191">
        <f t="shared" si="8"/>
        <v>-2.5224267119483557E-13</v>
      </c>
      <c r="J74" s="73">
        <f t="shared" si="9"/>
        <v>0</v>
      </c>
      <c r="K74" s="60">
        <f t="shared" si="6"/>
        <v>0</v>
      </c>
      <c r="N74" s="133">
        <v>4.54</v>
      </c>
      <c r="O74" s="15"/>
      <c r="P74" s="69">
        <f t="shared" si="14"/>
        <v>0</v>
      </c>
      <c r="Q74" s="196"/>
      <c r="R74" s="69">
        <f t="shared" si="13"/>
        <v>0</v>
      </c>
      <c r="S74" s="70"/>
      <c r="T74" s="71"/>
      <c r="U74" s="191">
        <f t="shared" si="10"/>
        <v>86.259999999999977</v>
      </c>
      <c r="V74" s="73">
        <f t="shared" si="11"/>
        <v>19</v>
      </c>
      <c r="W74" s="60">
        <f t="shared" si="7"/>
        <v>0</v>
      </c>
    </row>
    <row r="75" spans="2:23" x14ac:dyDescent="0.25">
      <c r="B75" s="133">
        <v>4.54</v>
      </c>
      <c r="C75" s="15"/>
      <c r="D75" s="69">
        <f t="shared" si="4"/>
        <v>0</v>
      </c>
      <c r="E75" s="196"/>
      <c r="F75" s="69">
        <f t="shared" si="12"/>
        <v>0</v>
      </c>
      <c r="G75" s="70"/>
      <c r="H75" s="71"/>
      <c r="I75" s="191">
        <f t="shared" ref="I75:I107" si="15">I74-F75</f>
        <v>-2.5224267119483557E-13</v>
      </c>
      <c r="J75" s="73">
        <f t="shared" ref="J75:J106" si="16">J74-C75</f>
        <v>0</v>
      </c>
      <c r="K75" s="60">
        <f t="shared" si="6"/>
        <v>0</v>
      </c>
      <c r="N75" s="133">
        <v>4.54</v>
      </c>
      <c r="O75" s="15"/>
      <c r="P75" s="69">
        <f t="shared" si="14"/>
        <v>0</v>
      </c>
      <c r="Q75" s="196"/>
      <c r="R75" s="69">
        <f t="shared" si="13"/>
        <v>0</v>
      </c>
      <c r="S75" s="70"/>
      <c r="T75" s="71"/>
      <c r="U75" s="191">
        <f t="shared" ref="U75:U107" si="17">U74-R75</f>
        <v>86.259999999999977</v>
      </c>
      <c r="V75" s="73">
        <f t="shared" ref="V75:V106" si="18">V74-O75</f>
        <v>19</v>
      </c>
      <c r="W75" s="60">
        <f t="shared" si="7"/>
        <v>0</v>
      </c>
    </row>
    <row r="76" spans="2:23" x14ac:dyDescent="0.25">
      <c r="B76" s="133">
        <v>4.54</v>
      </c>
      <c r="C76" s="15"/>
      <c r="D76" s="69">
        <f t="shared" si="4"/>
        <v>0</v>
      </c>
      <c r="E76" s="196"/>
      <c r="F76" s="69">
        <f t="shared" si="12"/>
        <v>0</v>
      </c>
      <c r="G76" s="70"/>
      <c r="H76" s="71"/>
      <c r="I76" s="191">
        <f t="shared" si="15"/>
        <v>-2.5224267119483557E-13</v>
      </c>
      <c r="J76" s="73">
        <f t="shared" si="16"/>
        <v>0</v>
      </c>
      <c r="K76" s="60">
        <f t="shared" si="6"/>
        <v>0</v>
      </c>
      <c r="N76" s="133">
        <v>4.54</v>
      </c>
      <c r="O76" s="15"/>
      <c r="P76" s="69">
        <f t="shared" si="14"/>
        <v>0</v>
      </c>
      <c r="Q76" s="196"/>
      <c r="R76" s="69">
        <f t="shared" si="13"/>
        <v>0</v>
      </c>
      <c r="S76" s="70"/>
      <c r="T76" s="71"/>
      <c r="U76" s="191">
        <f t="shared" si="17"/>
        <v>86.259999999999977</v>
      </c>
      <c r="V76" s="73">
        <f t="shared" si="18"/>
        <v>19</v>
      </c>
      <c r="W76" s="60">
        <f t="shared" si="7"/>
        <v>0</v>
      </c>
    </row>
    <row r="77" spans="2:23" x14ac:dyDescent="0.25">
      <c r="B77" s="133">
        <v>4.54</v>
      </c>
      <c r="C77" s="15"/>
      <c r="D77" s="69">
        <f t="shared" si="4"/>
        <v>0</v>
      </c>
      <c r="E77" s="196"/>
      <c r="F77" s="69">
        <f t="shared" si="12"/>
        <v>0</v>
      </c>
      <c r="G77" s="70"/>
      <c r="H77" s="71"/>
      <c r="I77" s="191">
        <f t="shared" si="15"/>
        <v>-2.5224267119483557E-13</v>
      </c>
      <c r="J77" s="73">
        <f t="shared" si="16"/>
        <v>0</v>
      </c>
      <c r="K77" s="60">
        <f t="shared" si="6"/>
        <v>0</v>
      </c>
      <c r="N77" s="133">
        <v>4.54</v>
      </c>
      <c r="O77" s="15"/>
      <c r="P77" s="69">
        <f t="shared" si="14"/>
        <v>0</v>
      </c>
      <c r="Q77" s="196"/>
      <c r="R77" s="69">
        <f t="shared" si="13"/>
        <v>0</v>
      </c>
      <c r="S77" s="70"/>
      <c r="T77" s="71"/>
      <c r="U77" s="191">
        <f t="shared" si="17"/>
        <v>86.259999999999977</v>
      </c>
      <c r="V77" s="73">
        <f t="shared" si="18"/>
        <v>19</v>
      </c>
      <c r="W77" s="60">
        <f t="shared" si="7"/>
        <v>0</v>
      </c>
    </row>
    <row r="78" spans="2:23" x14ac:dyDescent="0.25">
      <c r="B78" s="133">
        <v>4.54</v>
      </c>
      <c r="C78" s="15"/>
      <c r="D78" s="69">
        <f t="shared" si="4"/>
        <v>0</v>
      </c>
      <c r="E78" s="196"/>
      <c r="F78" s="69">
        <f t="shared" si="12"/>
        <v>0</v>
      </c>
      <c r="G78" s="70"/>
      <c r="H78" s="71"/>
      <c r="I78" s="191">
        <f t="shared" si="15"/>
        <v>-2.5224267119483557E-13</v>
      </c>
      <c r="J78" s="73">
        <f t="shared" si="16"/>
        <v>0</v>
      </c>
      <c r="K78" s="60">
        <f t="shared" si="6"/>
        <v>0</v>
      </c>
      <c r="N78" s="133">
        <v>4.54</v>
      </c>
      <c r="O78" s="15"/>
      <c r="P78" s="69">
        <f t="shared" si="14"/>
        <v>0</v>
      </c>
      <c r="Q78" s="196"/>
      <c r="R78" s="69">
        <f t="shared" si="13"/>
        <v>0</v>
      </c>
      <c r="S78" s="70"/>
      <c r="T78" s="71"/>
      <c r="U78" s="191">
        <f t="shared" si="17"/>
        <v>86.259999999999977</v>
      </c>
      <c r="V78" s="73">
        <f t="shared" si="18"/>
        <v>19</v>
      </c>
      <c r="W78" s="60">
        <f t="shared" si="7"/>
        <v>0</v>
      </c>
    </row>
    <row r="79" spans="2:23" x14ac:dyDescent="0.25">
      <c r="B79" s="133">
        <v>4.54</v>
      </c>
      <c r="C79" s="15"/>
      <c r="D79" s="69">
        <f t="shared" si="4"/>
        <v>0</v>
      </c>
      <c r="E79" s="196"/>
      <c r="F79" s="69">
        <f t="shared" si="12"/>
        <v>0</v>
      </c>
      <c r="G79" s="70"/>
      <c r="H79" s="71"/>
      <c r="I79" s="191">
        <f t="shared" si="15"/>
        <v>-2.5224267119483557E-13</v>
      </c>
      <c r="J79" s="73">
        <f t="shared" si="16"/>
        <v>0</v>
      </c>
      <c r="K79" s="60">
        <f t="shared" si="6"/>
        <v>0</v>
      </c>
      <c r="N79" s="133">
        <v>4.54</v>
      </c>
      <c r="O79" s="15"/>
      <c r="P79" s="69">
        <f t="shared" si="14"/>
        <v>0</v>
      </c>
      <c r="Q79" s="196"/>
      <c r="R79" s="69">
        <f t="shared" si="13"/>
        <v>0</v>
      </c>
      <c r="S79" s="70"/>
      <c r="T79" s="71"/>
      <c r="U79" s="191">
        <f t="shared" si="17"/>
        <v>86.259999999999977</v>
      </c>
      <c r="V79" s="73">
        <f t="shared" si="18"/>
        <v>19</v>
      </c>
      <c r="W79" s="60">
        <f t="shared" si="7"/>
        <v>0</v>
      </c>
    </row>
    <row r="80" spans="2:23" x14ac:dyDescent="0.25">
      <c r="B80" s="133">
        <v>4.54</v>
      </c>
      <c r="C80" s="15"/>
      <c r="D80" s="69">
        <f t="shared" si="4"/>
        <v>0</v>
      </c>
      <c r="E80" s="196"/>
      <c r="F80" s="69">
        <f t="shared" si="12"/>
        <v>0</v>
      </c>
      <c r="G80" s="70"/>
      <c r="H80" s="71"/>
      <c r="I80" s="191">
        <f t="shared" si="15"/>
        <v>-2.5224267119483557E-13</v>
      </c>
      <c r="J80" s="73">
        <f t="shared" si="16"/>
        <v>0</v>
      </c>
      <c r="K80" s="60">
        <f t="shared" si="6"/>
        <v>0</v>
      </c>
      <c r="N80" s="133">
        <v>4.54</v>
      </c>
      <c r="O80" s="15"/>
      <c r="P80" s="69">
        <f t="shared" si="14"/>
        <v>0</v>
      </c>
      <c r="Q80" s="196"/>
      <c r="R80" s="69">
        <f t="shared" si="13"/>
        <v>0</v>
      </c>
      <c r="S80" s="70"/>
      <c r="T80" s="71"/>
      <c r="U80" s="191">
        <f t="shared" si="17"/>
        <v>86.259999999999977</v>
      </c>
      <c r="V80" s="73">
        <f t="shared" si="18"/>
        <v>19</v>
      </c>
      <c r="W80" s="60">
        <f t="shared" si="7"/>
        <v>0</v>
      </c>
    </row>
    <row r="81" spans="2:23" x14ac:dyDescent="0.25">
      <c r="B81" s="133">
        <v>4.54</v>
      </c>
      <c r="C81" s="15"/>
      <c r="D81" s="69">
        <f t="shared" si="4"/>
        <v>0</v>
      </c>
      <c r="E81" s="196"/>
      <c r="F81" s="69">
        <f t="shared" si="12"/>
        <v>0</v>
      </c>
      <c r="G81" s="70"/>
      <c r="H81" s="71"/>
      <c r="I81" s="191">
        <f t="shared" si="15"/>
        <v>-2.5224267119483557E-13</v>
      </c>
      <c r="J81" s="73">
        <f t="shared" si="16"/>
        <v>0</v>
      </c>
      <c r="K81" s="60">
        <f t="shared" si="6"/>
        <v>0</v>
      </c>
      <c r="N81" s="133">
        <v>4.54</v>
      </c>
      <c r="O81" s="15"/>
      <c r="P81" s="69">
        <f t="shared" si="14"/>
        <v>0</v>
      </c>
      <c r="Q81" s="196"/>
      <c r="R81" s="69">
        <f t="shared" si="13"/>
        <v>0</v>
      </c>
      <c r="S81" s="70"/>
      <c r="T81" s="71"/>
      <c r="U81" s="191">
        <f t="shared" si="17"/>
        <v>86.259999999999977</v>
      </c>
      <c r="V81" s="73">
        <f t="shared" si="18"/>
        <v>19</v>
      </c>
      <c r="W81" s="60">
        <f t="shared" si="7"/>
        <v>0</v>
      </c>
    </row>
    <row r="82" spans="2:23" x14ac:dyDescent="0.25">
      <c r="B82" s="133">
        <v>4.54</v>
      </c>
      <c r="C82" s="15"/>
      <c r="D82" s="69">
        <f t="shared" si="4"/>
        <v>0</v>
      </c>
      <c r="E82" s="196"/>
      <c r="F82" s="69">
        <f t="shared" si="12"/>
        <v>0</v>
      </c>
      <c r="G82" s="70"/>
      <c r="H82" s="71"/>
      <c r="I82" s="191">
        <f t="shared" si="15"/>
        <v>-2.5224267119483557E-13</v>
      </c>
      <c r="J82" s="73">
        <f t="shared" si="16"/>
        <v>0</v>
      </c>
      <c r="K82" s="60">
        <f t="shared" si="6"/>
        <v>0</v>
      </c>
      <c r="N82" s="133">
        <v>4.54</v>
      </c>
      <c r="O82" s="15"/>
      <c r="P82" s="69">
        <f t="shared" si="14"/>
        <v>0</v>
      </c>
      <c r="Q82" s="196"/>
      <c r="R82" s="69">
        <f t="shared" si="13"/>
        <v>0</v>
      </c>
      <c r="S82" s="70"/>
      <c r="T82" s="71"/>
      <c r="U82" s="191">
        <f t="shared" si="17"/>
        <v>86.259999999999977</v>
      </c>
      <c r="V82" s="73">
        <f t="shared" si="18"/>
        <v>19</v>
      </c>
      <c r="W82" s="60">
        <f t="shared" si="7"/>
        <v>0</v>
      </c>
    </row>
    <row r="83" spans="2:23" x14ac:dyDescent="0.25">
      <c r="B83" s="133">
        <v>4.54</v>
      </c>
      <c r="C83" s="15"/>
      <c r="D83" s="69">
        <f t="shared" si="4"/>
        <v>0</v>
      </c>
      <c r="E83" s="196"/>
      <c r="F83" s="69">
        <f t="shared" si="12"/>
        <v>0</v>
      </c>
      <c r="G83" s="70"/>
      <c r="H83" s="71"/>
      <c r="I83" s="191">
        <f t="shared" si="15"/>
        <v>-2.5224267119483557E-13</v>
      </c>
      <c r="J83" s="73">
        <f t="shared" si="16"/>
        <v>0</v>
      </c>
      <c r="K83" s="60">
        <f t="shared" si="6"/>
        <v>0</v>
      </c>
      <c r="N83" s="133">
        <v>4.54</v>
      </c>
      <c r="O83" s="15"/>
      <c r="P83" s="69">
        <f t="shared" si="14"/>
        <v>0</v>
      </c>
      <c r="Q83" s="196"/>
      <c r="R83" s="69">
        <f t="shared" si="13"/>
        <v>0</v>
      </c>
      <c r="S83" s="70"/>
      <c r="T83" s="71"/>
      <c r="U83" s="191">
        <f t="shared" si="17"/>
        <v>86.259999999999977</v>
      </c>
      <c r="V83" s="73">
        <f t="shared" si="18"/>
        <v>19</v>
      </c>
      <c r="W83" s="60">
        <f t="shared" si="7"/>
        <v>0</v>
      </c>
    </row>
    <row r="84" spans="2:23" x14ac:dyDescent="0.25">
      <c r="B84" s="133">
        <v>4.54</v>
      </c>
      <c r="C84" s="15"/>
      <c r="D84" s="69">
        <f t="shared" si="4"/>
        <v>0</v>
      </c>
      <c r="E84" s="196"/>
      <c r="F84" s="69">
        <f t="shared" si="12"/>
        <v>0</v>
      </c>
      <c r="G84" s="70"/>
      <c r="H84" s="71"/>
      <c r="I84" s="191">
        <f t="shared" si="15"/>
        <v>-2.5224267119483557E-13</v>
      </c>
      <c r="J84" s="73">
        <f t="shared" si="16"/>
        <v>0</v>
      </c>
      <c r="K84" s="60"/>
      <c r="N84" s="133">
        <v>4.54</v>
      </c>
      <c r="O84" s="15"/>
      <c r="P84" s="69">
        <f t="shared" si="14"/>
        <v>0</v>
      </c>
      <c r="Q84" s="196"/>
      <c r="R84" s="69">
        <f t="shared" si="13"/>
        <v>0</v>
      </c>
      <c r="S84" s="70"/>
      <c r="T84" s="71"/>
      <c r="U84" s="191">
        <f t="shared" si="17"/>
        <v>86.259999999999977</v>
      </c>
      <c r="V84" s="73">
        <f t="shared" si="18"/>
        <v>19</v>
      </c>
      <c r="W84" s="60"/>
    </row>
    <row r="85" spans="2:23" x14ac:dyDescent="0.25">
      <c r="B85" s="133">
        <v>4.54</v>
      </c>
      <c r="C85" s="15"/>
      <c r="D85" s="69">
        <f t="shared" si="4"/>
        <v>0</v>
      </c>
      <c r="E85" s="196"/>
      <c r="F85" s="69">
        <f t="shared" si="12"/>
        <v>0</v>
      </c>
      <c r="G85" s="70"/>
      <c r="H85" s="71"/>
      <c r="I85" s="191">
        <f t="shared" si="15"/>
        <v>-2.5224267119483557E-13</v>
      </c>
      <c r="J85" s="73">
        <f t="shared" si="16"/>
        <v>0</v>
      </c>
      <c r="K85" s="60"/>
      <c r="N85" s="133">
        <v>4.54</v>
      </c>
      <c r="O85" s="15"/>
      <c r="P85" s="69">
        <f t="shared" si="14"/>
        <v>0</v>
      </c>
      <c r="Q85" s="196"/>
      <c r="R85" s="69">
        <f t="shared" si="13"/>
        <v>0</v>
      </c>
      <c r="S85" s="70"/>
      <c r="T85" s="71"/>
      <c r="U85" s="191">
        <f t="shared" si="17"/>
        <v>86.259999999999977</v>
      </c>
      <c r="V85" s="73">
        <f t="shared" si="18"/>
        <v>19</v>
      </c>
      <c r="W85" s="60"/>
    </row>
    <row r="86" spans="2:23" x14ac:dyDescent="0.25">
      <c r="B86" s="133">
        <v>4.54</v>
      </c>
      <c r="C86" s="15"/>
      <c r="D86" s="69">
        <f t="shared" si="4"/>
        <v>0</v>
      </c>
      <c r="E86" s="196"/>
      <c r="F86" s="69">
        <f t="shared" si="12"/>
        <v>0</v>
      </c>
      <c r="G86" s="70"/>
      <c r="H86" s="71"/>
      <c r="I86" s="191">
        <f t="shared" si="15"/>
        <v>-2.5224267119483557E-13</v>
      </c>
      <c r="J86" s="73">
        <f t="shared" si="16"/>
        <v>0</v>
      </c>
      <c r="K86" s="60"/>
      <c r="N86" s="133">
        <v>4.54</v>
      </c>
      <c r="O86" s="15"/>
      <c r="P86" s="69">
        <f t="shared" si="14"/>
        <v>0</v>
      </c>
      <c r="Q86" s="196"/>
      <c r="R86" s="69">
        <f t="shared" si="13"/>
        <v>0</v>
      </c>
      <c r="S86" s="70"/>
      <c r="T86" s="71"/>
      <c r="U86" s="191">
        <f t="shared" si="17"/>
        <v>86.259999999999977</v>
      </c>
      <c r="V86" s="73">
        <f t="shared" si="18"/>
        <v>19</v>
      </c>
      <c r="W86" s="60"/>
    </row>
    <row r="87" spans="2:23" x14ac:dyDescent="0.25">
      <c r="B87" s="133">
        <v>4.54</v>
      </c>
      <c r="C87" s="15"/>
      <c r="D87" s="69">
        <f t="shared" si="4"/>
        <v>0</v>
      </c>
      <c r="E87" s="196"/>
      <c r="F87" s="69">
        <f t="shared" si="12"/>
        <v>0</v>
      </c>
      <c r="G87" s="70"/>
      <c r="H87" s="71"/>
      <c r="I87" s="191">
        <f t="shared" si="15"/>
        <v>-2.5224267119483557E-13</v>
      </c>
      <c r="J87" s="73">
        <f t="shared" si="16"/>
        <v>0</v>
      </c>
      <c r="K87" s="60"/>
      <c r="N87" s="133">
        <v>4.54</v>
      </c>
      <c r="O87" s="15"/>
      <c r="P87" s="69">
        <f t="shared" si="14"/>
        <v>0</v>
      </c>
      <c r="Q87" s="196"/>
      <c r="R87" s="69">
        <f t="shared" si="13"/>
        <v>0</v>
      </c>
      <c r="S87" s="70"/>
      <c r="T87" s="71"/>
      <c r="U87" s="191">
        <f t="shared" si="17"/>
        <v>86.259999999999977</v>
      </c>
      <c r="V87" s="73">
        <f t="shared" si="18"/>
        <v>19</v>
      </c>
      <c r="W87" s="60"/>
    </row>
    <row r="88" spans="2:23" x14ac:dyDescent="0.25">
      <c r="B88" s="133">
        <v>4.54</v>
      </c>
      <c r="C88" s="15"/>
      <c r="D88" s="69">
        <f t="shared" si="4"/>
        <v>0</v>
      </c>
      <c r="E88" s="196"/>
      <c r="F88" s="69">
        <f t="shared" si="12"/>
        <v>0</v>
      </c>
      <c r="G88" s="70"/>
      <c r="H88" s="71"/>
      <c r="I88" s="191">
        <f t="shared" si="15"/>
        <v>-2.5224267119483557E-13</v>
      </c>
      <c r="J88" s="73">
        <f t="shared" si="16"/>
        <v>0</v>
      </c>
      <c r="K88" s="60"/>
      <c r="N88" s="133">
        <v>4.54</v>
      </c>
      <c r="O88" s="15"/>
      <c r="P88" s="69">
        <f t="shared" si="14"/>
        <v>0</v>
      </c>
      <c r="Q88" s="196"/>
      <c r="R88" s="69">
        <f t="shared" si="13"/>
        <v>0</v>
      </c>
      <c r="S88" s="70"/>
      <c r="T88" s="71"/>
      <c r="U88" s="191">
        <f t="shared" si="17"/>
        <v>86.259999999999977</v>
      </c>
      <c r="V88" s="73">
        <f t="shared" si="18"/>
        <v>19</v>
      </c>
      <c r="W88" s="60"/>
    </row>
    <row r="89" spans="2:23" x14ac:dyDescent="0.25">
      <c r="B89" s="133">
        <v>4.54</v>
      </c>
      <c r="C89" s="15"/>
      <c r="D89" s="69">
        <f t="shared" si="4"/>
        <v>0</v>
      </c>
      <c r="E89" s="196"/>
      <c r="F89" s="69">
        <f t="shared" si="12"/>
        <v>0</v>
      </c>
      <c r="G89" s="70"/>
      <c r="H89" s="71"/>
      <c r="I89" s="191">
        <f t="shared" si="15"/>
        <v>-2.5224267119483557E-13</v>
      </c>
      <c r="J89" s="73">
        <f t="shared" si="16"/>
        <v>0</v>
      </c>
      <c r="K89" s="60"/>
      <c r="N89" s="133">
        <v>4.54</v>
      </c>
      <c r="O89" s="15"/>
      <c r="P89" s="69">
        <f t="shared" si="14"/>
        <v>0</v>
      </c>
      <c r="Q89" s="196"/>
      <c r="R89" s="69">
        <f t="shared" si="13"/>
        <v>0</v>
      </c>
      <c r="S89" s="70"/>
      <c r="T89" s="71"/>
      <c r="U89" s="191">
        <f t="shared" si="17"/>
        <v>86.259999999999977</v>
      </c>
      <c r="V89" s="73">
        <f t="shared" si="18"/>
        <v>19</v>
      </c>
      <c r="W89" s="60"/>
    </row>
    <row r="90" spans="2:23" x14ac:dyDescent="0.25">
      <c r="B90" s="133">
        <v>4.54</v>
      </c>
      <c r="C90" s="15"/>
      <c r="D90" s="69">
        <f t="shared" si="4"/>
        <v>0</v>
      </c>
      <c r="E90" s="196"/>
      <c r="F90" s="69">
        <f t="shared" si="12"/>
        <v>0</v>
      </c>
      <c r="G90" s="70"/>
      <c r="H90" s="71"/>
      <c r="I90" s="191">
        <f t="shared" si="15"/>
        <v>-2.5224267119483557E-13</v>
      </c>
      <c r="J90" s="73">
        <f t="shared" si="16"/>
        <v>0</v>
      </c>
      <c r="K90" s="60"/>
      <c r="N90" s="133">
        <v>4.54</v>
      </c>
      <c r="O90" s="15"/>
      <c r="P90" s="69">
        <f t="shared" si="14"/>
        <v>0</v>
      </c>
      <c r="Q90" s="196"/>
      <c r="R90" s="69">
        <f t="shared" si="13"/>
        <v>0</v>
      </c>
      <c r="S90" s="70"/>
      <c r="T90" s="71"/>
      <c r="U90" s="191">
        <f t="shared" si="17"/>
        <v>86.259999999999977</v>
      </c>
      <c r="V90" s="73">
        <f t="shared" si="18"/>
        <v>19</v>
      </c>
      <c r="W90" s="60"/>
    </row>
    <row r="91" spans="2:23" x14ac:dyDescent="0.25">
      <c r="B91" s="133">
        <v>4.54</v>
      </c>
      <c r="C91" s="15"/>
      <c r="D91" s="69">
        <f t="shared" si="4"/>
        <v>0</v>
      </c>
      <c r="E91" s="196"/>
      <c r="F91" s="69">
        <f t="shared" si="12"/>
        <v>0</v>
      </c>
      <c r="G91" s="70"/>
      <c r="H91" s="71"/>
      <c r="I91" s="191">
        <f t="shared" si="15"/>
        <v>-2.5224267119483557E-13</v>
      </c>
      <c r="J91" s="73">
        <f t="shared" si="16"/>
        <v>0</v>
      </c>
      <c r="K91" s="60"/>
      <c r="N91" s="133">
        <v>4.54</v>
      </c>
      <c r="O91" s="15"/>
      <c r="P91" s="69">
        <f t="shared" si="14"/>
        <v>0</v>
      </c>
      <c r="Q91" s="196"/>
      <c r="R91" s="69">
        <f t="shared" si="13"/>
        <v>0</v>
      </c>
      <c r="S91" s="70"/>
      <c r="T91" s="71"/>
      <c r="U91" s="191">
        <f t="shared" si="17"/>
        <v>86.259999999999977</v>
      </c>
      <c r="V91" s="73">
        <f t="shared" si="18"/>
        <v>19</v>
      </c>
      <c r="W91" s="60"/>
    </row>
    <row r="92" spans="2:23" x14ac:dyDescent="0.25">
      <c r="B92" s="133">
        <v>4.54</v>
      </c>
      <c r="C92" s="15"/>
      <c r="D92" s="69">
        <f t="shared" si="4"/>
        <v>0</v>
      </c>
      <c r="E92" s="196"/>
      <c r="F92" s="69">
        <f t="shared" si="12"/>
        <v>0</v>
      </c>
      <c r="G92" s="70"/>
      <c r="H92" s="71"/>
      <c r="I92" s="191">
        <f t="shared" si="15"/>
        <v>-2.5224267119483557E-13</v>
      </c>
      <c r="J92" s="73">
        <f t="shared" si="16"/>
        <v>0</v>
      </c>
      <c r="K92" s="60"/>
      <c r="N92" s="133">
        <v>4.54</v>
      </c>
      <c r="O92" s="15"/>
      <c r="P92" s="69">
        <f t="shared" si="14"/>
        <v>0</v>
      </c>
      <c r="Q92" s="196"/>
      <c r="R92" s="69">
        <f t="shared" si="13"/>
        <v>0</v>
      </c>
      <c r="S92" s="70"/>
      <c r="T92" s="71"/>
      <c r="U92" s="191">
        <f t="shared" si="17"/>
        <v>86.259999999999977</v>
      </c>
      <c r="V92" s="73">
        <f t="shared" si="18"/>
        <v>19</v>
      </c>
      <c r="W92" s="60"/>
    </row>
    <row r="93" spans="2:23" x14ac:dyDescent="0.25">
      <c r="B93" s="133">
        <v>4.54</v>
      </c>
      <c r="C93" s="15"/>
      <c r="D93" s="69">
        <f t="shared" si="4"/>
        <v>0</v>
      </c>
      <c r="E93" s="196"/>
      <c r="F93" s="69">
        <f t="shared" si="12"/>
        <v>0</v>
      </c>
      <c r="G93" s="70"/>
      <c r="H93" s="71"/>
      <c r="I93" s="191">
        <f t="shared" si="15"/>
        <v>-2.5224267119483557E-13</v>
      </c>
      <c r="J93" s="73">
        <f t="shared" si="16"/>
        <v>0</v>
      </c>
      <c r="K93" s="60"/>
      <c r="N93" s="133">
        <v>4.54</v>
      </c>
      <c r="O93" s="15"/>
      <c r="P93" s="69">
        <f t="shared" si="14"/>
        <v>0</v>
      </c>
      <c r="Q93" s="196"/>
      <c r="R93" s="69">
        <f t="shared" si="13"/>
        <v>0</v>
      </c>
      <c r="S93" s="70"/>
      <c r="T93" s="71"/>
      <c r="U93" s="191">
        <f t="shared" si="17"/>
        <v>86.259999999999977</v>
      </c>
      <c r="V93" s="73">
        <f t="shared" si="18"/>
        <v>19</v>
      </c>
      <c r="W93" s="60"/>
    </row>
    <row r="94" spans="2:23" x14ac:dyDescent="0.25">
      <c r="B94" s="133">
        <v>4.54</v>
      </c>
      <c r="C94" s="15"/>
      <c r="D94" s="69">
        <f t="shared" si="4"/>
        <v>0</v>
      </c>
      <c r="E94" s="196"/>
      <c r="F94" s="69">
        <f t="shared" si="12"/>
        <v>0</v>
      </c>
      <c r="G94" s="70"/>
      <c r="H94" s="71"/>
      <c r="I94" s="191">
        <f t="shared" si="15"/>
        <v>-2.5224267119483557E-13</v>
      </c>
      <c r="J94" s="73">
        <f t="shared" si="16"/>
        <v>0</v>
      </c>
      <c r="K94" s="60"/>
      <c r="N94" s="133">
        <v>4.54</v>
      </c>
      <c r="O94" s="15"/>
      <c r="P94" s="69">
        <f t="shared" si="14"/>
        <v>0</v>
      </c>
      <c r="Q94" s="196"/>
      <c r="R94" s="69">
        <f t="shared" si="13"/>
        <v>0</v>
      </c>
      <c r="S94" s="70"/>
      <c r="T94" s="71"/>
      <c r="U94" s="191">
        <f t="shared" si="17"/>
        <v>86.259999999999977</v>
      </c>
      <c r="V94" s="73">
        <f t="shared" si="18"/>
        <v>19</v>
      </c>
      <c r="W94" s="60"/>
    </row>
    <row r="95" spans="2:23" x14ac:dyDescent="0.25">
      <c r="B95" s="133">
        <v>4.54</v>
      </c>
      <c r="C95" s="15"/>
      <c r="D95" s="69">
        <f t="shared" si="4"/>
        <v>0</v>
      </c>
      <c r="E95" s="196"/>
      <c r="F95" s="69">
        <f t="shared" si="12"/>
        <v>0</v>
      </c>
      <c r="G95" s="70"/>
      <c r="H95" s="71"/>
      <c r="I95" s="191">
        <f t="shared" si="15"/>
        <v>-2.5224267119483557E-13</v>
      </c>
      <c r="J95" s="73">
        <f t="shared" si="16"/>
        <v>0</v>
      </c>
      <c r="K95" s="60"/>
      <c r="N95" s="133">
        <v>4.54</v>
      </c>
      <c r="O95" s="15"/>
      <c r="P95" s="69">
        <f t="shared" si="14"/>
        <v>0</v>
      </c>
      <c r="Q95" s="196"/>
      <c r="R95" s="69">
        <f t="shared" si="13"/>
        <v>0</v>
      </c>
      <c r="S95" s="70"/>
      <c r="T95" s="71"/>
      <c r="U95" s="191">
        <f t="shared" si="17"/>
        <v>86.259999999999977</v>
      </c>
      <c r="V95" s="73">
        <f t="shared" si="18"/>
        <v>19</v>
      </c>
      <c r="W95" s="60"/>
    </row>
    <row r="96" spans="2:23" x14ac:dyDescent="0.25">
      <c r="B96" s="133">
        <v>4.54</v>
      </c>
      <c r="C96" s="15"/>
      <c r="D96" s="69">
        <f t="shared" si="4"/>
        <v>0</v>
      </c>
      <c r="E96" s="196"/>
      <c r="F96" s="69">
        <f t="shared" si="12"/>
        <v>0</v>
      </c>
      <c r="G96" s="70"/>
      <c r="H96" s="71"/>
      <c r="I96" s="191">
        <f t="shared" si="15"/>
        <v>-2.5224267119483557E-13</v>
      </c>
      <c r="J96" s="73">
        <f t="shared" si="16"/>
        <v>0</v>
      </c>
      <c r="K96" s="60"/>
      <c r="N96" s="133">
        <v>4.54</v>
      </c>
      <c r="O96" s="15"/>
      <c r="P96" s="69">
        <f t="shared" si="14"/>
        <v>0</v>
      </c>
      <c r="Q96" s="196"/>
      <c r="R96" s="69">
        <f t="shared" si="13"/>
        <v>0</v>
      </c>
      <c r="S96" s="70"/>
      <c r="T96" s="71"/>
      <c r="U96" s="191">
        <f t="shared" si="17"/>
        <v>86.259999999999977</v>
      </c>
      <c r="V96" s="73">
        <f t="shared" si="18"/>
        <v>19</v>
      </c>
      <c r="W96" s="60"/>
    </row>
    <row r="97" spans="2:23" x14ac:dyDescent="0.25">
      <c r="B97" s="133">
        <v>4.54</v>
      </c>
      <c r="C97" s="15"/>
      <c r="D97" s="69">
        <f t="shared" si="4"/>
        <v>0</v>
      </c>
      <c r="E97" s="196"/>
      <c r="F97" s="69">
        <f t="shared" si="12"/>
        <v>0</v>
      </c>
      <c r="G97" s="70"/>
      <c r="H97" s="71"/>
      <c r="I97" s="191">
        <f t="shared" si="15"/>
        <v>-2.5224267119483557E-13</v>
      </c>
      <c r="J97" s="73">
        <f t="shared" si="16"/>
        <v>0</v>
      </c>
      <c r="K97" s="60"/>
      <c r="N97" s="133">
        <v>4.54</v>
      </c>
      <c r="O97" s="15"/>
      <c r="P97" s="69">
        <f t="shared" si="14"/>
        <v>0</v>
      </c>
      <c r="Q97" s="196"/>
      <c r="R97" s="69">
        <f t="shared" si="13"/>
        <v>0</v>
      </c>
      <c r="S97" s="70"/>
      <c r="T97" s="71"/>
      <c r="U97" s="191">
        <f t="shared" si="17"/>
        <v>86.259999999999977</v>
      </c>
      <c r="V97" s="73">
        <f t="shared" si="18"/>
        <v>19</v>
      </c>
      <c r="W97" s="60"/>
    </row>
    <row r="98" spans="2:23" x14ac:dyDescent="0.25">
      <c r="B98" s="133">
        <v>4.54</v>
      </c>
      <c r="C98" s="15"/>
      <c r="D98" s="69">
        <f t="shared" si="4"/>
        <v>0</v>
      </c>
      <c r="E98" s="196"/>
      <c r="F98" s="69">
        <f t="shared" si="12"/>
        <v>0</v>
      </c>
      <c r="G98" s="70"/>
      <c r="H98" s="71"/>
      <c r="I98" s="191">
        <f t="shared" si="15"/>
        <v>-2.5224267119483557E-13</v>
      </c>
      <c r="J98" s="73">
        <f t="shared" si="16"/>
        <v>0</v>
      </c>
      <c r="K98" s="60"/>
      <c r="N98" s="133">
        <v>4.54</v>
      </c>
      <c r="O98" s="15"/>
      <c r="P98" s="69">
        <f t="shared" si="14"/>
        <v>0</v>
      </c>
      <c r="Q98" s="196"/>
      <c r="R98" s="69">
        <f t="shared" si="13"/>
        <v>0</v>
      </c>
      <c r="S98" s="70"/>
      <c r="T98" s="71"/>
      <c r="U98" s="191">
        <f t="shared" si="17"/>
        <v>86.259999999999977</v>
      </c>
      <c r="V98" s="73">
        <f t="shared" si="18"/>
        <v>19</v>
      </c>
      <c r="W98" s="60"/>
    </row>
    <row r="99" spans="2:23" x14ac:dyDescent="0.25">
      <c r="B99" s="133">
        <v>4.54</v>
      </c>
      <c r="C99" s="15"/>
      <c r="D99" s="69">
        <f t="shared" si="4"/>
        <v>0</v>
      </c>
      <c r="E99" s="196"/>
      <c r="F99" s="69">
        <f t="shared" si="12"/>
        <v>0</v>
      </c>
      <c r="G99" s="70"/>
      <c r="H99" s="71"/>
      <c r="I99" s="191">
        <f t="shared" si="15"/>
        <v>-2.5224267119483557E-13</v>
      </c>
      <c r="J99" s="73">
        <f t="shared" si="16"/>
        <v>0</v>
      </c>
      <c r="K99" s="60"/>
      <c r="N99" s="133">
        <v>4.54</v>
      </c>
      <c r="O99" s="15"/>
      <c r="P99" s="69">
        <f t="shared" si="14"/>
        <v>0</v>
      </c>
      <c r="Q99" s="196"/>
      <c r="R99" s="69">
        <f t="shared" si="13"/>
        <v>0</v>
      </c>
      <c r="S99" s="70"/>
      <c r="T99" s="71"/>
      <c r="U99" s="191">
        <f t="shared" si="17"/>
        <v>86.259999999999977</v>
      </c>
      <c r="V99" s="73">
        <f t="shared" si="18"/>
        <v>19</v>
      </c>
      <c r="W99" s="60"/>
    </row>
    <row r="100" spans="2:23" x14ac:dyDescent="0.25">
      <c r="B100" s="133">
        <v>4.54</v>
      </c>
      <c r="C100" s="15"/>
      <c r="D100" s="69">
        <f t="shared" si="4"/>
        <v>0</v>
      </c>
      <c r="E100" s="196"/>
      <c r="F100" s="69">
        <f t="shared" si="12"/>
        <v>0</v>
      </c>
      <c r="G100" s="70"/>
      <c r="H100" s="71"/>
      <c r="I100" s="191">
        <f t="shared" si="15"/>
        <v>-2.5224267119483557E-13</v>
      </c>
      <c r="J100" s="73">
        <f t="shared" si="16"/>
        <v>0</v>
      </c>
      <c r="K100" s="60"/>
      <c r="N100" s="133">
        <v>4.54</v>
      </c>
      <c r="O100" s="15"/>
      <c r="P100" s="69">
        <f t="shared" si="14"/>
        <v>0</v>
      </c>
      <c r="Q100" s="196"/>
      <c r="R100" s="69">
        <f t="shared" si="13"/>
        <v>0</v>
      </c>
      <c r="S100" s="70"/>
      <c r="T100" s="71"/>
      <c r="U100" s="191">
        <f t="shared" si="17"/>
        <v>86.259999999999977</v>
      </c>
      <c r="V100" s="73">
        <f t="shared" si="18"/>
        <v>19</v>
      </c>
      <c r="W100" s="60"/>
    </row>
    <row r="101" spans="2:23" x14ac:dyDescent="0.25">
      <c r="B101" s="133">
        <v>4.54</v>
      </c>
      <c r="C101" s="15"/>
      <c r="D101" s="69">
        <f t="shared" si="4"/>
        <v>0</v>
      </c>
      <c r="E101" s="196"/>
      <c r="F101" s="69">
        <f t="shared" si="12"/>
        <v>0</v>
      </c>
      <c r="G101" s="70"/>
      <c r="H101" s="71"/>
      <c r="I101" s="191">
        <f t="shared" si="15"/>
        <v>-2.5224267119483557E-13</v>
      </c>
      <c r="J101" s="73">
        <f t="shared" si="16"/>
        <v>0</v>
      </c>
      <c r="K101" s="60"/>
      <c r="N101" s="133">
        <v>4.54</v>
      </c>
      <c r="O101" s="15"/>
      <c r="P101" s="69">
        <f t="shared" si="14"/>
        <v>0</v>
      </c>
      <c r="Q101" s="196"/>
      <c r="R101" s="69">
        <f t="shared" si="13"/>
        <v>0</v>
      </c>
      <c r="S101" s="70"/>
      <c r="T101" s="71"/>
      <c r="U101" s="191">
        <f t="shared" si="17"/>
        <v>86.259999999999977</v>
      </c>
      <c r="V101" s="73">
        <f t="shared" si="18"/>
        <v>19</v>
      </c>
      <c r="W101" s="60"/>
    </row>
    <row r="102" spans="2:23" x14ac:dyDescent="0.25">
      <c r="B102" s="133">
        <v>4.54</v>
      </c>
      <c r="C102" s="15"/>
      <c r="D102" s="69">
        <f t="shared" si="4"/>
        <v>0</v>
      </c>
      <c r="E102" s="196"/>
      <c r="F102" s="69">
        <f t="shared" si="12"/>
        <v>0</v>
      </c>
      <c r="G102" s="70"/>
      <c r="H102" s="71"/>
      <c r="I102" s="191">
        <f t="shared" si="15"/>
        <v>-2.5224267119483557E-13</v>
      </c>
      <c r="J102" s="73">
        <f t="shared" si="16"/>
        <v>0</v>
      </c>
      <c r="K102" s="60"/>
      <c r="N102" s="133">
        <v>4.54</v>
      </c>
      <c r="O102" s="15"/>
      <c r="P102" s="69">
        <f t="shared" si="14"/>
        <v>0</v>
      </c>
      <c r="Q102" s="196"/>
      <c r="R102" s="69">
        <f t="shared" si="13"/>
        <v>0</v>
      </c>
      <c r="S102" s="70"/>
      <c r="T102" s="71"/>
      <c r="U102" s="191">
        <f t="shared" si="17"/>
        <v>86.259999999999977</v>
      </c>
      <c r="V102" s="73">
        <f t="shared" si="18"/>
        <v>19</v>
      </c>
      <c r="W102" s="60"/>
    </row>
    <row r="103" spans="2:23" x14ac:dyDescent="0.25">
      <c r="B103" s="133">
        <v>4.54</v>
      </c>
      <c r="C103" s="15"/>
      <c r="D103" s="69">
        <f t="shared" si="4"/>
        <v>0</v>
      </c>
      <c r="E103" s="196"/>
      <c r="F103" s="69">
        <f t="shared" si="12"/>
        <v>0</v>
      </c>
      <c r="G103" s="70"/>
      <c r="H103" s="71"/>
      <c r="I103" s="191">
        <f t="shared" si="15"/>
        <v>-2.5224267119483557E-13</v>
      </c>
      <c r="J103" s="73">
        <f t="shared" si="16"/>
        <v>0</v>
      </c>
      <c r="K103" s="60"/>
      <c r="N103" s="133">
        <v>4.54</v>
      </c>
      <c r="O103" s="15"/>
      <c r="P103" s="69">
        <f t="shared" si="14"/>
        <v>0</v>
      </c>
      <c r="Q103" s="196"/>
      <c r="R103" s="69">
        <f t="shared" si="13"/>
        <v>0</v>
      </c>
      <c r="S103" s="70"/>
      <c r="T103" s="71"/>
      <c r="U103" s="191">
        <f t="shared" si="17"/>
        <v>86.259999999999977</v>
      </c>
      <c r="V103" s="73">
        <f t="shared" si="18"/>
        <v>19</v>
      </c>
      <c r="W103" s="60"/>
    </row>
    <row r="104" spans="2:23" x14ac:dyDescent="0.25">
      <c r="B104" s="133">
        <v>4.54</v>
      </c>
      <c r="C104" s="15"/>
      <c r="D104" s="69">
        <f t="shared" si="4"/>
        <v>0</v>
      </c>
      <c r="E104" s="196"/>
      <c r="F104" s="69">
        <f t="shared" si="12"/>
        <v>0</v>
      </c>
      <c r="G104" s="70"/>
      <c r="H104" s="71"/>
      <c r="I104" s="191">
        <f t="shared" si="15"/>
        <v>-2.5224267119483557E-13</v>
      </c>
      <c r="J104" s="73">
        <f t="shared" si="16"/>
        <v>0</v>
      </c>
      <c r="K104" s="60"/>
      <c r="N104" s="133">
        <v>4.54</v>
      </c>
      <c r="O104" s="15"/>
      <c r="P104" s="69">
        <f t="shared" si="14"/>
        <v>0</v>
      </c>
      <c r="Q104" s="196"/>
      <c r="R104" s="69">
        <f t="shared" si="13"/>
        <v>0</v>
      </c>
      <c r="S104" s="70"/>
      <c r="T104" s="71"/>
      <c r="U104" s="191">
        <f t="shared" si="17"/>
        <v>86.259999999999977</v>
      </c>
      <c r="V104" s="73">
        <f t="shared" si="18"/>
        <v>19</v>
      </c>
      <c r="W104" s="60"/>
    </row>
    <row r="105" spans="2:23" x14ac:dyDescent="0.25">
      <c r="B105" s="133">
        <v>4.54</v>
      </c>
      <c r="C105" s="15"/>
      <c r="D105" s="69">
        <f t="shared" si="4"/>
        <v>0</v>
      </c>
      <c r="E105" s="196"/>
      <c r="F105" s="69">
        <f t="shared" si="12"/>
        <v>0</v>
      </c>
      <c r="G105" s="70"/>
      <c r="H105" s="71"/>
      <c r="I105" s="191">
        <f t="shared" si="15"/>
        <v>-2.5224267119483557E-13</v>
      </c>
      <c r="J105" s="73">
        <f t="shared" si="16"/>
        <v>0</v>
      </c>
      <c r="K105" s="60"/>
      <c r="N105" s="133">
        <v>4.54</v>
      </c>
      <c r="O105" s="15"/>
      <c r="P105" s="69">
        <f t="shared" si="14"/>
        <v>0</v>
      </c>
      <c r="Q105" s="196"/>
      <c r="R105" s="69">
        <f t="shared" si="13"/>
        <v>0</v>
      </c>
      <c r="S105" s="70"/>
      <c r="T105" s="71"/>
      <c r="U105" s="191">
        <f t="shared" si="17"/>
        <v>86.259999999999977</v>
      </c>
      <c r="V105" s="73">
        <f t="shared" si="18"/>
        <v>19</v>
      </c>
      <c r="W105" s="60"/>
    </row>
    <row r="106" spans="2:23" x14ac:dyDescent="0.25">
      <c r="B106" s="133">
        <v>4.54</v>
      </c>
      <c r="C106" s="15"/>
      <c r="D106" s="69">
        <f t="shared" si="4"/>
        <v>0</v>
      </c>
      <c r="E106" s="196"/>
      <c r="F106" s="69">
        <f t="shared" si="12"/>
        <v>0</v>
      </c>
      <c r="G106" s="70"/>
      <c r="H106" s="71"/>
      <c r="I106" s="191">
        <f t="shared" si="15"/>
        <v>-2.5224267119483557E-13</v>
      </c>
      <c r="J106" s="73">
        <f t="shared" si="16"/>
        <v>0</v>
      </c>
      <c r="K106" s="60"/>
      <c r="N106" s="133">
        <v>4.54</v>
      </c>
      <c r="O106" s="15"/>
      <c r="P106" s="69">
        <f t="shared" si="14"/>
        <v>0</v>
      </c>
      <c r="Q106" s="196"/>
      <c r="R106" s="69">
        <f t="shared" si="13"/>
        <v>0</v>
      </c>
      <c r="S106" s="70"/>
      <c r="T106" s="71"/>
      <c r="U106" s="191">
        <f t="shared" si="17"/>
        <v>86.259999999999977</v>
      </c>
      <c r="V106" s="73">
        <f t="shared" si="18"/>
        <v>19</v>
      </c>
      <c r="W106" s="60"/>
    </row>
    <row r="107" spans="2:23" x14ac:dyDescent="0.25">
      <c r="B107" s="133">
        <v>4.54</v>
      </c>
      <c r="C107" s="15"/>
      <c r="D107" s="69">
        <f t="shared" si="4"/>
        <v>0</v>
      </c>
      <c r="E107" s="196"/>
      <c r="F107" s="69">
        <f t="shared" si="12"/>
        <v>0</v>
      </c>
      <c r="G107" s="70"/>
      <c r="H107" s="71"/>
      <c r="I107" s="191">
        <f t="shared" si="15"/>
        <v>-2.5224267119483557E-13</v>
      </c>
      <c r="J107" s="73">
        <f>J83-C107</f>
        <v>0</v>
      </c>
      <c r="K107" s="60">
        <f t="shared" ref="K107" si="19">H107*F107</f>
        <v>0</v>
      </c>
      <c r="N107" s="133">
        <v>4.54</v>
      </c>
      <c r="O107" s="15"/>
      <c r="P107" s="69">
        <f t="shared" si="14"/>
        <v>0</v>
      </c>
      <c r="Q107" s="196"/>
      <c r="R107" s="69">
        <f t="shared" si="13"/>
        <v>0</v>
      </c>
      <c r="S107" s="70"/>
      <c r="T107" s="71"/>
      <c r="U107" s="191">
        <f t="shared" si="17"/>
        <v>86.259999999999977</v>
      </c>
      <c r="V107" s="73">
        <f>V83-O107</f>
        <v>19</v>
      </c>
      <c r="W107" s="60">
        <f t="shared" ref="W107" si="20">T107*R107</f>
        <v>0</v>
      </c>
    </row>
    <row r="108" spans="2:23" ht="15.75" thickBot="1" x14ac:dyDescent="0.3">
      <c r="B108" s="133">
        <v>4.54</v>
      </c>
      <c r="C108" s="37"/>
      <c r="D108" s="577">
        <f t="shared" si="4"/>
        <v>0</v>
      </c>
      <c r="E108" s="198"/>
      <c r="F108" s="150">
        <f t="shared" si="12"/>
        <v>0</v>
      </c>
      <c r="G108" s="139"/>
      <c r="H108" s="199"/>
      <c r="I108" s="132"/>
      <c r="J108" s="73"/>
      <c r="N108" s="133">
        <v>4.54</v>
      </c>
      <c r="O108" s="37"/>
      <c r="P108" s="577">
        <f t="shared" si="14"/>
        <v>0</v>
      </c>
      <c r="Q108" s="198"/>
      <c r="R108" s="150">
        <f t="shared" si="13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452</v>
      </c>
      <c r="D109" s="6">
        <f>SUM(D9:D108)</f>
        <v>2052.08</v>
      </c>
      <c r="E109" s="13"/>
      <c r="F109" s="6">
        <f>SUM(F9:F108)</f>
        <v>2052.08</v>
      </c>
      <c r="G109" s="31"/>
      <c r="H109" s="17"/>
      <c r="I109" s="132"/>
      <c r="J109" s="73"/>
      <c r="O109" s="15">
        <f>SUM(O9:O108)</f>
        <v>573</v>
      </c>
      <c r="P109" s="6">
        <f>SUM(P9:P108)</f>
        <v>2601.42</v>
      </c>
      <c r="Q109" s="13"/>
      <c r="R109" s="6">
        <f>SUM(R9:R108)</f>
        <v>2601.42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19</v>
      </c>
      <c r="Q111" s="40"/>
      <c r="R111" s="6"/>
      <c r="S111" s="31"/>
      <c r="T111" s="17"/>
      <c r="U111" s="132"/>
      <c r="V111" s="73"/>
    </row>
    <row r="112" spans="2:23" x14ac:dyDescent="0.25">
      <c r="C112" s="1094" t="s">
        <v>19</v>
      </c>
      <c r="D112" s="1095"/>
      <c r="E112" s="39">
        <f>E4+E5-F109+E6+E7</f>
        <v>7.2830630415410269E-14</v>
      </c>
      <c r="F112" s="6"/>
      <c r="G112" s="6"/>
      <c r="H112" s="17"/>
      <c r="I112" s="132"/>
      <c r="J112" s="73"/>
      <c r="O112" s="1094" t="s">
        <v>19</v>
      </c>
      <c r="P112" s="1095"/>
      <c r="Q112" s="39">
        <f>Q4+Q5-R109+Q6+Q7</f>
        <v>86.259999999999764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I1"/>
    <mergeCell ref="B5:B6"/>
    <mergeCell ref="C112:D112"/>
    <mergeCell ref="M1:U1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topLeftCell="A19" workbookViewId="0">
      <selection activeCell="E52" sqref="E5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054" t="s">
        <v>288</v>
      </c>
      <c r="B1" s="1054"/>
      <c r="C1" s="1054"/>
      <c r="D1" s="1054"/>
      <c r="E1" s="1054"/>
      <c r="F1" s="1054"/>
      <c r="G1" s="1054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052" t="s">
        <v>52</v>
      </c>
      <c r="B5" s="1096" t="s">
        <v>103</v>
      </c>
      <c r="C5" s="200">
        <v>76</v>
      </c>
      <c r="D5" s="149">
        <v>44748</v>
      </c>
      <c r="E5" s="132">
        <v>5048.68</v>
      </c>
      <c r="F5" s="73">
        <v>188</v>
      </c>
      <c r="G5" s="899">
        <f>F31</f>
        <v>3709.0000000000005</v>
      </c>
      <c r="H5" s="138">
        <f>E4+E5-G5+E6+E7</f>
        <v>1339.6799999999998</v>
      </c>
    </row>
    <row r="6" spans="1:9" ht="15.75" thickBot="1" x14ac:dyDescent="0.3">
      <c r="A6" s="1052"/>
      <c r="B6" s="1096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1097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98"/>
    </row>
    <row r="9" spans="1:9" ht="15.75" thickTop="1" x14ac:dyDescent="0.25">
      <c r="A9" s="73"/>
      <c r="B9" s="590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151</v>
      </c>
      <c r="H9" s="71">
        <v>78</v>
      </c>
      <c r="I9" s="105">
        <f>E4+E5+E6+E7-F9</f>
        <v>3683.8200000000006</v>
      </c>
    </row>
    <row r="10" spans="1:9" x14ac:dyDescent="0.25">
      <c r="B10" s="590">
        <f>B9-C10</f>
        <v>126</v>
      </c>
      <c r="C10" s="15">
        <v>12</v>
      </c>
      <c r="D10" s="703">
        <v>319.64</v>
      </c>
      <c r="E10" s="702">
        <v>44799</v>
      </c>
      <c r="F10" s="694">
        <f t="shared" ref="F10:F29" si="0">D10</f>
        <v>319.64</v>
      </c>
      <c r="G10" s="696" t="s">
        <v>268</v>
      </c>
      <c r="H10" s="388">
        <v>78</v>
      </c>
      <c r="I10" s="105">
        <f>I9-F10</f>
        <v>3364.1800000000007</v>
      </c>
    </row>
    <row r="11" spans="1:9" x14ac:dyDescent="0.25">
      <c r="A11" s="55" t="s">
        <v>32</v>
      </c>
      <c r="B11" s="590">
        <f t="shared" ref="B11:B30" si="1">B10-C11</f>
        <v>114</v>
      </c>
      <c r="C11" s="15">
        <v>12</v>
      </c>
      <c r="D11" s="785">
        <v>324.83</v>
      </c>
      <c r="E11" s="786">
        <v>44802</v>
      </c>
      <c r="F11" s="782">
        <f t="shared" si="0"/>
        <v>324.83</v>
      </c>
      <c r="G11" s="784" t="s">
        <v>509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90">
        <f t="shared" si="1"/>
        <v>74</v>
      </c>
      <c r="C12" s="15">
        <v>40</v>
      </c>
      <c r="D12" s="785">
        <v>1080.26</v>
      </c>
      <c r="E12" s="786">
        <v>44807</v>
      </c>
      <c r="F12" s="782">
        <f t="shared" si="0"/>
        <v>1080.26</v>
      </c>
      <c r="G12" s="900" t="s">
        <v>562</v>
      </c>
      <c r="H12" s="901">
        <v>61</v>
      </c>
      <c r="I12" s="105">
        <f t="shared" si="2"/>
        <v>1959.0900000000008</v>
      </c>
    </row>
    <row r="13" spans="1:9" x14ac:dyDescent="0.25">
      <c r="B13" s="590">
        <f t="shared" si="1"/>
        <v>59</v>
      </c>
      <c r="C13" s="15">
        <v>15</v>
      </c>
      <c r="D13" s="785">
        <v>423.84</v>
      </c>
      <c r="E13" s="786">
        <v>44823</v>
      </c>
      <c r="F13" s="782">
        <f t="shared" si="0"/>
        <v>423.84</v>
      </c>
      <c r="G13" s="784" t="s">
        <v>662</v>
      </c>
      <c r="H13" s="206">
        <v>78</v>
      </c>
      <c r="I13" s="105">
        <f t="shared" si="2"/>
        <v>1535.2500000000009</v>
      </c>
    </row>
    <row r="14" spans="1:9" x14ac:dyDescent="0.25">
      <c r="A14" s="55" t="s">
        <v>33</v>
      </c>
      <c r="B14" s="590">
        <f t="shared" si="1"/>
        <v>52</v>
      </c>
      <c r="C14" s="15">
        <v>7</v>
      </c>
      <c r="D14" s="785">
        <v>195.57</v>
      </c>
      <c r="E14" s="786">
        <v>44833</v>
      </c>
      <c r="F14" s="782">
        <f t="shared" si="0"/>
        <v>195.57</v>
      </c>
      <c r="G14" s="784" t="s">
        <v>736</v>
      </c>
      <c r="H14" s="206">
        <v>78</v>
      </c>
      <c r="I14" s="105">
        <f t="shared" si="2"/>
        <v>1339.680000000001</v>
      </c>
    </row>
    <row r="15" spans="1:9" x14ac:dyDescent="0.25">
      <c r="B15" s="590">
        <f t="shared" si="1"/>
        <v>52</v>
      </c>
      <c r="C15" s="15"/>
      <c r="D15" s="785"/>
      <c r="E15" s="786"/>
      <c r="F15" s="782">
        <f t="shared" si="0"/>
        <v>0</v>
      </c>
      <c r="G15" s="784"/>
      <c r="H15" s="206"/>
      <c r="I15" s="105">
        <f t="shared" si="2"/>
        <v>1339.680000000001</v>
      </c>
    </row>
    <row r="16" spans="1:9" x14ac:dyDescent="0.25">
      <c r="B16" s="590">
        <f t="shared" si="1"/>
        <v>52</v>
      </c>
      <c r="C16" s="15"/>
      <c r="D16" s="785"/>
      <c r="E16" s="786"/>
      <c r="F16" s="782">
        <f t="shared" si="0"/>
        <v>0</v>
      </c>
      <c r="G16" s="784"/>
      <c r="H16" s="206"/>
      <c r="I16" s="105">
        <f t="shared" si="2"/>
        <v>1339.680000000001</v>
      </c>
    </row>
    <row r="17" spans="2:9" x14ac:dyDescent="0.25">
      <c r="B17" s="590">
        <f t="shared" si="1"/>
        <v>52</v>
      </c>
      <c r="C17" s="15"/>
      <c r="D17" s="785"/>
      <c r="E17" s="786"/>
      <c r="F17" s="782">
        <f t="shared" si="0"/>
        <v>0</v>
      </c>
      <c r="G17" s="784"/>
      <c r="H17" s="206"/>
      <c r="I17" s="105">
        <f t="shared" si="2"/>
        <v>1339.680000000001</v>
      </c>
    </row>
    <row r="18" spans="2:9" x14ac:dyDescent="0.25">
      <c r="B18" s="590">
        <f t="shared" si="1"/>
        <v>52</v>
      </c>
      <c r="C18" s="15"/>
      <c r="D18" s="92"/>
      <c r="E18" s="196"/>
      <c r="F18" s="69">
        <f t="shared" si="0"/>
        <v>0</v>
      </c>
      <c r="G18" s="70"/>
      <c r="H18" s="71"/>
      <c r="I18" s="105">
        <f t="shared" si="2"/>
        <v>1339.680000000001</v>
      </c>
    </row>
    <row r="19" spans="2:9" x14ac:dyDescent="0.25">
      <c r="B19" s="590">
        <f t="shared" si="1"/>
        <v>52</v>
      </c>
      <c r="C19" s="15"/>
      <c r="D19" s="92"/>
      <c r="E19" s="196"/>
      <c r="F19" s="69">
        <f t="shared" si="0"/>
        <v>0</v>
      </c>
      <c r="G19" s="70"/>
      <c r="H19" s="71"/>
      <c r="I19" s="105">
        <f t="shared" si="2"/>
        <v>1339.680000000001</v>
      </c>
    </row>
    <row r="20" spans="2:9" x14ac:dyDescent="0.25">
      <c r="B20" s="590">
        <f t="shared" si="1"/>
        <v>52</v>
      </c>
      <c r="C20" s="15"/>
      <c r="D20" s="92"/>
      <c r="E20" s="196"/>
      <c r="F20" s="69">
        <f t="shared" si="0"/>
        <v>0</v>
      </c>
      <c r="G20" s="70"/>
      <c r="H20" s="71"/>
      <c r="I20" s="105">
        <f t="shared" si="2"/>
        <v>1339.680000000001</v>
      </c>
    </row>
    <row r="21" spans="2:9" x14ac:dyDescent="0.25">
      <c r="B21" s="590">
        <f t="shared" si="1"/>
        <v>52</v>
      </c>
      <c r="C21" s="15"/>
      <c r="D21" s="92"/>
      <c r="E21" s="196"/>
      <c r="F21" s="69">
        <f t="shared" si="0"/>
        <v>0</v>
      </c>
      <c r="G21" s="70"/>
      <c r="H21" s="71"/>
      <c r="I21" s="105">
        <f t="shared" si="2"/>
        <v>1339.680000000001</v>
      </c>
    </row>
    <row r="22" spans="2:9" x14ac:dyDescent="0.25">
      <c r="B22" s="590">
        <f t="shared" si="1"/>
        <v>52</v>
      </c>
      <c r="C22" s="15"/>
      <c r="D22" s="92"/>
      <c r="E22" s="196"/>
      <c r="F22" s="69">
        <f t="shared" si="0"/>
        <v>0</v>
      </c>
      <c r="G22" s="70"/>
      <c r="H22" s="71"/>
      <c r="I22" s="105">
        <f t="shared" si="2"/>
        <v>1339.680000000001</v>
      </c>
    </row>
    <row r="23" spans="2:9" x14ac:dyDescent="0.25">
      <c r="B23" s="590">
        <f t="shared" si="1"/>
        <v>52</v>
      </c>
      <c r="C23" s="15"/>
      <c r="D23" s="92"/>
      <c r="E23" s="196"/>
      <c r="F23" s="69">
        <f t="shared" si="0"/>
        <v>0</v>
      </c>
      <c r="G23" s="70"/>
      <c r="H23" s="71"/>
      <c r="I23" s="105">
        <f t="shared" si="2"/>
        <v>1339.680000000001</v>
      </c>
    </row>
    <row r="24" spans="2:9" x14ac:dyDescent="0.25">
      <c r="B24" s="590">
        <f t="shared" si="1"/>
        <v>52</v>
      </c>
      <c r="C24" s="15"/>
      <c r="D24" s="92"/>
      <c r="E24" s="196"/>
      <c r="F24" s="69">
        <f t="shared" si="0"/>
        <v>0</v>
      </c>
      <c r="G24" s="70"/>
      <c r="H24" s="71"/>
      <c r="I24" s="105">
        <f t="shared" si="2"/>
        <v>1339.680000000001</v>
      </c>
    </row>
    <row r="25" spans="2:9" x14ac:dyDescent="0.25">
      <c r="B25" s="590">
        <f t="shared" si="1"/>
        <v>52</v>
      </c>
      <c r="C25" s="15"/>
      <c r="D25" s="92"/>
      <c r="E25" s="196"/>
      <c r="F25" s="69">
        <f t="shared" si="0"/>
        <v>0</v>
      </c>
      <c r="G25" s="70"/>
      <c r="H25" s="71"/>
      <c r="I25" s="105">
        <f t="shared" si="2"/>
        <v>1339.680000000001</v>
      </c>
    </row>
    <row r="26" spans="2:9" x14ac:dyDescent="0.25">
      <c r="B26" s="590">
        <f t="shared" si="1"/>
        <v>52</v>
      </c>
      <c r="C26" s="15"/>
      <c r="D26" s="92"/>
      <c r="E26" s="196"/>
      <c r="F26" s="69">
        <f t="shared" si="0"/>
        <v>0</v>
      </c>
      <c r="G26" s="70"/>
      <c r="H26" s="71"/>
      <c r="I26" s="105">
        <f t="shared" si="2"/>
        <v>1339.680000000001</v>
      </c>
    </row>
    <row r="27" spans="2:9" x14ac:dyDescent="0.25">
      <c r="B27" s="590">
        <f t="shared" si="1"/>
        <v>52</v>
      </c>
      <c r="C27" s="15"/>
      <c r="D27" s="92"/>
      <c r="E27" s="196"/>
      <c r="F27" s="69">
        <f t="shared" si="0"/>
        <v>0</v>
      </c>
      <c r="G27" s="70"/>
      <c r="H27" s="71"/>
      <c r="I27" s="105">
        <f t="shared" si="2"/>
        <v>1339.680000000001</v>
      </c>
    </row>
    <row r="28" spans="2:9" x14ac:dyDescent="0.25">
      <c r="B28" s="590">
        <f t="shared" si="1"/>
        <v>52</v>
      </c>
      <c r="C28" s="15"/>
      <c r="D28" s="69"/>
      <c r="E28" s="196"/>
      <c r="F28" s="69">
        <f t="shared" si="0"/>
        <v>0</v>
      </c>
      <c r="G28" s="70"/>
      <c r="H28" s="71"/>
      <c r="I28" s="105">
        <f t="shared" si="2"/>
        <v>1339.680000000001</v>
      </c>
    </row>
    <row r="29" spans="2:9" x14ac:dyDescent="0.25">
      <c r="B29" s="590">
        <f t="shared" si="1"/>
        <v>52</v>
      </c>
      <c r="C29" s="15"/>
      <c r="D29" s="69"/>
      <c r="E29" s="196"/>
      <c r="F29" s="69">
        <f t="shared" si="0"/>
        <v>0</v>
      </c>
      <c r="G29" s="70"/>
      <c r="H29" s="71"/>
      <c r="I29" s="105">
        <f t="shared" si="2"/>
        <v>1339.680000000001</v>
      </c>
    </row>
    <row r="30" spans="2:9" ht="15.75" thickBot="1" x14ac:dyDescent="0.3">
      <c r="B30" s="590">
        <f t="shared" si="1"/>
        <v>52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1339.680000000001</v>
      </c>
    </row>
    <row r="31" spans="2:9" ht="15.75" thickTop="1" x14ac:dyDescent="0.25">
      <c r="C31" s="15">
        <f>SUM(C9:C30)</f>
        <v>136</v>
      </c>
      <c r="D31" s="6">
        <f>SUM(D9:D30)</f>
        <v>3709.0000000000005</v>
      </c>
      <c r="E31" s="13"/>
      <c r="F31" s="6">
        <f>SUM(F9:F30)</f>
        <v>3709.0000000000005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094" t="s">
        <v>19</v>
      </c>
      <c r="D34" s="1095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D1" workbookViewId="0">
      <selection activeCell="AQ17" sqref="AQ1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54" t="s">
        <v>289</v>
      </c>
      <c r="B1" s="1054"/>
      <c r="C1" s="1054"/>
      <c r="D1" s="1054"/>
      <c r="E1" s="1054"/>
      <c r="F1" s="1054"/>
      <c r="G1" s="1054"/>
      <c r="H1" s="11">
        <v>1</v>
      </c>
      <c r="K1" s="1054" t="str">
        <f>A1</f>
        <v>INVENTARIO    DEL MES DE   AGOSTO   2022</v>
      </c>
      <c r="L1" s="1054"/>
      <c r="M1" s="1054"/>
      <c r="N1" s="1054"/>
      <c r="O1" s="1054"/>
      <c r="P1" s="1054"/>
      <c r="Q1" s="1054"/>
      <c r="R1" s="11">
        <v>2</v>
      </c>
      <c r="U1" s="1058" t="s">
        <v>308</v>
      </c>
      <c r="V1" s="1058"/>
      <c r="W1" s="1058"/>
      <c r="X1" s="1058"/>
      <c r="Y1" s="1058"/>
      <c r="Z1" s="1058"/>
      <c r="AA1" s="1058"/>
      <c r="AB1" s="11">
        <v>3</v>
      </c>
      <c r="AE1" s="1058" t="str">
        <f>U1</f>
        <v>ENTRADA DEL MES DE  SEPTIEMBRE 2022</v>
      </c>
      <c r="AF1" s="1058"/>
      <c r="AG1" s="1058"/>
      <c r="AH1" s="1058"/>
      <c r="AI1" s="1058"/>
      <c r="AJ1" s="1058"/>
      <c r="AK1" s="1058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27"/>
      <c r="D4" s="134"/>
      <c r="E4" s="78"/>
      <c r="F4" s="62"/>
      <c r="G4" s="155"/>
      <c r="H4" s="155"/>
      <c r="K4" s="12"/>
      <c r="L4" s="12"/>
      <c r="M4" s="600"/>
      <c r="N4" s="134"/>
      <c r="O4" s="78"/>
      <c r="P4" s="62"/>
      <c r="Q4" s="155"/>
      <c r="R4" s="155"/>
      <c r="U4" s="12"/>
      <c r="V4" s="12"/>
      <c r="W4" s="427"/>
      <c r="X4" s="134"/>
      <c r="Y4" s="78"/>
      <c r="Z4" s="62"/>
      <c r="AA4" s="155"/>
      <c r="AB4" s="155"/>
      <c r="AE4" s="12"/>
      <c r="AF4" s="12"/>
      <c r="AG4" s="600"/>
      <c r="AH4" s="134"/>
      <c r="AI4" s="78">
        <v>20</v>
      </c>
      <c r="AJ4" s="62">
        <v>2</v>
      </c>
      <c r="AK4" s="155"/>
      <c r="AL4" s="155"/>
    </row>
    <row r="5" spans="1:39" ht="15" customHeight="1" x14ac:dyDescent="0.25">
      <c r="A5" s="575" t="s">
        <v>65</v>
      </c>
      <c r="B5" s="1099" t="s">
        <v>70</v>
      </c>
      <c r="C5" s="403">
        <v>85</v>
      </c>
      <c r="D5" s="134">
        <v>44769</v>
      </c>
      <c r="E5" s="209">
        <v>100</v>
      </c>
      <c r="F5" s="62">
        <v>10</v>
      </c>
      <c r="G5" s="5"/>
      <c r="K5" s="575" t="s">
        <v>65</v>
      </c>
      <c r="L5" s="1100" t="s">
        <v>69</v>
      </c>
      <c r="M5" s="403">
        <v>100</v>
      </c>
      <c r="N5" s="134">
        <v>44781</v>
      </c>
      <c r="O5" s="209">
        <v>150</v>
      </c>
      <c r="P5" s="62">
        <v>15</v>
      </c>
      <c r="Q5" s="5"/>
      <c r="U5" s="575" t="s">
        <v>65</v>
      </c>
      <c r="V5" s="1099" t="s">
        <v>70</v>
      </c>
      <c r="W5" s="403">
        <v>85</v>
      </c>
      <c r="X5" s="134">
        <v>44809</v>
      </c>
      <c r="Y5" s="209">
        <v>150</v>
      </c>
      <c r="Z5" s="62">
        <v>15</v>
      </c>
      <c r="AA5" s="5"/>
      <c r="AE5" s="575" t="s">
        <v>65</v>
      </c>
      <c r="AF5" s="1100" t="s">
        <v>69</v>
      </c>
      <c r="AG5" s="403">
        <v>100</v>
      </c>
      <c r="AH5" s="134">
        <v>44809</v>
      </c>
      <c r="AI5" s="209">
        <v>150</v>
      </c>
      <c r="AJ5" s="62">
        <v>15</v>
      </c>
      <c r="AK5" s="5"/>
    </row>
    <row r="6" spans="1:39" ht="22.5" customHeight="1" thickBot="1" x14ac:dyDescent="0.3">
      <c r="A6" s="227"/>
      <c r="B6" s="1099"/>
      <c r="C6" s="12"/>
      <c r="D6" s="12"/>
      <c r="E6" s="586">
        <v>90</v>
      </c>
      <c r="F6" s="144">
        <v>9</v>
      </c>
      <c r="G6" s="47">
        <f>F78</f>
        <v>170</v>
      </c>
      <c r="H6" s="7">
        <f>E6-G6+E7+E5-G5+E4</f>
        <v>20</v>
      </c>
      <c r="K6" s="227"/>
      <c r="L6" s="1101"/>
      <c r="M6" s="403"/>
      <c r="N6" s="134"/>
      <c r="O6" s="209"/>
      <c r="P6" s="62"/>
      <c r="Q6" s="47">
        <f>P78</f>
        <v>150</v>
      </c>
      <c r="R6" s="7">
        <f>O6-Q6+O7+O5-Q5+O4</f>
        <v>0</v>
      </c>
      <c r="U6" s="227"/>
      <c r="V6" s="1099"/>
      <c r="W6" s="12"/>
      <c r="X6" s="12"/>
      <c r="Y6" s="586"/>
      <c r="Z6" s="144"/>
      <c r="AA6" s="47">
        <f>Z78</f>
        <v>0</v>
      </c>
      <c r="AB6" s="7">
        <f>Y6-AA6+Y7+Y5-AA5+Y4</f>
        <v>150</v>
      </c>
      <c r="AE6" s="227"/>
      <c r="AF6" s="1101"/>
      <c r="AG6" s="403"/>
      <c r="AH6" s="134"/>
      <c r="AI6" s="209"/>
      <c r="AJ6" s="62"/>
      <c r="AK6" s="47">
        <f>AJ78</f>
        <v>100</v>
      </c>
      <c r="AL6" s="7">
        <f>AI6-AK6+AI7+AI5-AK5+AI4</f>
        <v>70</v>
      </c>
    </row>
    <row r="7" spans="1:39" ht="15.75" thickBot="1" x14ac:dyDescent="0.3">
      <c r="B7" s="19"/>
      <c r="C7" s="403"/>
      <c r="D7" s="134"/>
      <c r="E7" s="209"/>
      <c r="F7" s="62"/>
      <c r="L7" s="19"/>
      <c r="M7" s="232"/>
      <c r="N7" s="233"/>
      <c r="O7" s="78"/>
      <c r="P7" s="62"/>
      <c r="V7" s="19"/>
      <c r="W7" s="403"/>
      <c r="X7" s="134"/>
      <c r="Y7" s="209"/>
      <c r="Z7" s="62"/>
      <c r="AF7" s="19"/>
      <c r="AG7" s="232"/>
      <c r="AH7" s="233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170</v>
      </c>
      <c r="H9" s="71">
        <v>100</v>
      </c>
      <c r="I9" s="105">
        <f>E6-F9+E5+E7+E4</f>
        <v>180</v>
      </c>
      <c r="K9" s="80" t="s">
        <v>32</v>
      </c>
      <c r="L9" s="83">
        <f>P6-M9+P5+P7+P4</f>
        <v>14</v>
      </c>
      <c r="M9" s="73">
        <v>1</v>
      </c>
      <c r="N9" s="69">
        <v>10</v>
      </c>
      <c r="O9" s="203">
        <v>44796</v>
      </c>
      <c r="P9" s="69">
        <f>N9</f>
        <v>10</v>
      </c>
      <c r="Q9" s="70" t="s">
        <v>258</v>
      </c>
      <c r="R9" s="71">
        <v>115</v>
      </c>
      <c r="S9" s="105">
        <f>O6-P9+O5+O7+O4</f>
        <v>140</v>
      </c>
      <c r="U9" s="80" t="s">
        <v>32</v>
      </c>
      <c r="V9" s="83">
        <f>Z6-W9+Z5+Z7+Z4</f>
        <v>15</v>
      </c>
      <c r="W9" s="15"/>
      <c r="X9" s="69"/>
      <c r="Y9" s="203"/>
      <c r="Z9" s="69">
        <f>X9</f>
        <v>0</v>
      </c>
      <c r="AA9" s="70"/>
      <c r="AB9" s="71"/>
      <c r="AC9" s="105">
        <f>Y6-Z9+Y5+Y7+Y4</f>
        <v>150</v>
      </c>
      <c r="AE9" s="80" t="s">
        <v>32</v>
      </c>
      <c r="AF9" s="83">
        <f>AJ6-AG9+AJ5+AJ7+AJ4</f>
        <v>7</v>
      </c>
      <c r="AG9" s="73">
        <v>10</v>
      </c>
      <c r="AH9" s="69">
        <v>100</v>
      </c>
      <c r="AI9" s="203">
        <v>44834</v>
      </c>
      <c r="AJ9" s="69">
        <f>AH9</f>
        <v>100</v>
      </c>
      <c r="AK9" s="70" t="s">
        <v>738</v>
      </c>
      <c r="AL9" s="71">
        <v>115</v>
      </c>
      <c r="AM9" s="105">
        <f>AI6-AJ9+AI5+AI7+AI4</f>
        <v>70</v>
      </c>
    </row>
    <row r="10" spans="1:39" x14ac:dyDescent="0.25">
      <c r="A10" s="195"/>
      <c r="B10" s="83">
        <f t="shared" ref="B10:B73" si="0">B9-C10</f>
        <v>16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176</v>
      </c>
      <c r="H10" s="71">
        <v>100</v>
      </c>
      <c r="I10" s="105">
        <f>I9-F10</f>
        <v>160</v>
      </c>
      <c r="K10" s="195"/>
      <c r="L10" s="83">
        <f t="shared" ref="L10:L73" si="2">L9-M10</f>
        <v>13</v>
      </c>
      <c r="M10" s="15">
        <v>1</v>
      </c>
      <c r="N10" s="69">
        <v>10</v>
      </c>
      <c r="O10" s="203">
        <v>44798</v>
      </c>
      <c r="P10" s="69">
        <f>N10</f>
        <v>10</v>
      </c>
      <c r="Q10" s="70" t="s">
        <v>264</v>
      </c>
      <c r="R10" s="71">
        <v>115</v>
      </c>
      <c r="S10" s="105">
        <f>S9-P10</f>
        <v>130</v>
      </c>
      <c r="U10" s="195"/>
      <c r="V10" s="83">
        <f t="shared" ref="V10:V73" si="3">V9-W10</f>
        <v>15</v>
      </c>
      <c r="W10" s="73"/>
      <c r="X10" s="69"/>
      <c r="Y10" s="203"/>
      <c r="Z10" s="69">
        <f t="shared" ref="Z10:Z73" si="4">X10</f>
        <v>0</v>
      </c>
      <c r="AA10" s="70"/>
      <c r="AB10" s="71"/>
      <c r="AC10" s="105">
        <f>AC9-Z10</f>
        <v>150</v>
      </c>
      <c r="AE10" s="195"/>
      <c r="AF10" s="83">
        <f t="shared" ref="AF10:AF73" si="5">AF9-AG10</f>
        <v>7</v>
      </c>
      <c r="AG10" s="15"/>
      <c r="AH10" s="69"/>
      <c r="AI10" s="203"/>
      <c r="AJ10" s="69">
        <f>AH10</f>
        <v>0</v>
      </c>
      <c r="AK10" s="70"/>
      <c r="AL10" s="71"/>
      <c r="AM10" s="105">
        <f>AM9-AJ10</f>
        <v>70</v>
      </c>
    </row>
    <row r="11" spans="1:39" x14ac:dyDescent="0.25">
      <c r="A11" s="183"/>
      <c r="B11" s="83">
        <f t="shared" si="0"/>
        <v>15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602" t="s">
        <v>191</v>
      </c>
      <c r="H11" s="60">
        <v>100</v>
      </c>
      <c r="I11" s="105">
        <f t="shared" ref="I11:I74" si="6">I10-F11</f>
        <v>150</v>
      </c>
      <c r="K11" s="183"/>
      <c r="L11" s="83">
        <f t="shared" si="2"/>
        <v>12</v>
      </c>
      <c r="M11" s="15">
        <v>1</v>
      </c>
      <c r="N11" s="69">
        <v>10</v>
      </c>
      <c r="O11" s="203">
        <v>44799</v>
      </c>
      <c r="P11" s="69">
        <f>N11</f>
        <v>10</v>
      </c>
      <c r="Q11" s="70" t="s">
        <v>266</v>
      </c>
      <c r="R11" s="71">
        <v>115</v>
      </c>
      <c r="S11" s="105">
        <f t="shared" ref="S11:S74" si="7">S10-P11</f>
        <v>120</v>
      </c>
      <c r="U11" s="183"/>
      <c r="V11" s="83">
        <f t="shared" si="3"/>
        <v>15</v>
      </c>
      <c r="W11" s="62"/>
      <c r="X11" s="69"/>
      <c r="Y11" s="203"/>
      <c r="Z11" s="69">
        <f t="shared" si="4"/>
        <v>0</v>
      </c>
      <c r="AA11" s="70"/>
      <c r="AB11" s="71"/>
      <c r="AC11" s="105">
        <f t="shared" ref="AC11:AC74" si="8">AC10-Z11</f>
        <v>150</v>
      </c>
      <c r="AE11" s="183"/>
      <c r="AF11" s="83">
        <f t="shared" si="5"/>
        <v>7</v>
      </c>
      <c r="AG11" s="15"/>
      <c r="AH11" s="69"/>
      <c r="AI11" s="203"/>
      <c r="AJ11" s="69">
        <f>AH11</f>
        <v>0</v>
      </c>
      <c r="AK11" s="70"/>
      <c r="AL11" s="71"/>
      <c r="AM11" s="105">
        <f t="shared" ref="AM11:AM74" si="9">AM10-AJ11</f>
        <v>70</v>
      </c>
    </row>
    <row r="12" spans="1:39" x14ac:dyDescent="0.25">
      <c r="A12" s="183"/>
      <c r="B12" s="83">
        <f t="shared" si="0"/>
        <v>14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602" t="s">
        <v>204</v>
      </c>
      <c r="H12" s="60">
        <v>100</v>
      </c>
      <c r="I12" s="105">
        <f t="shared" si="6"/>
        <v>140</v>
      </c>
      <c r="K12" s="183"/>
      <c r="L12" s="83">
        <f t="shared" si="2"/>
        <v>11</v>
      </c>
      <c r="M12" s="15">
        <v>1</v>
      </c>
      <c r="N12" s="694">
        <v>10</v>
      </c>
      <c r="O12" s="695">
        <v>44802</v>
      </c>
      <c r="P12" s="694">
        <f>N12</f>
        <v>10</v>
      </c>
      <c r="Q12" s="696" t="s">
        <v>504</v>
      </c>
      <c r="R12" s="388">
        <v>115</v>
      </c>
      <c r="S12" s="105">
        <f t="shared" si="7"/>
        <v>110</v>
      </c>
      <c r="U12" s="183"/>
      <c r="V12" s="83">
        <f t="shared" si="3"/>
        <v>15</v>
      </c>
      <c r="W12" s="62"/>
      <c r="X12" s="69"/>
      <c r="Y12" s="203"/>
      <c r="Z12" s="69">
        <f t="shared" si="4"/>
        <v>0</v>
      </c>
      <c r="AA12" s="70"/>
      <c r="AB12" s="71"/>
      <c r="AC12" s="105">
        <f t="shared" si="8"/>
        <v>150</v>
      </c>
      <c r="AE12" s="183"/>
      <c r="AF12" s="83">
        <f t="shared" si="5"/>
        <v>7</v>
      </c>
      <c r="AG12" s="15"/>
      <c r="AH12" s="69"/>
      <c r="AI12" s="203"/>
      <c r="AJ12" s="69">
        <f>AH12</f>
        <v>0</v>
      </c>
      <c r="AK12" s="70"/>
      <c r="AL12" s="71"/>
      <c r="AM12" s="105">
        <f t="shared" si="9"/>
        <v>70</v>
      </c>
    </row>
    <row r="13" spans="1:39" x14ac:dyDescent="0.25">
      <c r="A13" s="82" t="s">
        <v>33</v>
      </c>
      <c r="B13" s="83">
        <f t="shared" si="0"/>
        <v>12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602" t="s">
        <v>213</v>
      </c>
      <c r="H13" s="60">
        <v>100</v>
      </c>
      <c r="I13" s="105">
        <f t="shared" si="6"/>
        <v>120</v>
      </c>
      <c r="K13" s="82" t="s">
        <v>33</v>
      </c>
      <c r="L13" s="83">
        <f t="shared" si="2"/>
        <v>10</v>
      </c>
      <c r="M13" s="15">
        <v>1</v>
      </c>
      <c r="N13" s="694">
        <v>10</v>
      </c>
      <c r="O13" s="695">
        <v>44806</v>
      </c>
      <c r="P13" s="694">
        <f>N13</f>
        <v>10</v>
      </c>
      <c r="Q13" s="696" t="s">
        <v>546</v>
      </c>
      <c r="R13" s="388">
        <v>115</v>
      </c>
      <c r="S13" s="105">
        <f t="shared" si="7"/>
        <v>100</v>
      </c>
      <c r="U13" s="82" t="s">
        <v>33</v>
      </c>
      <c r="V13" s="83">
        <f t="shared" si="3"/>
        <v>15</v>
      </c>
      <c r="W13" s="62"/>
      <c r="X13" s="69"/>
      <c r="Y13" s="203"/>
      <c r="Z13" s="69">
        <f t="shared" si="4"/>
        <v>0</v>
      </c>
      <c r="AA13" s="70"/>
      <c r="AB13" s="71"/>
      <c r="AC13" s="105">
        <f t="shared" si="8"/>
        <v>150</v>
      </c>
      <c r="AE13" s="82" t="s">
        <v>33</v>
      </c>
      <c r="AF13" s="83">
        <f t="shared" si="5"/>
        <v>7</v>
      </c>
      <c r="AG13" s="15"/>
      <c r="AH13" s="69"/>
      <c r="AI13" s="203"/>
      <c r="AJ13" s="69">
        <f>AH13</f>
        <v>0</v>
      </c>
      <c r="AK13" s="70"/>
      <c r="AL13" s="71"/>
      <c r="AM13" s="105">
        <f t="shared" si="9"/>
        <v>70</v>
      </c>
    </row>
    <row r="14" spans="1:39" x14ac:dyDescent="0.25">
      <c r="A14" s="73"/>
      <c r="B14" s="83">
        <f t="shared" si="0"/>
        <v>11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602" t="s">
        <v>245</v>
      </c>
      <c r="H14" s="60">
        <v>100</v>
      </c>
      <c r="I14" s="105">
        <f t="shared" si="6"/>
        <v>110</v>
      </c>
      <c r="K14" s="73"/>
      <c r="L14" s="83">
        <f t="shared" si="2"/>
        <v>9</v>
      </c>
      <c r="M14" s="15">
        <v>1</v>
      </c>
      <c r="N14" s="694">
        <v>10</v>
      </c>
      <c r="O14" s="695">
        <v>44809</v>
      </c>
      <c r="P14" s="694">
        <f t="shared" ref="P14:P76" si="10">N14</f>
        <v>10</v>
      </c>
      <c r="Q14" s="696" t="s">
        <v>559</v>
      </c>
      <c r="R14" s="388">
        <v>115</v>
      </c>
      <c r="S14" s="105">
        <f t="shared" si="7"/>
        <v>90</v>
      </c>
      <c r="U14" s="73"/>
      <c r="V14" s="83">
        <f t="shared" si="3"/>
        <v>15</v>
      </c>
      <c r="W14" s="62"/>
      <c r="X14" s="69"/>
      <c r="Y14" s="203"/>
      <c r="Z14" s="69">
        <f t="shared" si="4"/>
        <v>0</v>
      </c>
      <c r="AA14" s="70"/>
      <c r="AB14" s="71"/>
      <c r="AC14" s="105">
        <f t="shared" si="8"/>
        <v>150</v>
      </c>
      <c r="AE14" s="73"/>
      <c r="AF14" s="83">
        <f t="shared" si="5"/>
        <v>7</v>
      </c>
      <c r="AG14" s="15"/>
      <c r="AH14" s="69"/>
      <c r="AI14" s="203"/>
      <c r="AJ14" s="69">
        <f t="shared" ref="AJ14:AJ76" si="11">AH14</f>
        <v>0</v>
      </c>
      <c r="AK14" s="70"/>
      <c r="AL14" s="71"/>
      <c r="AM14" s="105">
        <f t="shared" si="9"/>
        <v>70</v>
      </c>
    </row>
    <row r="15" spans="1:39" x14ac:dyDescent="0.25">
      <c r="A15" s="73"/>
      <c r="B15" s="83">
        <f t="shared" si="0"/>
        <v>10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602" t="s">
        <v>266</v>
      </c>
      <c r="H15" s="60">
        <v>100</v>
      </c>
      <c r="I15" s="105">
        <f t="shared" si="6"/>
        <v>100</v>
      </c>
      <c r="K15" s="73" t="s">
        <v>22</v>
      </c>
      <c r="L15" s="83">
        <f t="shared" si="2"/>
        <v>8</v>
      </c>
      <c r="M15" s="15">
        <v>1</v>
      </c>
      <c r="N15" s="694">
        <v>10</v>
      </c>
      <c r="O15" s="695">
        <v>44811</v>
      </c>
      <c r="P15" s="694">
        <f t="shared" si="10"/>
        <v>10</v>
      </c>
      <c r="Q15" s="696" t="s">
        <v>576</v>
      </c>
      <c r="R15" s="388">
        <v>115</v>
      </c>
      <c r="S15" s="105">
        <f t="shared" si="7"/>
        <v>80</v>
      </c>
      <c r="U15" s="73"/>
      <c r="V15" s="83">
        <f t="shared" si="3"/>
        <v>15</v>
      </c>
      <c r="W15" s="62"/>
      <c r="X15" s="69"/>
      <c r="Y15" s="203"/>
      <c r="Z15" s="69">
        <f t="shared" si="4"/>
        <v>0</v>
      </c>
      <c r="AA15" s="70"/>
      <c r="AB15" s="71"/>
      <c r="AC15" s="105">
        <f t="shared" si="8"/>
        <v>150</v>
      </c>
      <c r="AE15" s="73" t="s">
        <v>22</v>
      </c>
      <c r="AF15" s="83">
        <f t="shared" si="5"/>
        <v>7</v>
      </c>
      <c r="AG15" s="15"/>
      <c r="AH15" s="69"/>
      <c r="AI15" s="203"/>
      <c r="AJ15" s="69">
        <f t="shared" si="11"/>
        <v>0</v>
      </c>
      <c r="AK15" s="70"/>
      <c r="AL15" s="71"/>
      <c r="AM15" s="105">
        <f t="shared" si="9"/>
        <v>70</v>
      </c>
    </row>
    <row r="16" spans="1:39" x14ac:dyDescent="0.25">
      <c r="B16" s="83">
        <f t="shared" si="0"/>
        <v>9</v>
      </c>
      <c r="C16" s="73">
        <v>1</v>
      </c>
      <c r="D16" s="694">
        <v>10</v>
      </c>
      <c r="E16" s="695">
        <v>44803</v>
      </c>
      <c r="F16" s="694">
        <f t="shared" si="1"/>
        <v>10</v>
      </c>
      <c r="G16" s="696" t="s">
        <v>512</v>
      </c>
      <c r="H16" s="388">
        <v>100</v>
      </c>
      <c r="I16" s="105">
        <f t="shared" si="6"/>
        <v>90</v>
      </c>
      <c r="L16" s="83">
        <f t="shared" si="2"/>
        <v>7</v>
      </c>
      <c r="M16" s="15">
        <v>1</v>
      </c>
      <c r="N16" s="694">
        <v>10</v>
      </c>
      <c r="O16" s="695">
        <v>44814</v>
      </c>
      <c r="P16" s="694">
        <f t="shared" si="10"/>
        <v>10</v>
      </c>
      <c r="Q16" s="696" t="s">
        <v>597</v>
      </c>
      <c r="R16" s="388">
        <v>115</v>
      </c>
      <c r="S16" s="105">
        <f t="shared" si="7"/>
        <v>70</v>
      </c>
      <c r="V16" s="83">
        <f t="shared" si="3"/>
        <v>15</v>
      </c>
      <c r="W16" s="73"/>
      <c r="X16" s="69"/>
      <c r="Y16" s="203"/>
      <c r="Z16" s="69">
        <f t="shared" si="4"/>
        <v>0</v>
      </c>
      <c r="AA16" s="70"/>
      <c r="AB16" s="71"/>
      <c r="AC16" s="105">
        <f t="shared" si="8"/>
        <v>150</v>
      </c>
      <c r="AF16" s="83">
        <f t="shared" si="5"/>
        <v>7</v>
      </c>
      <c r="AG16" s="15"/>
      <c r="AH16" s="69"/>
      <c r="AI16" s="203"/>
      <c r="AJ16" s="69">
        <f t="shared" si="11"/>
        <v>0</v>
      </c>
      <c r="AK16" s="70"/>
      <c r="AL16" s="71"/>
      <c r="AM16" s="105">
        <f t="shared" si="9"/>
        <v>70</v>
      </c>
    </row>
    <row r="17" spans="1:39" x14ac:dyDescent="0.25">
      <c r="B17" s="83">
        <f t="shared" si="0"/>
        <v>8</v>
      </c>
      <c r="C17" s="73">
        <v>1</v>
      </c>
      <c r="D17" s="694">
        <v>10</v>
      </c>
      <c r="E17" s="695">
        <v>44806</v>
      </c>
      <c r="F17" s="694">
        <f t="shared" si="1"/>
        <v>10</v>
      </c>
      <c r="G17" s="696" t="s">
        <v>546</v>
      </c>
      <c r="H17" s="388">
        <v>100</v>
      </c>
      <c r="I17" s="105">
        <f t="shared" si="6"/>
        <v>80</v>
      </c>
      <c r="L17" s="83">
        <f t="shared" si="2"/>
        <v>6</v>
      </c>
      <c r="M17" s="15">
        <v>1</v>
      </c>
      <c r="N17" s="694">
        <v>10</v>
      </c>
      <c r="O17" s="695">
        <v>44820</v>
      </c>
      <c r="P17" s="694">
        <f t="shared" si="10"/>
        <v>10</v>
      </c>
      <c r="Q17" s="696" t="s">
        <v>652</v>
      </c>
      <c r="R17" s="388">
        <v>115</v>
      </c>
      <c r="S17" s="105">
        <f t="shared" si="7"/>
        <v>60</v>
      </c>
      <c r="V17" s="83">
        <f t="shared" si="3"/>
        <v>15</v>
      </c>
      <c r="W17" s="73"/>
      <c r="X17" s="69"/>
      <c r="Y17" s="203"/>
      <c r="Z17" s="69">
        <f t="shared" si="4"/>
        <v>0</v>
      </c>
      <c r="AA17" s="70"/>
      <c r="AB17" s="71"/>
      <c r="AC17" s="105">
        <f t="shared" si="8"/>
        <v>150</v>
      </c>
      <c r="AF17" s="83">
        <f t="shared" si="5"/>
        <v>7</v>
      </c>
      <c r="AG17" s="15"/>
      <c r="AH17" s="69"/>
      <c r="AI17" s="203"/>
      <c r="AJ17" s="69">
        <f t="shared" si="11"/>
        <v>0</v>
      </c>
      <c r="AK17" s="70"/>
      <c r="AL17" s="71"/>
      <c r="AM17" s="105">
        <f t="shared" si="9"/>
        <v>70</v>
      </c>
    </row>
    <row r="18" spans="1:39" x14ac:dyDescent="0.25">
      <c r="A18" s="122"/>
      <c r="B18" s="83">
        <f t="shared" si="0"/>
        <v>7</v>
      </c>
      <c r="C18" s="73">
        <v>1</v>
      </c>
      <c r="D18" s="694">
        <v>10</v>
      </c>
      <c r="E18" s="695">
        <v>44811</v>
      </c>
      <c r="F18" s="694">
        <f t="shared" si="1"/>
        <v>10</v>
      </c>
      <c r="G18" s="696" t="s">
        <v>576</v>
      </c>
      <c r="H18" s="388">
        <v>100</v>
      </c>
      <c r="I18" s="105">
        <f t="shared" si="6"/>
        <v>70</v>
      </c>
      <c r="K18" s="122"/>
      <c r="L18" s="83">
        <f t="shared" si="2"/>
        <v>5</v>
      </c>
      <c r="M18" s="15">
        <v>1</v>
      </c>
      <c r="N18" s="694">
        <v>10</v>
      </c>
      <c r="O18" s="695">
        <v>44823</v>
      </c>
      <c r="P18" s="694">
        <f t="shared" si="10"/>
        <v>10</v>
      </c>
      <c r="Q18" s="696" t="s">
        <v>662</v>
      </c>
      <c r="R18" s="388">
        <v>115</v>
      </c>
      <c r="S18" s="105">
        <f t="shared" si="7"/>
        <v>50</v>
      </c>
      <c r="U18" s="122"/>
      <c r="V18" s="83">
        <f t="shared" si="3"/>
        <v>15</v>
      </c>
      <c r="W18" s="73"/>
      <c r="X18" s="69"/>
      <c r="Y18" s="203"/>
      <c r="Z18" s="69">
        <f t="shared" si="4"/>
        <v>0</v>
      </c>
      <c r="AA18" s="70"/>
      <c r="AB18" s="71"/>
      <c r="AC18" s="105">
        <f t="shared" si="8"/>
        <v>150</v>
      </c>
      <c r="AE18" s="122"/>
      <c r="AF18" s="83">
        <f t="shared" si="5"/>
        <v>7</v>
      </c>
      <c r="AG18" s="15"/>
      <c r="AH18" s="69"/>
      <c r="AI18" s="203"/>
      <c r="AJ18" s="69">
        <f t="shared" si="11"/>
        <v>0</v>
      </c>
      <c r="AK18" s="70"/>
      <c r="AL18" s="71"/>
      <c r="AM18" s="105">
        <f t="shared" si="9"/>
        <v>70</v>
      </c>
    </row>
    <row r="19" spans="1:39" x14ac:dyDescent="0.25">
      <c r="A19" s="122"/>
      <c r="B19" s="83">
        <f t="shared" si="0"/>
        <v>6</v>
      </c>
      <c r="C19" s="15">
        <v>1</v>
      </c>
      <c r="D19" s="694">
        <v>10</v>
      </c>
      <c r="E19" s="695">
        <v>44814</v>
      </c>
      <c r="F19" s="694">
        <f t="shared" si="1"/>
        <v>10</v>
      </c>
      <c r="G19" s="696" t="s">
        <v>597</v>
      </c>
      <c r="H19" s="388">
        <v>100</v>
      </c>
      <c r="I19" s="105">
        <f t="shared" si="6"/>
        <v>60</v>
      </c>
      <c r="K19" s="122"/>
      <c r="L19" s="83">
        <f t="shared" si="2"/>
        <v>4</v>
      </c>
      <c r="M19" s="15">
        <v>1</v>
      </c>
      <c r="N19" s="694">
        <v>10</v>
      </c>
      <c r="O19" s="695">
        <v>44824</v>
      </c>
      <c r="P19" s="694">
        <f t="shared" si="10"/>
        <v>10</v>
      </c>
      <c r="Q19" s="696" t="s">
        <v>693</v>
      </c>
      <c r="R19" s="388">
        <v>115</v>
      </c>
      <c r="S19" s="105">
        <f t="shared" si="7"/>
        <v>40</v>
      </c>
      <c r="U19" s="122"/>
      <c r="V19" s="83">
        <f t="shared" si="3"/>
        <v>15</v>
      </c>
      <c r="W19" s="15"/>
      <c r="X19" s="69"/>
      <c r="Y19" s="203"/>
      <c r="Z19" s="69">
        <f t="shared" si="4"/>
        <v>0</v>
      </c>
      <c r="AA19" s="70"/>
      <c r="AB19" s="71"/>
      <c r="AC19" s="105">
        <f t="shared" si="8"/>
        <v>150</v>
      </c>
      <c r="AE19" s="122"/>
      <c r="AF19" s="83">
        <f t="shared" si="5"/>
        <v>7</v>
      </c>
      <c r="AG19" s="15"/>
      <c r="AH19" s="69"/>
      <c r="AI19" s="203"/>
      <c r="AJ19" s="69">
        <f t="shared" si="11"/>
        <v>0</v>
      </c>
      <c r="AK19" s="70"/>
      <c r="AL19" s="71"/>
      <c r="AM19" s="105">
        <f t="shared" si="9"/>
        <v>70</v>
      </c>
    </row>
    <row r="20" spans="1:39" x14ac:dyDescent="0.25">
      <c r="A20" s="122"/>
      <c r="B20" s="83">
        <f t="shared" si="0"/>
        <v>5</v>
      </c>
      <c r="C20" s="15">
        <v>1</v>
      </c>
      <c r="D20" s="694">
        <v>10</v>
      </c>
      <c r="E20" s="695">
        <v>44823</v>
      </c>
      <c r="F20" s="694">
        <f t="shared" si="1"/>
        <v>10</v>
      </c>
      <c r="G20" s="696" t="s">
        <v>662</v>
      </c>
      <c r="H20" s="388">
        <v>100</v>
      </c>
      <c r="I20" s="105">
        <f t="shared" si="6"/>
        <v>50</v>
      </c>
      <c r="K20" s="122"/>
      <c r="L20" s="83">
        <f t="shared" si="2"/>
        <v>3</v>
      </c>
      <c r="M20" s="15">
        <v>1</v>
      </c>
      <c r="N20" s="694">
        <v>10</v>
      </c>
      <c r="O20" s="695">
        <v>44825</v>
      </c>
      <c r="P20" s="694">
        <f t="shared" si="10"/>
        <v>10</v>
      </c>
      <c r="Q20" s="696" t="s">
        <v>695</v>
      </c>
      <c r="R20" s="388">
        <v>115</v>
      </c>
      <c r="S20" s="105">
        <f t="shared" si="7"/>
        <v>30</v>
      </c>
      <c r="U20" s="122"/>
      <c r="V20" s="83">
        <f t="shared" si="3"/>
        <v>15</v>
      </c>
      <c r="W20" s="15"/>
      <c r="X20" s="69"/>
      <c r="Y20" s="203"/>
      <c r="Z20" s="69">
        <f t="shared" si="4"/>
        <v>0</v>
      </c>
      <c r="AA20" s="70"/>
      <c r="AB20" s="71"/>
      <c r="AC20" s="105">
        <f t="shared" si="8"/>
        <v>150</v>
      </c>
      <c r="AE20" s="122"/>
      <c r="AF20" s="83">
        <f t="shared" si="5"/>
        <v>7</v>
      </c>
      <c r="AG20" s="15"/>
      <c r="AH20" s="69"/>
      <c r="AI20" s="203"/>
      <c r="AJ20" s="69">
        <f t="shared" si="11"/>
        <v>0</v>
      </c>
      <c r="AK20" s="70"/>
      <c r="AL20" s="71"/>
      <c r="AM20" s="105">
        <f t="shared" si="9"/>
        <v>70</v>
      </c>
    </row>
    <row r="21" spans="1:39" x14ac:dyDescent="0.25">
      <c r="A21" s="122"/>
      <c r="B21" s="83">
        <f t="shared" si="0"/>
        <v>4</v>
      </c>
      <c r="C21" s="15">
        <v>1</v>
      </c>
      <c r="D21" s="694">
        <v>10</v>
      </c>
      <c r="E21" s="695">
        <v>44824</v>
      </c>
      <c r="F21" s="694">
        <f t="shared" si="1"/>
        <v>10</v>
      </c>
      <c r="G21" s="696" t="s">
        <v>692</v>
      </c>
      <c r="H21" s="388">
        <v>100</v>
      </c>
      <c r="I21" s="105">
        <f t="shared" si="6"/>
        <v>40</v>
      </c>
      <c r="K21" s="122"/>
      <c r="L21" s="83">
        <f t="shared" si="2"/>
        <v>2</v>
      </c>
      <c r="M21" s="15">
        <v>1</v>
      </c>
      <c r="N21" s="694">
        <v>10</v>
      </c>
      <c r="O21" s="695">
        <v>44828</v>
      </c>
      <c r="P21" s="694">
        <f t="shared" si="10"/>
        <v>10</v>
      </c>
      <c r="Q21" s="696" t="s">
        <v>713</v>
      </c>
      <c r="R21" s="388">
        <v>115</v>
      </c>
      <c r="S21" s="105">
        <f t="shared" si="7"/>
        <v>20</v>
      </c>
      <c r="U21" s="122"/>
      <c r="V21" s="83">
        <f t="shared" si="3"/>
        <v>15</v>
      </c>
      <c r="W21" s="15"/>
      <c r="X21" s="69"/>
      <c r="Y21" s="203"/>
      <c r="Z21" s="69">
        <f t="shared" si="4"/>
        <v>0</v>
      </c>
      <c r="AA21" s="70"/>
      <c r="AB21" s="71"/>
      <c r="AC21" s="105">
        <f t="shared" si="8"/>
        <v>150</v>
      </c>
      <c r="AE21" s="122"/>
      <c r="AF21" s="83">
        <f t="shared" si="5"/>
        <v>7</v>
      </c>
      <c r="AG21" s="15"/>
      <c r="AH21" s="69"/>
      <c r="AI21" s="203"/>
      <c r="AJ21" s="69">
        <f t="shared" si="11"/>
        <v>0</v>
      </c>
      <c r="AK21" s="70"/>
      <c r="AL21" s="71"/>
      <c r="AM21" s="105">
        <f t="shared" si="9"/>
        <v>70</v>
      </c>
    </row>
    <row r="22" spans="1:39" x14ac:dyDescent="0.25">
      <c r="A22" s="122"/>
      <c r="B22" s="234">
        <f t="shared" si="0"/>
        <v>3</v>
      </c>
      <c r="C22" s="15">
        <v>1</v>
      </c>
      <c r="D22" s="694">
        <v>10</v>
      </c>
      <c r="E22" s="695">
        <v>44825</v>
      </c>
      <c r="F22" s="694">
        <f t="shared" si="1"/>
        <v>10</v>
      </c>
      <c r="G22" s="696" t="s">
        <v>695</v>
      </c>
      <c r="H22" s="388">
        <v>100</v>
      </c>
      <c r="I22" s="105">
        <f t="shared" si="6"/>
        <v>30</v>
      </c>
      <c r="K22" s="122"/>
      <c r="L22" s="234">
        <f t="shared" si="2"/>
        <v>2</v>
      </c>
      <c r="M22" s="15"/>
      <c r="N22" s="694"/>
      <c r="O22" s="695"/>
      <c r="P22" s="694">
        <f t="shared" si="10"/>
        <v>0</v>
      </c>
      <c r="Q22" s="696"/>
      <c r="R22" s="388"/>
      <c r="S22" s="105">
        <f t="shared" si="7"/>
        <v>20</v>
      </c>
      <c r="U22" s="122"/>
      <c r="V22" s="234">
        <f t="shared" si="3"/>
        <v>15</v>
      </c>
      <c r="W22" s="15"/>
      <c r="X22" s="69"/>
      <c r="Y22" s="203"/>
      <c r="Z22" s="69">
        <f t="shared" si="4"/>
        <v>0</v>
      </c>
      <c r="AA22" s="70"/>
      <c r="AB22" s="71"/>
      <c r="AC22" s="105">
        <f t="shared" si="8"/>
        <v>150</v>
      </c>
      <c r="AE22" s="122"/>
      <c r="AF22" s="234">
        <f t="shared" si="5"/>
        <v>7</v>
      </c>
      <c r="AG22" s="15"/>
      <c r="AH22" s="69"/>
      <c r="AI22" s="203"/>
      <c r="AJ22" s="69">
        <f t="shared" si="11"/>
        <v>0</v>
      </c>
      <c r="AK22" s="70"/>
      <c r="AL22" s="71"/>
      <c r="AM22" s="105">
        <f t="shared" si="9"/>
        <v>70</v>
      </c>
    </row>
    <row r="23" spans="1:39" x14ac:dyDescent="0.25">
      <c r="A23" s="123"/>
      <c r="B23" s="234">
        <f t="shared" si="0"/>
        <v>2</v>
      </c>
      <c r="C23" s="15">
        <v>1</v>
      </c>
      <c r="D23" s="694">
        <v>10</v>
      </c>
      <c r="E23" s="695">
        <v>44828</v>
      </c>
      <c r="F23" s="694">
        <f t="shared" si="1"/>
        <v>10</v>
      </c>
      <c r="G23" s="696" t="s">
        <v>713</v>
      </c>
      <c r="H23" s="388">
        <v>100</v>
      </c>
      <c r="I23" s="105">
        <f t="shared" si="6"/>
        <v>20</v>
      </c>
      <c r="K23" s="123"/>
      <c r="L23" s="234">
        <f t="shared" si="2"/>
        <v>2</v>
      </c>
      <c r="M23" s="15"/>
      <c r="N23" s="694"/>
      <c r="O23" s="695"/>
      <c r="P23" s="694">
        <f t="shared" si="10"/>
        <v>0</v>
      </c>
      <c r="Q23" s="696"/>
      <c r="R23" s="388"/>
      <c r="S23" s="105">
        <f t="shared" si="7"/>
        <v>20</v>
      </c>
      <c r="U23" s="123"/>
      <c r="V23" s="234">
        <f t="shared" si="3"/>
        <v>15</v>
      </c>
      <c r="W23" s="15"/>
      <c r="X23" s="69"/>
      <c r="Y23" s="203"/>
      <c r="Z23" s="69">
        <f t="shared" si="4"/>
        <v>0</v>
      </c>
      <c r="AA23" s="70"/>
      <c r="AB23" s="71"/>
      <c r="AC23" s="105">
        <f t="shared" si="8"/>
        <v>150</v>
      </c>
      <c r="AE23" s="123"/>
      <c r="AF23" s="234">
        <f t="shared" si="5"/>
        <v>7</v>
      </c>
      <c r="AG23" s="15"/>
      <c r="AH23" s="69"/>
      <c r="AI23" s="203"/>
      <c r="AJ23" s="69">
        <f t="shared" si="11"/>
        <v>0</v>
      </c>
      <c r="AK23" s="70"/>
      <c r="AL23" s="71"/>
      <c r="AM23" s="105">
        <f t="shared" si="9"/>
        <v>70</v>
      </c>
    </row>
    <row r="24" spans="1:39" x14ac:dyDescent="0.25">
      <c r="A24" s="122"/>
      <c r="B24" s="234">
        <f t="shared" si="0"/>
        <v>2</v>
      </c>
      <c r="C24" s="15"/>
      <c r="D24" s="694"/>
      <c r="E24" s="695"/>
      <c r="F24" s="694">
        <f t="shared" si="1"/>
        <v>0</v>
      </c>
      <c r="G24" s="696"/>
      <c r="H24" s="388"/>
      <c r="I24" s="105">
        <f t="shared" si="6"/>
        <v>20</v>
      </c>
      <c r="K24" s="122"/>
      <c r="L24" s="234">
        <f t="shared" si="2"/>
        <v>2</v>
      </c>
      <c r="M24" s="15"/>
      <c r="N24" s="694"/>
      <c r="O24" s="695"/>
      <c r="P24" s="694">
        <f t="shared" si="10"/>
        <v>0</v>
      </c>
      <c r="Q24" s="696"/>
      <c r="R24" s="388"/>
      <c r="S24" s="105">
        <f t="shared" si="7"/>
        <v>20</v>
      </c>
      <c r="U24" s="122"/>
      <c r="V24" s="234">
        <f t="shared" si="3"/>
        <v>15</v>
      </c>
      <c r="W24" s="15"/>
      <c r="X24" s="69"/>
      <c r="Y24" s="203"/>
      <c r="Z24" s="69">
        <f t="shared" si="4"/>
        <v>0</v>
      </c>
      <c r="AA24" s="70"/>
      <c r="AB24" s="71"/>
      <c r="AC24" s="105">
        <f t="shared" si="8"/>
        <v>150</v>
      </c>
      <c r="AE24" s="122"/>
      <c r="AF24" s="234">
        <f t="shared" si="5"/>
        <v>7</v>
      </c>
      <c r="AG24" s="15"/>
      <c r="AH24" s="69"/>
      <c r="AI24" s="203"/>
      <c r="AJ24" s="69">
        <f t="shared" si="11"/>
        <v>0</v>
      </c>
      <c r="AK24" s="70"/>
      <c r="AL24" s="71"/>
      <c r="AM24" s="105">
        <f t="shared" si="9"/>
        <v>70</v>
      </c>
    </row>
    <row r="25" spans="1:39" x14ac:dyDescent="0.25">
      <c r="A25" s="122"/>
      <c r="B25" s="234">
        <f t="shared" si="0"/>
        <v>2</v>
      </c>
      <c r="C25" s="15"/>
      <c r="D25" s="694"/>
      <c r="E25" s="695"/>
      <c r="F25" s="694">
        <f t="shared" si="1"/>
        <v>0</v>
      </c>
      <c r="G25" s="696" t="s">
        <v>22</v>
      </c>
      <c r="H25" s="388"/>
      <c r="I25" s="105">
        <f t="shared" si="6"/>
        <v>20</v>
      </c>
      <c r="K25" s="122"/>
      <c r="L25" s="234">
        <f t="shared" si="2"/>
        <v>0</v>
      </c>
      <c r="M25" s="15">
        <v>2</v>
      </c>
      <c r="N25" s="694"/>
      <c r="O25" s="695"/>
      <c r="P25" s="694">
        <v>20</v>
      </c>
      <c r="Q25" s="696"/>
      <c r="R25" s="388"/>
      <c r="S25" s="105">
        <f t="shared" si="7"/>
        <v>0</v>
      </c>
      <c r="U25" s="122"/>
      <c r="V25" s="234">
        <f t="shared" si="3"/>
        <v>15</v>
      </c>
      <c r="W25" s="15"/>
      <c r="X25" s="69"/>
      <c r="Y25" s="203"/>
      <c r="Z25" s="69">
        <f t="shared" si="4"/>
        <v>0</v>
      </c>
      <c r="AA25" s="70" t="s">
        <v>22</v>
      </c>
      <c r="AB25" s="71"/>
      <c r="AC25" s="105">
        <f t="shared" si="8"/>
        <v>150</v>
      </c>
      <c r="AE25" s="122"/>
      <c r="AF25" s="234">
        <f t="shared" si="5"/>
        <v>7</v>
      </c>
      <c r="AG25" s="15"/>
      <c r="AH25" s="69"/>
      <c r="AI25" s="203"/>
      <c r="AJ25" s="69">
        <f t="shared" si="11"/>
        <v>0</v>
      </c>
      <c r="AK25" s="70"/>
      <c r="AL25" s="71"/>
      <c r="AM25" s="105">
        <f t="shared" si="9"/>
        <v>70</v>
      </c>
    </row>
    <row r="26" spans="1:39" x14ac:dyDescent="0.25">
      <c r="A26" s="122"/>
      <c r="B26" s="183">
        <f t="shared" si="0"/>
        <v>2</v>
      </c>
      <c r="C26" s="15"/>
      <c r="D26" s="694"/>
      <c r="E26" s="695"/>
      <c r="F26" s="694">
        <f t="shared" si="1"/>
        <v>0</v>
      </c>
      <c r="G26" s="696"/>
      <c r="H26" s="388"/>
      <c r="I26" s="105">
        <f t="shared" si="6"/>
        <v>20</v>
      </c>
      <c r="K26" s="122"/>
      <c r="L26" s="183">
        <f t="shared" si="2"/>
        <v>0</v>
      </c>
      <c r="M26" s="15"/>
      <c r="N26" s="694"/>
      <c r="O26" s="695"/>
      <c r="P26" s="911">
        <f t="shared" si="10"/>
        <v>0</v>
      </c>
      <c r="Q26" s="893"/>
      <c r="R26" s="892"/>
      <c r="S26" s="894">
        <f t="shared" si="7"/>
        <v>0</v>
      </c>
      <c r="U26" s="122"/>
      <c r="V26" s="183">
        <f t="shared" si="3"/>
        <v>15</v>
      </c>
      <c r="W26" s="15"/>
      <c r="X26" s="69"/>
      <c r="Y26" s="203"/>
      <c r="Z26" s="69">
        <f t="shared" si="4"/>
        <v>0</v>
      </c>
      <c r="AA26" s="70"/>
      <c r="AB26" s="71"/>
      <c r="AC26" s="105">
        <f t="shared" si="8"/>
        <v>150</v>
      </c>
      <c r="AE26" s="122"/>
      <c r="AF26" s="183">
        <f t="shared" si="5"/>
        <v>7</v>
      </c>
      <c r="AG26" s="15"/>
      <c r="AH26" s="69"/>
      <c r="AI26" s="203"/>
      <c r="AJ26" s="69">
        <f t="shared" si="11"/>
        <v>0</v>
      </c>
      <c r="AK26" s="70"/>
      <c r="AL26" s="71"/>
      <c r="AM26" s="105">
        <f t="shared" si="9"/>
        <v>70</v>
      </c>
    </row>
    <row r="27" spans="1:39" x14ac:dyDescent="0.25">
      <c r="A27" s="122"/>
      <c r="B27" s="234">
        <f t="shared" si="0"/>
        <v>2</v>
      </c>
      <c r="C27" s="15"/>
      <c r="D27" s="694"/>
      <c r="E27" s="695"/>
      <c r="F27" s="694">
        <f t="shared" si="1"/>
        <v>0</v>
      </c>
      <c r="G27" s="696"/>
      <c r="H27" s="388"/>
      <c r="I27" s="105">
        <f t="shared" si="6"/>
        <v>20</v>
      </c>
      <c r="K27" s="122"/>
      <c r="L27" s="234">
        <f t="shared" si="2"/>
        <v>0</v>
      </c>
      <c r="M27" s="15"/>
      <c r="N27" s="694"/>
      <c r="O27" s="695"/>
      <c r="P27" s="911">
        <f t="shared" si="10"/>
        <v>0</v>
      </c>
      <c r="Q27" s="893"/>
      <c r="R27" s="892"/>
      <c r="S27" s="894">
        <f t="shared" si="7"/>
        <v>0</v>
      </c>
      <c r="U27" s="122"/>
      <c r="V27" s="234">
        <f t="shared" si="3"/>
        <v>15</v>
      </c>
      <c r="W27" s="15"/>
      <c r="X27" s="69"/>
      <c r="Y27" s="203"/>
      <c r="Z27" s="69">
        <f t="shared" si="4"/>
        <v>0</v>
      </c>
      <c r="AA27" s="70"/>
      <c r="AB27" s="71"/>
      <c r="AC27" s="105">
        <f t="shared" si="8"/>
        <v>150</v>
      </c>
      <c r="AE27" s="122"/>
      <c r="AF27" s="234">
        <f t="shared" si="5"/>
        <v>7</v>
      </c>
      <c r="AG27" s="15"/>
      <c r="AH27" s="69"/>
      <c r="AI27" s="203"/>
      <c r="AJ27" s="69">
        <f t="shared" si="11"/>
        <v>0</v>
      </c>
      <c r="AK27" s="70"/>
      <c r="AL27" s="71"/>
      <c r="AM27" s="105">
        <f t="shared" si="9"/>
        <v>70</v>
      </c>
    </row>
    <row r="28" spans="1:39" x14ac:dyDescent="0.25">
      <c r="A28" s="122"/>
      <c r="B28" s="183">
        <f t="shared" si="0"/>
        <v>2</v>
      </c>
      <c r="C28" s="15"/>
      <c r="D28" s="69"/>
      <c r="E28" s="203"/>
      <c r="F28" s="69">
        <f t="shared" si="1"/>
        <v>0</v>
      </c>
      <c r="G28" s="70"/>
      <c r="H28" s="71"/>
      <c r="I28" s="105">
        <f t="shared" si="6"/>
        <v>20</v>
      </c>
      <c r="K28" s="122"/>
      <c r="L28" s="183">
        <f t="shared" si="2"/>
        <v>0</v>
      </c>
      <c r="M28" s="15"/>
      <c r="N28" s="694"/>
      <c r="O28" s="695"/>
      <c r="P28" s="911">
        <f t="shared" si="10"/>
        <v>0</v>
      </c>
      <c r="Q28" s="893"/>
      <c r="R28" s="892"/>
      <c r="S28" s="894">
        <f t="shared" si="7"/>
        <v>0</v>
      </c>
      <c r="U28" s="122"/>
      <c r="V28" s="183">
        <f t="shared" si="3"/>
        <v>15</v>
      </c>
      <c r="W28" s="15"/>
      <c r="X28" s="69"/>
      <c r="Y28" s="203"/>
      <c r="Z28" s="69">
        <f t="shared" si="4"/>
        <v>0</v>
      </c>
      <c r="AA28" s="70"/>
      <c r="AB28" s="71"/>
      <c r="AC28" s="105">
        <f t="shared" si="8"/>
        <v>150</v>
      </c>
      <c r="AE28" s="122"/>
      <c r="AF28" s="183">
        <f t="shared" si="5"/>
        <v>7</v>
      </c>
      <c r="AG28" s="15"/>
      <c r="AH28" s="69"/>
      <c r="AI28" s="203"/>
      <c r="AJ28" s="69">
        <f t="shared" si="11"/>
        <v>0</v>
      </c>
      <c r="AK28" s="70"/>
      <c r="AL28" s="71"/>
      <c r="AM28" s="105">
        <f t="shared" si="9"/>
        <v>70</v>
      </c>
    </row>
    <row r="29" spans="1:39" x14ac:dyDescent="0.25">
      <c r="A29" s="122"/>
      <c r="B29" s="234">
        <f t="shared" si="0"/>
        <v>2</v>
      </c>
      <c r="C29" s="15"/>
      <c r="D29" s="641"/>
      <c r="E29" s="642"/>
      <c r="F29" s="641">
        <f t="shared" si="1"/>
        <v>0</v>
      </c>
      <c r="G29" s="643"/>
      <c r="H29" s="644"/>
      <c r="I29" s="105">
        <f t="shared" si="6"/>
        <v>20</v>
      </c>
      <c r="K29" s="122"/>
      <c r="L29" s="234">
        <f t="shared" si="2"/>
        <v>0</v>
      </c>
      <c r="M29" s="15"/>
      <c r="N29" s="694"/>
      <c r="O29" s="695"/>
      <c r="P29" s="911">
        <f t="shared" si="10"/>
        <v>0</v>
      </c>
      <c r="Q29" s="893"/>
      <c r="R29" s="892"/>
      <c r="S29" s="894">
        <f t="shared" si="7"/>
        <v>0</v>
      </c>
      <c r="U29" s="122"/>
      <c r="V29" s="234">
        <f t="shared" si="3"/>
        <v>15</v>
      </c>
      <c r="W29" s="15"/>
      <c r="X29" s="69"/>
      <c r="Y29" s="203"/>
      <c r="Z29" s="69">
        <f t="shared" si="4"/>
        <v>0</v>
      </c>
      <c r="AA29" s="70"/>
      <c r="AB29" s="71"/>
      <c r="AC29" s="105">
        <f t="shared" si="8"/>
        <v>150</v>
      </c>
      <c r="AE29" s="122"/>
      <c r="AF29" s="234">
        <f t="shared" si="5"/>
        <v>7</v>
      </c>
      <c r="AG29" s="15"/>
      <c r="AH29" s="69"/>
      <c r="AI29" s="203"/>
      <c r="AJ29" s="69">
        <f t="shared" si="11"/>
        <v>0</v>
      </c>
      <c r="AK29" s="70"/>
      <c r="AL29" s="71"/>
      <c r="AM29" s="105">
        <f t="shared" si="9"/>
        <v>70</v>
      </c>
    </row>
    <row r="30" spans="1:39" x14ac:dyDescent="0.25">
      <c r="A30" s="122"/>
      <c r="B30" s="234">
        <f t="shared" si="0"/>
        <v>2</v>
      </c>
      <c r="C30" s="15"/>
      <c r="D30" s="641"/>
      <c r="E30" s="642"/>
      <c r="F30" s="641">
        <f t="shared" si="1"/>
        <v>0</v>
      </c>
      <c r="G30" s="643"/>
      <c r="H30" s="644"/>
      <c r="I30" s="105">
        <f t="shared" si="6"/>
        <v>20</v>
      </c>
      <c r="K30" s="122"/>
      <c r="L30" s="234">
        <f t="shared" si="2"/>
        <v>0</v>
      </c>
      <c r="M30" s="15"/>
      <c r="N30" s="69"/>
      <c r="O30" s="203"/>
      <c r="P30" s="69">
        <f t="shared" si="10"/>
        <v>0</v>
      </c>
      <c r="Q30" s="70"/>
      <c r="R30" s="71"/>
      <c r="S30" s="105">
        <f t="shared" si="7"/>
        <v>0</v>
      </c>
      <c r="U30" s="122"/>
      <c r="V30" s="234">
        <f t="shared" si="3"/>
        <v>15</v>
      </c>
      <c r="W30" s="15"/>
      <c r="X30" s="69"/>
      <c r="Y30" s="203"/>
      <c r="Z30" s="69">
        <f t="shared" si="4"/>
        <v>0</v>
      </c>
      <c r="AA30" s="70"/>
      <c r="AB30" s="71"/>
      <c r="AC30" s="105">
        <f t="shared" si="8"/>
        <v>150</v>
      </c>
      <c r="AE30" s="122"/>
      <c r="AF30" s="234">
        <f t="shared" si="5"/>
        <v>7</v>
      </c>
      <c r="AG30" s="15"/>
      <c r="AH30" s="69"/>
      <c r="AI30" s="203"/>
      <c r="AJ30" s="69">
        <f t="shared" si="11"/>
        <v>0</v>
      </c>
      <c r="AK30" s="70"/>
      <c r="AL30" s="71"/>
      <c r="AM30" s="105">
        <f t="shared" si="9"/>
        <v>70</v>
      </c>
    </row>
    <row r="31" spans="1:39" x14ac:dyDescent="0.25">
      <c r="A31" s="122"/>
      <c r="B31" s="234">
        <f t="shared" si="0"/>
        <v>2</v>
      </c>
      <c r="C31" s="15"/>
      <c r="D31" s="641"/>
      <c r="E31" s="642"/>
      <c r="F31" s="641">
        <f t="shared" si="1"/>
        <v>0</v>
      </c>
      <c r="G31" s="643"/>
      <c r="H31" s="644"/>
      <c r="I31" s="105">
        <f t="shared" si="6"/>
        <v>20</v>
      </c>
      <c r="K31" s="122"/>
      <c r="L31" s="234">
        <f t="shared" si="2"/>
        <v>0</v>
      </c>
      <c r="M31" s="15"/>
      <c r="N31" s="69"/>
      <c r="O31" s="203"/>
      <c r="P31" s="69">
        <f t="shared" si="10"/>
        <v>0</v>
      </c>
      <c r="Q31" s="70"/>
      <c r="R31" s="71"/>
      <c r="S31" s="105">
        <f t="shared" si="7"/>
        <v>0</v>
      </c>
      <c r="U31" s="122"/>
      <c r="V31" s="234">
        <f t="shared" si="3"/>
        <v>15</v>
      </c>
      <c r="W31" s="15"/>
      <c r="X31" s="69"/>
      <c r="Y31" s="203"/>
      <c r="Z31" s="69">
        <f t="shared" si="4"/>
        <v>0</v>
      </c>
      <c r="AA31" s="70"/>
      <c r="AB31" s="71"/>
      <c r="AC31" s="105">
        <f t="shared" si="8"/>
        <v>150</v>
      </c>
      <c r="AE31" s="122"/>
      <c r="AF31" s="234">
        <f t="shared" si="5"/>
        <v>7</v>
      </c>
      <c r="AG31" s="15"/>
      <c r="AH31" s="69"/>
      <c r="AI31" s="203"/>
      <c r="AJ31" s="69">
        <f t="shared" si="11"/>
        <v>0</v>
      </c>
      <c r="AK31" s="70"/>
      <c r="AL31" s="71"/>
      <c r="AM31" s="105">
        <f t="shared" si="9"/>
        <v>70</v>
      </c>
    </row>
    <row r="32" spans="1:39" x14ac:dyDescent="0.25">
      <c r="A32" s="122"/>
      <c r="B32" s="234">
        <f t="shared" si="0"/>
        <v>2</v>
      </c>
      <c r="C32" s="15"/>
      <c r="D32" s="641"/>
      <c r="E32" s="642"/>
      <c r="F32" s="641">
        <f t="shared" si="1"/>
        <v>0</v>
      </c>
      <c r="G32" s="643"/>
      <c r="H32" s="644"/>
      <c r="I32" s="105">
        <f t="shared" si="6"/>
        <v>20</v>
      </c>
      <c r="K32" s="122"/>
      <c r="L32" s="234">
        <f t="shared" si="2"/>
        <v>0</v>
      </c>
      <c r="M32" s="15"/>
      <c r="N32" s="69"/>
      <c r="O32" s="203"/>
      <c r="P32" s="69">
        <f t="shared" si="10"/>
        <v>0</v>
      </c>
      <c r="Q32" s="70"/>
      <c r="R32" s="71"/>
      <c r="S32" s="105">
        <f t="shared" si="7"/>
        <v>0</v>
      </c>
      <c r="U32" s="122"/>
      <c r="V32" s="234">
        <f t="shared" si="3"/>
        <v>15</v>
      </c>
      <c r="W32" s="15"/>
      <c r="X32" s="69"/>
      <c r="Y32" s="203"/>
      <c r="Z32" s="69">
        <f t="shared" si="4"/>
        <v>0</v>
      </c>
      <c r="AA32" s="70"/>
      <c r="AB32" s="71"/>
      <c r="AC32" s="105">
        <f t="shared" si="8"/>
        <v>150</v>
      </c>
      <c r="AE32" s="122"/>
      <c r="AF32" s="234">
        <f t="shared" si="5"/>
        <v>7</v>
      </c>
      <c r="AG32" s="15"/>
      <c r="AH32" s="69"/>
      <c r="AI32" s="203"/>
      <c r="AJ32" s="69">
        <f t="shared" si="11"/>
        <v>0</v>
      </c>
      <c r="AK32" s="70"/>
      <c r="AL32" s="71"/>
      <c r="AM32" s="105">
        <f t="shared" si="9"/>
        <v>70</v>
      </c>
    </row>
    <row r="33" spans="1:39" x14ac:dyDescent="0.25">
      <c r="A33" s="122"/>
      <c r="B33" s="234">
        <f t="shared" si="0"/>
        <v>2</v>
      </c>
      <c r="C33" s="15"/>
      <c r="D33" s="641"/>
      <c r="E33" s="642"/>
      <c r="F33" s="641">
        <f t="shared" si="1"/>
        <v>0</v>
      </c>
      <c r="G33" s="643"/>
      <c r="H33" s="644"/>
      <c r="I33" s="105">
        <f t="shared" si="6"/>
        <v>20</v>
      </c>
      <c r="K33" s="122"/>
      <c r="L33" s="234">
        <f t="shared" si="2"/>
        <v>0</v>
      </c>
      <c r="M33" s="15"/>
      <c r="N33" s="69"/>
      <c r="O33" s="203"/>
      <c r="P33" s="69">
        <f t="shared" si="10"/>
        <v>0</v>
      </c>
      <c r="Q33" s="70"/>
      <c r="R33" s="71"/>
      <c r="S33" s="105">
        <f t="shared" si="7"/>
        <v>0</v>
      </c>
      <c r="U33" s="122"/>
      <c r="V33" s="234">
        <f t="shared" si="3"/>
        <v>15</v>
      </c>
      <c r="W33" s="15"/>
      <c r="X33" s="69"/>
      <c r="Y33" s="203"/>
      <c r="Z33" s="69">
        <f t="shared" si="4"/>
        <v>0</v>
      </c>
      <c r="AA33" s="70"/>
      <c r="AB33" s="71"/>
      <c r="AC33" s="105">
        <f t="shared" si="8"/>
        <v>150</v>
      </c>
      <c r="AE33" s="122"/>
      <c r="AF33" s="234">
        <f t="shared" si="5"/>
        <v>7</v>
      </c>
      <c r="AG33" s="15"/>
      <c r="AH33" s="69"/>
      <c r="AI33" s="203"/>
      <c r="AJ33" s="69">
        <f t="shared" si="11"/>
        <v>0</v>
      </c>
      <c r="AK33" s="70"/>
      <c r="AL33" s="71"/>
      <c r="AM33" s="105">
        <f t="shared" si="9"/>
        <v>70</v>
      </c>
    </row>
    <row r="34" spans="1:39" x14ac:dyDescent="0.25">
      <c r="A34" s="122"/>
      <c r="B34" s="234">
        <f t="shared" si="0"/>
        <v>2</v>
      </c>
      <c r="C34" s="15"/>
      <c r="D34" s="641"/>
      <c r="E34" s="642"/>
      <c r="F34" s="641">
        <f t="shared" si="1"/>
        <v>0</v>
      </c>
      <c r="G34" s="643"/>
      <c r="H34" s="644"/>
      <c r="I34" s="105">
        <f t="shared" si="6"/>
        <v>20</v>
      </c>
      <c r="K34" s="122"/>
      <c r="L34" s="234">
        <f t="shared" si="2"/>
        <v>0</v>
      </c>
      <c r="M34" s="15"/>
      <c r="N34" s="69"/>
      <c r="O34" s="203"/>
      <c r="P34" s="69">
        <f t="shared" si="10"/>
        <v>0</v>
      </c>
      <c r="Q34" s="70"/>
      <c r="R34" s="71"/>
      <c r="S34" s="105">
        <f t="shared" si="7"/>
        <v>0</v>
      </c>
      <c r="U34" s="122"/>
      <c r="V34" s="234">
        <f t="shared" si="3"/>
        <v>15</v>
      </c>
      <c r="W34" s="15"/>
      <c r="X34" s="69"/>
      <c r="Y34" s="203"/>
      <c r="Z34" s="69">
        <f t="shared" si="4"/>
        <v>0</v>
      </c>
      <c r="AA34" s="70"/>
      <c r="AB34" s="71"/>
      <c r="AC34" s="105">
        <f t="shared" si="8"/>
        <v>150</v>
      </c>
      <c r="AE34" s="122"/>
      <c r="AF34" s="234">
        <f t="shared" si="5"/>
        <v>7</v>
      </c>
      <c r="AG34" s="15"/>
      <c r="AH34" s="69"/>
      <c r="AI34" s="203"/>
      <c r="AJ34" s="69">
        <f t="shared" si="11"/>
        <v>0</v>
      </c>
      <c r="AK34" s="70"/>
      <c r="AL34" s="71"/>
      <c r="AM34" s="105">
        <f t="shared" si="9"/>
        <v>70</v>
      </c>
    </row>
    <row r="35" spans="1:39" x14ac:dyDescent="0.25">
      <c r="A35" s="122"/>
      <c r="B35" s="234">
        <f t="shared" si="0"/>
        <v>2</v>
      </c>
      <c r="C35" s="15"/>
      <c r="D35" s="641"/>
      <c r="E35" s="642"/>
      <c r="F35" s="641">
        <f t="shared" si="1"/>
        <v>0</v>
      </c>
      <c r="G35" s="643"/>
      <c r="H35" s="644"/>
      <c r="I35" s="105">
        <f t="shared" si="6"/>
        <v>20</v>
      </c>
      <c r="K35" s="122"/>
      <c r="L35" s="234">
        <f t="shared" si="2"/>
        <v>0</v>
      </c>
      <c r="M35" s="15"/>
      <c r="N35" s="69"/>
      <c r="O35" s="203"/>
      <c r="P35" s="69">
        <f t="shared" si="10"/>
        <v>0</v>
      </c>
      <c r="Q35" s="70"/>
      <c r="R35" s="71"/>
      <c r="S35" s="105">
        <f t="shared" si="7"/>
        <v>0</v>
      </c>
      <c r="U35" s="122"/>
      <c r="V35" s="234">
        <f t="shared" si="3"/>
        <v>15</v>
      </c>
      <c r="W35" s="15"/>
      <c r="X35" s="69"/>
      <c r="Y35" s="203"/>
      <c r="Z35" s="69">
        <f t="shared" si="4"/>
        <v>0</v>
      </c>
      <c r="AA35" s="70"/>
      <c r="AB35" s="71"/>
      <c r="AC35" s="105">
        <f t="shared" si="8"/>
        <v>150</v>
      </c>
      <c r="AE35" s="122"/>
      <c r="AF35" s="234">
        <f t="shared" si="5"/>
        <v>7</v>
      </c>
      <c r="AG35" s="15"/>
      <c r="AH35" s="69"/>
      <c r="AI35" s="203"/>
      <c r="AJ35" s="69">
        <f t="shared" si="11"/>
        <v>0</v>
      </c>
      <c r="AK35" s="70"/>
      <c r="AL35" s="71"/>
      <c r="AM35" s="105">
        <f t="shared" si="9"/>
        <v>70</v>
      </c>
    </row>
    <row r="36" spans="1:39" x14ac:dyDescent="0.25">
      <c r="A36" s="122" t="s">
        <v>22</v>
      </c>
      <c r="B36" s="234">
        <f t="shared" si="0"/>
        <v>2</v>
      </c>
      <c r="C36" s="15"/>
      <c r="D36" s="641"/>
      <c r="E36" s="642"/>
      <c r="F36" s="641">
        <f t="shared" si="1"/>
        <v>0</v>
      </c>
      <c r="G36" s="643"/>
      <c r="H36" s="644"/>
      <c r="I36" s="105">
        <f t="shared" si="6"/>
        <v>20</v>
      </c>
      <c r="K36" s="122" t="s">
        <v>22</v>
      </c>
      <c r="L36" s="234">
        <f t="shared" si="2"/>
        <v>0</v>
      </c>
      <c r="M36" s="15"/>
      <c r="N36" s="69"/>
      <c r="O36" s="203"/>
      <c r="P36" s="69">
        <f t="shared" si="10"/>
        <v>0</v>
      </c>
      <c r="Q36" s="70"/>
      <c r="R36" s="71"/>
      <c r="S36" s="105">
        <f t="shared" si="7"/>
        <v>0</v>
      </c>
      <c r="U36" s="122" t="s">
        <v>22</v>
      </c>
      <c r="V36" s="234">
        <f t="shared" si="3"/>
        <v>15</v>
      </c>
      <c r="W36" s="15"/>
      <c r="X36" s="69"/>
      <c r="Y36" s="203"/>
      <c r="Z36" s="69">
        <f t="shared" si="4"/>
        <v>0</v>
      </c>
      <c r="AA36" s="70"/>
      <c r="AB36" s="71"/>
      <c r="AC36" s="105">
        <f t="shared" si="8"/>
        <v>150</v>
      </c>
      <c r="AE36" s="122" t="s">
        <v>22</v>
      </c>
      <c r="AF36" s="234">
        <f t="shared" si="5"/>
        <v>7</v>
      </c>
      <c r="AG36" s="15"/>
      <c r="AH36" s="69"/>
      <c r="AI36" s="203"/>
      <c r="AJ36" s="69">
        <f t="shared" si="11"/>
        <v>0</v>
      </c>
      <c r="AK36" s="70"/>
      <c r="AL36" s="71"/>
      <c r="AM36" s="105">
        <f t="shared" si="9"/>
        <v>70</v>
      </c>
    </row>
    <row r="37" spans="1:39" x14ac:dyDescent="0.25">
      <c r="A37" s="123"/>
      <c r="B37" s="234">
        <f t="shared" si="0"/>
        <v>2</v>
      </c>
      <c r="C37" s="15"/>
      <c r="D37" s="641"/>
      <c r="E37" s="642"/>
      <c r="F37" s="641">
        <f t="shared" si="1"/>
        <v>0</v>
      </c>
      <c r="G37" s="643"/>
      <c r="H37" s="644"/>
      <c r="I37" s="105">
        <f t="shared" si="6"/>
        <v>20</v>
      </c>
      <c r="K37" s="123"/>
      <c r="L37" s="234">
        <f t="shared" si="2"/>
        <v>0</v>
      </c>
      <c r="M37" s="15"/>
      <c r="N37" s="69"/>
      <c r="O37" s="203"/>
      <c r="P37" s="69">
        <f t="shared" si="10"/>
        <v>0</v>
      </c>
      <c r="Q37" s="70"/>
      <c r="R37" s="71"/>
      <c r="S37" s="105">
        <f t="shared" si="7"/>
        <v>0</v>
      </c>
      <c r="U37" s="123"/>
      <c r="V37" s="234">
        <f t="shared" si="3"/>
        <v>15</v>
      </c>
      <c r="W37" s="15"/>
      <c r="X37" s="69"/>
      <c r="Y37" s="203"/>
      <c r="Z37" s="69">
        <f t="shared" si="4"/>
        <v>0</v>
      </c>
      <c r="AA37" s="70"/>
      <c r="AB37" s="71"/>
      <c r="AC37" s="105">
        <f t="shared" si="8"/>
        <v>150</v>
      </c>
      <c r="AE37" s="123"/>
      <c r="AF37" s="234">
        <f t="shared" si="5"/>
        <v>7</v>
      </c>
      <c r="AG37" s="15"/>
      <c r="AH37" s="69"/>
      <c r="AI37" s="203"/>
      <c r="AJ37" s="69">
        <f t="shared" si="11"/>
        <v>0</v>
      </c>
      <c r="AK37" s="70"/>
      <c r="AL37" s="71"/>
      <c r="AM37" s="105">
        <f t="shared" si="9"/>
        <v>70</v>
      </c>
    </row>
    <row r="38" spans="1:39" x14ac:dyDescent="0.25">
      <c r="A38" s="122"/>
      <c r="B38" s="234">
        <f t="shared" si="0"/>
        <v>2</v>
      </c>
      <c r="C38" s="15"/>
      <c r="D38" s="641"/>
      <c r="E38" s="642"/>
      <c r="F38" s="641">
        <f t="shared" si="1"/>
        <v>0</v>
      </c>
      <c r="G38" s="643"/>
      <c r="H38" s="644"/>
      <c r="I38" s="105">
        <f t="shared" si="6"/>
        <v>20</v>
      </c>
      <c r="K38" s="122"/>
      <c r="L38" s="234">
        <f t="shared" si="2"/>
        <v>0</v>
      </c>
      <c r="M38" s="15"/>
      <c r="N38" s="69"/>
      <c r="O38" s="203"/>
      <c r="P38" s="69">
        <f t="shared" si="10"/>
        <v>0</v>
      </c>
      <c r="Q38" s="70"/>
      <c r="R38" s="71"/>
      <c r="S38" s="105">
        <f t="shared" si="7"/>
        <v>0</v>
      </c>
      <c r="U38" s="122"/>
      <c r="V38" s="234">
        <f t="shared" si="3"/>
        <v>15</v>
      </c>
      <c r="W38" s="15"/>
      <c r="X38" s="69"/>
      <c r="Y38" s="203"/>
      <c r="Z38" s="69">
        <f t="shared" si="4"/>
        <v>0</v>
      </c>
      <c r="AA38" s="70"/>
      <c r="AB38" s="71"/>
      <c r="AC38" s="105">
        <f t="shared" si="8"/>
        <v>150</v>
      </c>
      <c r="AE38" s="122"/>
      <c r="AF38" s="234">
        <f t="shared" si="5"/>
        <v>7</v>
      </c>
      <c r="AG38" s="15"/>
      <c r="AH38" s="69"/>
      <c r="AI38" s="203"/>
      <c r="AJ38" s="69">
        <f t="shared" si="11"/>
        <v>0</v>
      </c>
      <c r="AK38" s="70"/>
      <c r="AL38" s="71"/>
      <c r="AM38" s="105">
        <f t="shared" si="9"/>
        <v>70</v>
      </c>
    </row>
    <row r="39" spans="1:39" x14ac:dyDescent="0.25">
      <c r="A39" s="122"/>
      <c r="B39" s="83">
        <f t="shared" si="0"/>
        <v>2</v>
      </c>
      <c r="C39" s="15"/>
      <c r="D39" s="641"/>
      <c r="E39" s="642"/>
      <c r="F39" s="641">
        <f t="shared" si="1"/>
        <v>0</v>
      </c>
      <c r="G39" s="643"/>
      <c r="H39" s="644"/>
      <c r="I39" s="105">
        <f t="shared" si="6"/>
        <v>20</v>
      </c>
      <c r="K39" s="122"/>
      <c r="L39" s="83">
        <f t="shared" si="2"/>
        <v>0</v>
      </c>
      <c r="M39" s="15"/>
      <c r="N39" s="69"/>
      <c r="O39" s="203"/>
      <c r="P39" s="69">
        <f t="shared" si="10"/>
        <v>0</v>
      </c>
      <c r="Q39" s="70"/>
      <c r="R39" s="71"/>
      <c r="S39" s="105">
        <f t="shared" si="7"/>
        <v>0</v>
      </c>
      <c r="U39" s="122"/>
      <c r="V39" s="83">
        <f t="shared" si="3"/>
        <v>15</v>
      </c>
      <c r="W39" s="15"/>
      <c r="X39" s="69"/>
      <c r="Y39" s="203"/>
      <c r="Z39" s="69">
        <f t="shared" si="4"/>
        <v>0</v>
      </c>
      <c r="AA39" s="70"/>
      <c r="AB39" s="71"/>
      <c r="AC39" s="105">
        <f t="shared" si="8"/>
        <v>150</v>
      </c>
      <c r="AE39" s="122"/>
      <c r="AF39" s="83">
        <f t="shared" si="5"/>
        <v>7</v>
      </c>
      <c r="AG39" s="15"/>
      <c r="AH39" s="69"/>
      <c r="AI39" s="203"/>
      <c r="AJ39" s="69">
        <f t="shared" si="11"/>
        <v>0</v>
      </c>
      <c r="AK39" s="70"/>
      <c r="AL39" s="71"/>
      <c r="AM39" s="105">
        <f t="shared" si="9"/>
        <v>70</v>
      </c>
    </row>
    <row r="40" spans="1:39" x14ac:dyDescent="0.25">
      <c r="A40" s="122"/>
      <c r="B40" s="83">
        <f t="shared" si="0"/>
        <v>2</v>
      </c>
      <c r="C40" s="15"/>
      <c r="D40" s="69"/>
      <c r="E40" s="203"/>
      <c r="F40" s="69">
        <f t="shared" si="1"/>
        <v>0</v>
      </c>
      <c r="G40" s="70"/>
      <c r="H40" s="71"/>
      <c r="I40" s="105">
        <f t="shared" si="6"/>
        <v>20</v>
      </c>
      <c r="K40" s="122"/>
      <c r="L40" s="83">
        <f t="shared" si="2"/>
        <v>0</v>
      </c>
      <c r="M40" s="15"/>
      <c r="N40" s="69"/>
      <c r="O40" s="203"/>
      <c r="P40" s="69">
        <f t="shared" si="10"/>
        <v>0</v>
      </c>
      <c r="Q40" s="70"/>
      <c r="R40" s="71"/>
      <c r="S40" s="105">
        <f t="shared" si="7"/>
        <v>0</v>
      </c>
      <c r="U40" s="122"/>
      <c r="V40" s="83">
        <f t="shared" si="3"/>
        <v>15</v>
      </c>
      <c r="W40" s="15"/>
      <c r="X40" s="69"/>
      <c r="Y40" s="203"/>
      <c r="Z40" s="69">
        <f t="shared" si="4"/>
        <v>0</v>
      </c>
      <c r="AA40" s="70"/>
      <c r="AB40" s="71"/>
      <c r="AC40" s="105">
        <f t="shared" si="8"/>
        <v>150</v>
      </c>
      <c r="AE40" s="122"/>
      <c r="AF40" s="83">
        <f t="shared" si="5"/>
        <v>7</v>
      </c>
      <c r="AG40" s="15"/>
      <c r="AH40" s="69"/>
      <c r="AI40" s="203"/>
      <c r="AJ40" s="69">
        <f t="shared" si="11"/>
        <v>0</v>
      </c>
      <c r="AK40" s="70"/>
      <c r="AL40" s="71"/>
      <c r="AM40" s="105">
        <f t="shared" si="9"/>
        <v>70</v>
      </c>
    </row>
    <row r="41" spans="1:39" x14ac:dyDescent="0.25">
      <c r="A41" s="122"/>
      <c r="B41" s="83">
        <f t="shared" si="0"/>
        <v>2</v>
      </c>
      <c r="C41" s="15"/>
      <c r="D41" s="69"/>
      <c r="E41" s="203"/>
      <c r="F41" s="69">
        <f t="shared" si="1"/>
        <v>0</v>
      </c>
      <c r="G41" s="70"/>
      <c r="H41" s="71"/>
      <c r="I41" s="105">
        <f t="shared" si="6"/>
        <v>20</v>
      </c>
      <c r="K41" s="122"/>
      <c r="L41" s="83">
        <f t="shared" si="2"/>
        <v>0</v>
      </c>
      <c r="M41" s="15"/>
      <c r="N41" s="69"/>
      <c r="O41" s="203"/>
      <c r="P41" s="69">
        <f t="shared" si="10"/>
        <v>0</v>
      </c>
      <c r="Q41" s="70"/>
      <c r="R41" s="71"/>
      <c r="S41" s="105">
        <f t="shared" si="7"/>
        <v>0</v>
      </c>
      <c r="U41" s="122"/>
      <c r="V41" s="83">
        <f t="shared" si="3"/>
        <v>15</v>
      </c>
      <c r="W41" s="15"/>
      <c r="X41" s="69"/>
      <c r="Y41" s="203"/>
      <c r="Z41" s="69">
        <f t="shared" si="4"/>
        <v>0</v>
      </c>
      <c r="AA41" s="70"/>
      <c r="AB41" s="71"/>
      <c r="AC41" s="105">
        <f t="shared" si="8"/>
        <v>150</v>
      </c>
      <c r="AE41" s="122"/>
      <c r="AF41" s="83">
        <f t="shared" si="5"/>
        <v>7</v>
      </c>
      <c r="AG41" s="15"/>
      <c r="AH41" s="69"/>
      <c r="AI41" s="203"/>
      <c r="AJ41" s="69">
        <f t="shared" si="11"/>
        <v>0</v>
      </c>
      <c r="AK41" s="70"/>
      <c r="AL41" s="71"/>
      <c r="AM41" s="105">
        <f t="shared" si="9"/>
        <v>70</v>
      </c>
    </row>
    <row r="42" spans="1:39" x14ac:dyDescent="0.25">
      <c r="A42" s="122"/>
      <c r="B42" s="83">
        <f t="shared" si="0"/>
        <v>2</v>
      </c>
      <c r="C42" s="15"/>
      <c r="D42" s="69"/>
      <c r="E42" s="203"/>
      <c r="F42" s="69">
        <f t="shared" si="1"/>
        <v>0</v>
      </c>
      <c r="G42" s="70"/>
      <c r="H42" s="71"/>
      <c r="I42" s="105">
        <f t="shared" si="6"/>
        <v>20</v>
      </c>
      <c r="K42" s="122"/>
      <c r="L42" s="83">
        <f t="shared" si="2"/>
        <v>0</v>
      </c>
      <c r="M42" s="15"/>
      <c r="N42" s="69"/>
      <c r="O42" s="203"/>
      <c r="P42" s="69">
        <f t="shared" si="10"/>
        <v>0</v>
      </c>
      <c r="Q42" s="70"/>
      <c r="R42" s="71"/>
      <c r="S42" s="105">
        <f t="shared" si="7"/>
        <v>0</v>
      </c>
      <c r="U42" s="122"/>
      <c r="V42" s="83">
        <f t="shared" si="3"/>
        <v>15</v>
      </c>
      <c r="W42" s="15"/>
      <c r="X42" s="69"/>
      <c r="Y42" s="203"/>
      <c r="Z42" s="69">
        <f t="shared" si="4"/>
        <v>0</v>
      </c>
      <c r="AA42" s="70"/>
      <c r="AB42" s="71"/>
      <c r="AC42" s="105">
        <f t="shared" si="8"/>
        <v>150</v>
      </c>
      <c r="AE42" s="122"/>
      <c r="AF42" s="83">
        <f t="shared" si="5"/>
        <v>7</v>
      </c>
      <c r="AG42" s="15"/>
      <c r="AH42" s="69"/>
      <c r="AI42" s="203"/>
      <c r="AJ42" s="69">
        <f t="shared" si="11"/>
        <v>0</v>
      </c>
      <c r="AK42" s="70"/>
      <c r="AL42" s="71"/>
      <c r="AM42" s="105">
        <f t="shared" si="9"/>
        <v>70</v>
      </c>
    </row>
    <row r="43" spans="1:39" x14ac:dyDescent="0.25">
      <c r="A43" s="122"/>
      <c r="B43" s="83">
        <f t="shared" si="0"/>
        <v>2</v>
      </c>
      <c r="C43" s="15"/>
      <c r="D43" s="69"/>
      <c r="E43" s="203"/>
      <c r="F43" s="69">
        <f t="shared" si="1"/>
        <v>0</v>
      </c>
      <c r="G43" s="70"/>
      <c r="H43" s="71"/>
      <c r="I43" s="105">
        <f t="shared" si="6"/>
        <v>20</v>
      </c>
      <c r="K43" s="122"/>
      <c r="L43" s="83">
        <f t="shared" si="2"/>
        <v>0</v>
      </c>
      <c r="M43" s="15"/>
      <c r="N43" s="69"/>
      <c r="O43" s="203"/>
      <c r="P43" s="69">
        <f t="shared" si="10"/>
        <v>0</v>
      </c>
      <c r="Q43" s="70"/>
      <c r="R43" s="71"/>
      <c r="S43" s="105">
        <f t="shared" si="7"/>
        <v>0</v>
      </c>
      <c r="U43" s="122"/>
      <c r="V43" s="83">
        <f t="shared" si="3"/>
        <v>15</v>
      </c>
      <c r="W43" s="15"/>
      <c r="X43" s="69"/>
      <c r="Y43" s="203"/>
      <c r="Z43" s="69">
        <f t="shared" si="4"/>
        <v>0</v>
      </c>
      <c r="AA43" s="70"/>
      <c r="AB43" s="71"/>
      <c r="AC43" s="105">
        <f t="shared" si="8"/>
        <v>150</v>
      </c>
      <c r="AE43" s="122"/>
      <c r="AF43" s="83">
        <f t="shared" si="5"/>
        <v>7</v>
      </c>
      <c r="AG43" s="15"/>
      <c r="AH43" s="69"/>
      <c r="AI43" s="203"/>
      <c r="AJ43" s="69">
        <f t="shared" si="11"/>
        <v>0</v>
      </c>
      <c r="AK43" s="70"/>
      <c r="AL43" s="71"/>
      <c r="AM43" s="105">
        <f t="shared" si="9"/>
        <v>70</v>
      </c>
    </row>
    <row r="44" spans="1:39" x14ac:dyDescent="0.25">
      <c r="A44" s="122"/>
      <c r="B44" s="83">
        <f t="shared" si="0"/>
        <v>2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6"/>
        <v>20</v>
      </c>
      <c r="K44" s="122"/>
      <c r="L44" s="83">
        <f t="shared" si="2"/>
        <v>0</v>
      </c>
      <c r="M44" s="15"/>
      <c r="N44" s="69"/>
      <c r="O44" s="203"/>
      <c r="P44" s="69">
        <f t="shared" si="10"/>
        <v>0</v>
      </c>
      <c r="Q44" s="70"/>
      <c r="R44" s="71"/>
      <c r="S44" s="105">
        <f t="shared" si="7"/>
        <v>0</v>
      </c>
      <c r="U44" s="122"/>
      <c r="V44" s="83">
        <f t="shared" si="3"/>
        <v>15</v>
      </c>
      <c r="W44" s="15"/>
      <c r="X44" s="69"/>
      <c r="Y44" s="203"/>
      <c r="Z44" s="69">
        <f t="shared" si="4"/>
        <v>0</v>
      </c>
      <c r="AA44" s="70"/>
      <c r="AB44" s="71"/>
      <c r="AC44" s="105">
        <f t="shared" si="8"/>
        <v>150</v>
      </c>
      <c r="AE44" s="122"/>
      <c r="AF44" s="83">
        <f t="shared" si="5"/>
        <v>7</v>
      </c>
      <c r="AG44" s="15"/>
      <c r="AH44" s="69"/>
      <c r="AI44" s="203"/>
      <c r="AJ44" s="69">
        <f t="shared" si="11"/>
        <v>0</v>
      </c>
      <c r="AK44" s="70"/>
      <c r="AL44" s="71"/>
      <c r="AM44" s="105">
        <f t="shared" si="9"/>
        <v>70</v>
      </c>
    </row>
    <row r="45" spans="1:39" x14ac:dyDescent="0.25">
      <c r="A45" s="122"/>
      <c r="B45" s="83">
        <f t="shared" si="0"/>
        <v>2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6"/>
        <v>20</v>
      </c>
      <c r="K45" s="122"/>
      <c r="L45" s="83">
        <f t="shared" si="2"/>
        <v>0</v>
      </c>
      <c r="M45" s="15"/>
      <c r="N45" s="69"/>
      <c r="O45" s="203"/>
      <c r="P45" s="69">
        <f t="shared" si="10"/>
        <v>0</v>
      </c>
      <c r="Q45" s="70"/>
      <c r="R45" s="71"/>
      <c r="S45" s="105">
        <f t="shared" si="7"/>
        <v>0</v>
      </c>
      <c r="U45" s="122"/>
      <c r="V45" s="83">
        <f t="shared" si="3"/>
        <v>15</v>
      </c>
      <c r="W45" s="15"/>
      <c r="X45" s="69"/>
      <c r="Y45" s="203"/>
      <c r="Z45" s="69">
        <f t="shared" si="4"/>
        <v>0</v>
      </c>
      <c r="AA45" s="70"/>
      <c r="AB45" s="71"/>
      <c r="AC45" s="105">
        <f t="shared" si="8"/>
        <v>150</v>
      </c>
      <c r="AE45" s="122"/>
      <c r="AF45" s="83">
        <f t="shared" si="5"/>
        <v>7</v>
      </c>
      <c r="AG45" s="15"/>
      <c r="AH45" s="69"/>
      <c r="AI45" s="203"/>
      <c r="AJ45" s="69">
        <f t="shared" si="11"/>
        <v>0</v>
      </c>
      <c r="AK45" s="70"/>
      <c r="AL45" s="71"/>
      <c r="AM45" s="105">
        <f t="shared" si="9"/>
        <v>70</v>
      </c>
    </row>
    <row r="46" spans="1:39" x14ac:dyDescent="0.25">
      <c r="A46" s="122"/>
      <c r="B46" s="83">
        <f t="shared" si="0"/>
        <v>2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6"/>
        <v>20</v>
      </c>
      <c r="K46" s="122"/>
      <c r="L46" s="83">
        <f t="shared" si="2"/>
        <v>0</v>
      </c>
      <c r="M46" s="15"/>
      <c r="N46" s="69"/>
      <c r="O46" s="203"/>
      <c r="P46" s="69">
        <f t="shared" si="10"/>
        <v>0</v>
      </c>
      <c r="Q46" s="70"/>
      <c r="R46" s="71"/>
      <c r="S46" s="105">
        <f t="shared" si="7"/>
        <v>0</v>
      </c>
      <c r="U46" s="122"/>
      <c r="V46" s="83">
        <f t="shared" si="3"/>
        <v>15</v>
      </c>
      <c r="W46" s="15"/>
      <c r="X46" s="69"/>
      <c r="Y46" s="203"/>
      <c r="Z46" s="69">
        <f t="shared" si="4"/>
        <v>0</v>
      </c>
      <c r="AA46" s="70"/>
      <c r="AB46" s="71"/>
      <c r="AC46" s="105">
        <f t="shared" si="8"/>
        <v>150</v>
      </c>
      <c r="AE46" s="122"/>
      <c r="AF46" s="83">
        <f t="shared" si="5"/>
        <v>7</v>
      </c>
      <c r="AG46" s="15"/>
      <c r="AH46" s="69"/>
      <c r="AI46" s="203"/>
      <c r="AJ46" s="69">
        <f t="shared" si="11"/>
        <v>0</v>
      </c>
      <c r="AK46" s="70"/>
      <c r="AL46" s="71"/>
      <c r="AM46" s="105">
        <f t="shared" si="9"/>
        <v>70</v>
      </c>
    </row>
    <row r="47" spans="1:39" x14ac:dyDescent="0.25">
      <c r="A47" s="122"/>
      <c r="B47" s="83">
        <f t="shared" si="0"/>
        <v>2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6"/>
        <v>20</v>
      </c>
      <c r="K47" s="122"/>
      <c r="L47" s="83">
        <f t="shared" si="2"/>
        <v>0</v>
      </c>
      <c r="M47" s="15"/>
      <c r="N47" s="69"/>
      <c r="O47" s="203"/>
      <c r="P47" s="69">
        <f t="shared" si="10"/>
        <v>0</v>
      </c>
      <c r="Q47" s="70"/>
      <c r="R47" s="71"/>
      <c r="S47" s="105">
        <f t="shared" si="7"/>
        <v>0</v>
      </c>
      <c r="U47" s="122"/>
      <c r="V47" s="83">
        <f t="shared" si="3"/>
        <v>15</v>
      </c>
      <c r="W47" s="15"/>
      <c r="X47" s="69"/>
      <c r="Y47" s="203"/>
      <c r="Z47" s="69">
        <f t="shared" si="4"/>
        <v>0</v>
      </c>
      <c r="AA47" s="70"/>
      <c r="AB47" s="71"/>
      <c r="AC47" s="105">
        <f t="shared" si="8"/>
        <v>150</v>
      </c>
      <c r="AE47" s="122"/>
      <c r="AF47" s="83">
        <f t="shared" si="5"/>
        <v>7</v>
      </c>
      <c r="AG47" s="15"/>
      <c r="AH47" s="69"/>
      <c r="AI47" s="203"/>
      <c r="AJ47" s="69">
        <f t="shared" si="11"/>
        <v>0</v>
      </c>
      <c r="AK47" s="70"/>
      <c r="AL47" s="71"/>
      <c r="AM47" s="105">
        <f t="shared" si="9"/>
        <v>70</v>
      </c>
    </row>
    <row r="48" spans="1:39" x14ac:dyDescent="0.25">
      <c r="A48" s="122"/>
      <c r="B48" s="83">
        <f t="shared" si="0"/>
        <v>2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6"/>
        <v>20</v>
      </c>
      <c r="K48" s="122"/>
      <c r="L48" s="83">
        <f t="shared" si="2"/>
        <v>0</v>
      </c>
      <c r="M48" s="15"/>
      <c r="N48" s="69"/>
      <c r="O48" s="203"/>
      <c r="P48" s="69">
        <f t="shared" si="10"/>
        <v>0</v>
      </c>
      <c r="Q48" s="70"/>
      <c r="R48" s="71"/>
      <c r="S48" s="105">
        <f t="shared" si="7"/>
        <v>0</v>
      </c>
      <c r="U48" s="122"/>
      <c r="V48" s="83">
        <f t="shared" si="3"/>
        <v>15</v>
      </c>
      <c r="W48" s="15"/>
      <c r="X48" s="69"/>
      <c r="Y48" s="203"/>
      <c r="Z48" s="69">
        <f t="shared" si="4"/>
        <v>0</v>
      </c>
      <c r="AA48" s="70"/>
      <c r="AB48" s="71"/>
      <c r="AC48" s="105">
        <f t="shared" si="8"/>
        <v>150</v>
      </c>
      <c r="AE48" s="122"/>
      <c r="AF48" s="83">
        <f t="shared" si="5"/>
        <v>7</v>
      </c>
      <c r="AG48" s="15"/>
      <c r="AH48" s="69"/>
      <c r="AI48" s="203"/>
      <c r="AJ48" s="69">
        <f t="shared" si="11"/>
        <v>0</v>
      </c>
      <c r="AK48" s="70"/>
      <c r="AL48" s="71"/>
      <c r="AM48" s="105">
        <f t="shared" si="9"/>
        <v>70</v>
      </c>
    </row>
    <row r="49" spans="1:39" x14ac:dyDescent="0.25">
      <c r="A49" s="122"/>
      <c r="B49" s="83">
        <f t="shared" si="0"/>
        <v>2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6"/>
        <v>20</v>
      </c>
      <c r="K49" s="122"/>
      <c r="L49" s="83">
        <f t="shared" si="2"/>
        <v>0</v>
      </c>
      <c r="M49" s="15"/>
      <c r="N49" s="69"/>
      <c r="O49" s="203"/>
      <c r="P49" s="69">
        <f t="shared" si="10"/>
        <v>0</v>
      </c>
      <c r="Q49" s="70"/>
      <c r="R49" s="71"/>
      <c r="S49" s="105">
        <f t="shared" si="7"/>
        <v>0</v>
      </c>
      <c r="U49" s="122"/>
      <c r="V49" s="83">
        <f t="shared" si="3"/>
        <v>15</v>
      </c>
      <c r="W49" s="15"/>
      <c r="X49" s="69"/>
      <c r="Y49" s="203"/>
      <c r="Z49" s="69">
        <f t="shared" si="4"/>
        <v>0</v>
      </c>
      <c r="AA49" s="70"/>
      <c r="AB49" s="71"/>
      <c r="AC49" s="105">
        <f t="shared" si="8"/>
        <v>150</v>
      </c>
      <c r="AE49" s="122"/>
      <c r="AF49" s="83">
        <f t="shared" si="5"/>
        <v>7</v>
      </c>
      <c r="AG49" s="15"/>
      <c r="AH49" s="69"/>
      <c r="AI49" s="203"/>
      <c r="AJ49" s="69">
        <f t="shared" si="11"/>
        <v>0</v>
      </c>
      <c r="AK49" s="70"/>
      <c r="AL49" s="71"/>
      <c r="AM49" s="105">
        <f t="shared" si="9"/>
        <v>70</v>
      </c>
    </row>
    <row r="50" spans="1:39" x14ac:dyDescent="0.25">
      <c r="A50" s="122"/>
      <c r="B50" s="83">
        <f t="shared" si="0"/>
        <v>2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6"/>
        <v>20</v>
      </c>
      <c r="K50" s="122"/>
      <c r="L50" s="83">
        <f t="shared" si="2"/>
        <v>0</v>
      </c>
      <c r="M50" s="15"/>
      <c r="N50" s="69"/>
      <c r="O50" s="203"/>
      <c r="P50" s="69">
        <f t="shared" si="10"/>
        <v>0</v>
      </c>
      <c r="Q50" s="70"/>
      <c r="R50" s="71"/>
      <c r="S50" s="105">
        <f t="shared" si="7"/>
        <v>0</v>
      </c>
      <c r="U50" s="122"/>
      <c r="V50" s="83">
        <f t="shared" si="3"/>
        <v>15</v>
      </c>
      <c r="W50" s="15"/>
      <c r="X50" s="69"/>
      <c r="Y50" s="203"/>
      <c r="Z50" s="69">
        <f t="shared" si="4"/>
        <v>0</v>
      </c>
      <c r="AA50" s="70"/>
      <c r="AB50" s="71"/>
      <c r="AC50" s="105">
        <f t="shared" si="8"/>
        <v>150</v>
      </c>
      <c r="AE50" s="122"/>
      <c r="AF50" s="83">
        <f t="shared" si="5"/>
        <v>7</v>
      </c>
      <c r="AG50" s="15"/>
      <c r="AH50" s="69"/>
      <c r="AI50" s="203"/>
      <c r="AJ50" s="69">
        <f t="shared" si="11"/>
        <v>0</v>
      </c>
      <c r="AK50" s="70"/>
      <c r="AL50" s="71"/>
      <c r="AM50" s="105">
        <f t="shared" si="9"/>
        <v>70</v>
      </c>
    </row>
    <row r="51" spans="1:39" x14ac:dyDescent="0.25">
      <c r="A51" s="122"/>
      <c r="B51" s="83">
        <f t="shared" si="0"/>
        <v>2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6"/>
        <v>20</v>
      </c>
      <c r="K51" s="122"/>
      <c r="L51" s="83">
        <f t="shared" si="2"/>
        <v>0</v>
      </c>
      <c r="M51" s="15"/>
      <c r="N51" s="69"/>
      <c r="O51" s="203"/>
      <c r="P51" s="69">
        <f t="shared" si="10"/>
        <v>0</v>
      </c>
      <c r="Q51" s="70"/>
      <c r="R51" s="71"/>
      <c r="S51" s="105">
        <f t="shared" si="7"/>
        <v>0</v>
      </c>
      <c r="U51" s="122"/>
      <c r="V51" s="83">
        <f t="shared" si="3"/>
        <v>15</v>
      </c>
      <c r="W51" s="15"/>
      <c r="X51" s="69"/>
      <c r="Y51" s="203"/>
      <c r="Z51" s="69">
        <f t="shared" si="4"/>
        <v>0</v>
      </c>
      <c r="AA51" s="70"/>
      <c r="AB51" s="71"/>
      <c r="AC51" s="105">
        <f t="shared" si="8"/>
        <v>150</v>
      </c>
      <c r="AE51" s="122"/>
      <c r="AF51" s="83">
        <f t="shared" si="5"/>
        <v>7</v>
      </c>
      <c r="AG51" s="15"/>
      <c r="AH51" s="69"/>
      <c r="AI51" s="203"/>
      <c r="AJ51" s="69">
        <f t="shared" si="11"/>
        <v>0</v>
      </c>
      <c r="AK51" s="70"/>
      <c r="AL51" s="71"/>
      <c r="AM51" s="105">
        <f t="shared" si="9"/>
        <v>70</v>
      </c>
    </row>
    <row r="52" spans="1:39" x14ac:dyDescent="0.25">
      <c r="A52" s="122"/>
      <c r="B52" s="83">
        <f t="shared" si="0"/>
        <v>2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6"/>
        <v>20</v>
      </c>
      <c r="K52" s="122"/>
      <c r="L52" s="83">
        <f t="shared" si="2"/>
        <v>0</v>
      </c>
      <c r="M52" s="15"/>
      <c r="N52" s="69"/>
      <c r="O52" s="203"/>
      <c r="P52" s="69">
        <f t="shared" si="10"/>
        <v>0</v>
      </c>
      <c r="Q52" s="70"/>
      <c r="R52" s="71"/>
      <c r="S52" s="105">
        <f t="shared" si="7"/>
        <v>0</v>
      </c>
      <c r="U52" s="122"/>
      <c r="V52" s="83">
        <f t="shared" si="3"/>
        <v>15</v>
      </c>
      <c r="W52" s="15"/>
      <c r="X52" s="69"/>
      <c r="Y52" s="203"/>
      <c r="Z52" s="69">
        <f t="shared" si="4"/>
        <v>0</v>
      </c>
      <c r="AA52" s="70"/>
      <c r="AB52" s="71"/>
      <c r="AC52" s="105">
        <f t="shared" si="8"/>
        <v>150</v>
      </c>
      <c r="AE52" s="122"/>
      <c r="AF52" s="83">
        <f t="shared" si="5"/>
        <v>7</v>
      </c>
      <c r="AG52" s="15"/>
      <c r="AH52" s="69"/>
      <c r="AI52" s="203"/>
      <c r="AJ52" s="69">
        <f t="shared" si="11"/>
        <v>0</v>
      </c>
      <c r="AK52" s="70"/>
      <c r="AL52" s="71"/>
      <c r="AM52" s="105">
        <f t="shared" si="9"/>
        <v>70</v>
      </c>
    </row>
    <row r="53" spans="1:39" x14ac:dyDescent="0.25">
      <c r="A53" s="122"/>
      <c r="B53" s="83">
        <f t="shared" si="0"/>
        <v>2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6"/>
        <v>20</v>
      </c>
      <c r="K53" s="122"/>
      <c r="L53" s="83">
        <f t="shared" si="2"/>
        <v>0</v>
      </c>
      <c r="M53" s="15"/>
      <c r="N53" s="69"/>
      <c r="O53" s="203"/>
      <c r="P53" s="69">
        <f t="shared" si="10"/>
        <v>0</v>
      </c>
      <c r="Q53" s="70"/>
      <c r="R53" s="71"/>
      <c r="S53" s="105">
        <f t="shared" si="7"/>
        <v>0</v>
      </c>
      <c r="U53" s="122"/>
      <c r="V53" s="83">
        <f t="shared" si="3"/>
        <v>15</v>
      </c>
      <c r="W53" s="15"/>
      <c r="X53" s="69"/>
      <c r="Y53" s="203"/>
      <c r="Z53" s="69">
        <f t="shared" si="4"/>
        <v>0</v>
      </c>
      <c r="AA53" s="70"/>
      <c r="AB53" s="71"/>
      <c r="AC53" s="105">
        <f t="shared" si="8"/>
        <v>150</v>
      </c>
      <c r="AE53" s="122"/>
      <c r="AF53" s="83">
        <f t="shared" si="5"/>
        <v>7</v>
      </c>
      <c r="AG53" s="15"/>
      <c r="AH53" s="69"/>
      <c r="AI53" s="203"/>
      <c r="AJ53" s="69">
        <f t="shared" si="11"/>
        <v>0</v>
      </c>
      <c r="AK53" s="70"/>
      <c r="AL53" s="71"/>
      <c r="AM53" s="105">
        <f t="shared" si="9"/>
        <v>70</v>
      </c>
    </row>
    <row r="54" spans="1:39" x14ac:dyDescent="0.25">
      <c r="A54" s="122"/>
      <c r="B54" s="83">
        <f t="shared" si="0"/>
        <v>2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6"/>
        <v>20</v>
      </c>
      <c r="K54" s="122"/>
      <c r="L54" s="83">
        <f t="shared" si="2"/>
        <v>0</v>
      </c>
      <c r="M54" s="15"/>
      <c r="N54" s="69"/>
      <c r="O54" s="203"/>
      <c r="P54" s="69">
        <f t="shared" si="10"/>
        <v>0</v>
      </c>
      <c r="Q54" s="70"/>
      <c r="R54" s="71"/>
      <c r="S54" s="105">
        <f t="shared" si="7"/>
        <v>0</v>
      </c>
      <c r="U54" s="122"/>
      <c r="V54" s="83">
        <f t="shared" si="3"/>
        <v>15</v>
      </c>
      <c r="W54" s="15"/>
      <c r="X54" s="69"/>
      <c r="Y54" s="203"/>
      <c r="Z54" s="69">
        <f t="shared" si="4"/>
        <v>0</v>
      </c>
      <c r="AA54" s="70"/>
      <c r="AB54" s="71"/>
      <c r="AC54" s="105">
        <f t="shared" si="8"/>
        <v>150</v>
      </c>
      <c r="AE54" s="122"/>
      <c r="AF54" s="83">
        <f t="shared" si="5"/>
        <v>7</v>
      </c>
      <c r="AG54" s="15"/>
      <c r="AH54" s="69"/>
      <c r="AI54" s="203"/>
      <c r="AJ54" s="69">
        <f t="shared" si="11"/>
        <v>0</v>
      </c>
      <c r="AK54" s="70"/>
      <c r="AL54" s="71"/>
      <c r="AM54" s="105">
        <f t="shared" si="9"/>
        <v>70</v>
      </c>
    </row>
    <row r="55" spans="1:39" x14ac:dyDescent="0.25">
      <c r="A55" s="122"/>
      <c r="B55" s="12">
        <f t="shared" si="0"/>
        <v>2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6"/>
        <v>20</v>
      </c>
      <c r="K55" s="122"/>
      <c r="L55" s="12">
        <f t="shared" si="2"/>
        <v>0</v>
      </c>
      <c r="M55" s="15"/>
      <c r="N55" s="69"/>
      <c r="O55" s="203"/>
      <c r="P55" s="69">
        <f t="shared" si="10"/>
        <v>0</v>
      </c>
      <c r="Q55" s="70"/>
      <c r="R55" s="71"/>
      <c r="S55" s="105">
        <f t="shared" si="7"/>
        <v>0</v>
      </c>
      <c r="U55" s="122"/>
      <c r="V55" s="12">
        <f t="shared" si="3"/>
        <v>15</v>
      </c>
      <c r="W55" s="15"/>
      <c r="X55" s="69"/>
      <c r="Y55" s="203"/>
      <c r="Z55" s="69">
        <f t="shared" si="4"/>
        <v>0</v>
      </c>
      <c r="AA55" s="70"/>
      <c r="AB55" s="71"/>
      <c r="AC55" s="105">
        <f t="shared" si="8"/>
        <v>150</v>
      </c>
      <c r="AE55" s="122"/>
      <c r="AF55" s="12">
        <f t="shared" si="5"/>
        <v>7</v>
      </c>
      <c r="AG55" s="15"/>
      <c r="AH55" s="69"/>
      <c r="AI55" s="203"/>
      <c r="AJ55" s="69">
        <f t="shared" si="11"/>
        <v>0</v>
      </c>
      <c r="AK55" s="70"/>
      <c r="AL55" s="71"/>
      <c r="AM55" s="105">
        <f t="shared" si="9"/>
        <v>70</v>
      </c>
    </row>
    <row r="56" spans="1:39" x14ac:dyDescent="0.25">
      <c r="A56" s="122"/>
      <c r="B56" s="12">
        <f t="shared" si="0"/>
        <v>2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6"/>
        <v>20</v>
      </c>
      <c r="K56" s="122"/>
      <c r="L56" s="12">
        <f t="shared" si="2"/>
        <v>0</v>
      </c>
      <c r="M56" s="15"/>
      <c r="N56" s="69"/>
      <c r="O56" s="203"/>
      <c r="P56" s="69">
        <f t="shared" si="10"/>
        <v>0</v>
      </c>
      <c r="Q56" s="70"/>
      <c r="R56" s="71"/>
      <c r="S56" s="105">
        <f t="shared" si="7"/>
        <v>0</v>
      </c>
      <c r="U56" s="122"/>
      <c r="V56" s="12">
        <f t="shared" si="3"/>
        <v>15</v>
      </c>
      <c r="W56" s="15"/>
      <c r="X56" s="69"/>
      <c r="Y56" s="203"/>
      <c r="Z56" s="69">
        <f t="shared" si="4"/>
        <v>0</v>
      </c>
      <c r="AA56" s="70"/>
      <c r="AB56" s="71"/>
      <c r="AC56" s="105">
        <f t="shared" si="8"/>
        <v>150</v>
      </c>
      <c r="AE56" s="122"/>
      <c r="AF56" s="12">
        <f t="shared" si="5"/>
        <v>7</v>
      </c>
      <c r="AG56" s="15"/>
      <c r="AH56" s="69"/>
      <c r="AI56" s="203"/>
      <c r="AJ56" s="69">
        <f t="shared" si="11"/>
        <v>0</v>
      </c>
      <c r="AK56" s="70"/>
      <c r="AL56" s="71"/>
      <c r="AM56" s="105">
        <f t="shared" si="9"/>
        <v>70</v>
      </c>
    </row>
    <row r="57" spans="1:39" x14ac:dyDescent="0.25">
      <c r="A57" s="122"/>
      <c r="B57" s="12">
        <f t="shared" si="0"/>
        <v>2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6"/>
        <v>20</v>
      </c>
      <c r="K57" s="122"/>
      <c r="L57" s="12">
        <f t="shared" si="2"/>
        <v>0</v>
      </c>
      <c r="M57" s="15"/>
      <c r="N57" s="69"/>
      <c r="O57" s="203"/>
      <c r="P57" s="69">
        <f t="shared" si="10"/>
        <v>0</v>
      </c>
      <c r="Q57" s="70"/>
      <c r="R57" s="71"/>
      <c r="S57" s="105">
        <f t="shared" si="7"/>
        <v>0</v>
      </c>
      <c r="U57" s="122"/>
      <c r="V57" s="12">
        <f t="shared" si="3"/>
        <v>15</v>
      </c>
      <c r="W57" s="15"/>
      <c r="X57" s="69"/>
      <c r="Y57" s="203"/>
      <c r="Z57" s="69">
        <f t="shared" si="4"/>
        <v>0</v>
      </c>
      <c r="AA57" s="70"/>
      <c r="AB57" s="71"/>
      <c r="AC57" s="105">
        <f t="shared" si="8"/>
        <v>150</v>
      </c>
      <c r="AE57" s="122"/>
      <c r="AF57" s="12">
        <f t="shared" si="5"/>
        <v>7</v>
      </c>
      <c r="AG57" s="15"/>
      <c r="AH57" s="69"/>
      <c r="AI57" s="203"/>
      <c r="AJ57" s="69">
        <f t="shared" si="11"/>
        <v>0</v>
      </c>
      <c r="AK57" s="70"/>
      <c r="AL57" s="71"/>
      <c r="AM57" s="105">
        <f t="shared" si="9"/>
        <v>70</v>
      </c>
    </row>
    <row r="58" spans="1:39" x14ac:dyDescent="0.25">
      <c r="A58" s="122"/>
      <c r="B58" s="12">
        <f t="shared" si="0"/>
        <v>2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6"/>
        <v>20</v>
      </c>
      <c r="K58" s="122"/>
      <c r="L58" s="12">
        <f t="shared" si="2"/>
        <v>0</v>
      </c>
      <c r="M58" s="15"/>
      <c r="N58" s="69"/>
      <c r="O58" s="203"/>
      <c r="P58" s="69">
        <f t="shared" si="10"/>
        <v>0</v>
      </c>
      <c r="Q58" s="70"/>
      <c r="R58" s="71"/>
      <c r="S58" s="105">
        <f t="shared" si="7"/>
        <v>0</v>
      </c>
      <c r="U58" s="122"/>
      <c r="V58" s="12">
        <f t="shared" si="3"/>
        <v>15</v>
      </c>
      <c r="W58" s="15"/>
      <c r="X58" s="69"/>
      <c r="Y58" s="203"/>
      <c r="Z58" s="69">
        <f t="shared" si="4"/>
        <v>0</v>
      </c>
      <c r="AA58" s="70"/>
      <c r="AB58" s="71"/>
      <c r="AC58" s="105">
        <f t="shared" si="8"/>
        <v>150</v>
      </c>
      <c r="AE58" s="122"/>
      <c r="AF58" s="12">
        <f t="shared" si="5"/>
        <v>7</v>
      </c>
      <c r="AG58" s="15"/>
      <c r="AH58" s="69"/>
      <c r="AI58" s="203"/>
      <c r="AJ58" s="69">
        <f t="shared" si="11"/>
        <v>0</v>
      </c>
      <c r="AK58" s="70"/>
      <c r="AL58" s="71"/>
      <c r="AM58" s="105">
        <f t="shared" si="9"/>
        <v>70</v>
      </c>
    </row>
    <row r="59" spans="1:39" x14ac:dyDescent="0.25">
      <c r="A59" s="122"/>
      <c r="B59" s="12">
        <f t="shared" si="0"/>
        <v>2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6"/>
        <v>20</v>
      </c>
      <c r="K59" s="122"/>
      <c r="L59" s="12">
        <f t="shared" si="2"/>
        <v>0</v>
      </c>
      <c r="M59" s="15"/>
      <c r="N59" s="69"/>
      <c r="O59" s="203"/>
      <c r="P59" s="69">
        <f t="shared" si="10"/>
        <v>0</v>
      </c>
      <c r="Q59" s="70"/>
      <c r="R59" s="71"/>
      <c r="S59" s="105">
        <f t="shared" si="7"/>
        <v>0</v>
      </c>
      <c r="U59" s="122"/>
      <c r="V59" s="12">
        <f t="shared" si="3"/>
        <v>15</v>
      </c>
      <c r="W59" s="15"/>
      <c r="X59" s="69"/>
      <c r="Y59" s="203"/>
      <c r="Z59" s="69">
        <f t="shared" si="4"/>
        <v>0</v>
      </c>
      <c r="AA59" s="70"/>
      <c r="AB59" s="71"/>
      <c r="AC59" s="105">
        <f t="shared" si="8"/>
        <v>150</v>
      </c>
      <c r="AE59" s="122"/>
      <c r="AF59" s="12">
        <f t="shared" si="5"/>
        <v>7</v>
      </c>
      <c r="AG59" s="15"/>
      <c r="AH59" s="69"/>
      <c r="AI59" s="203"/>
      <c r="AJ59" s="69">
        <f t="shared" si="11"/>
        <v>0</v>
      </c>
      <c r="AK59" s="70"/>
      <c r="AL59" s="71"/>
      <c r="AM59" s="105">
        <f t="shared" si="9"/>
        <v>70</v>
      </c>
    </row>
    <row r="60" spans="1:39" x14ac:dyDescent="0.25">
      <c r="A60" s="122"/>
      <c r="B60" s="12">
        <f t="shared" si="0"/>
        <v>2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6"/>
        <v>20</v>
      </c>
      <c r="K60" s="122"/>
      <c r="L60" s="12">
        <f t="shared" si="2"/>
        <v>0</v>
      </c>
      <c r="M60" s="15"/>
      <c r="N60" s="69"/>
      <c r="O60" s="203"/>
      <c r="P60" s="69">
        <f t="shared" si="10"/>
        <v>0</v>
      </c>
      <c r="Q60" s="70"/>
      <c r="R60" s="71"/>
      <c r="S60" s="105">
        <f t="shared" si="7"/>
        <v>0</v>
      </c>
      <c r="U60" s="122"/>
      <c r="V60" s="12">
        <f t="shared" si="3"/>
        <v>15</v>
      </c>
      <c r="W60" s="15"/>
      <c r="X60" s="69"/>
      <c r="Y60" s="203"/>
      <c r="Z60" s="69">
        <f t="shared" si="4"/>
        <v>0</v>
      </c>
      <c r="AA60" s="70"/>
      <c r="AB60" s="71"/>
      <c r="AC60" s="105">
        <f t="shared" si="8"/>
        <v>150</v>
      </c>
      <c r="AE60" s="122"/>
      <c r="AF60" s="12">
        <f t="shared" si="5"/>
        <v>7</v>
      </c>
      <c r="AG60" s="15"/>
      <c r="AH60" s="69"/>
      <c r="AI60" s="203"/>
      <c r="AJ60" s="69">
        <f t="shared" si="11"/>
        <v>0</v>
      </c>
      <c r="AK60" s="70"/>
      <c r="AL60" s="71"/>
      <c r="AM60" s="105">
        <f t="shared" si="9"/>
        <v>70</v>
      </c>
    </row>
    <row r="61" spans="1:39" x14ac:dyDescent="0.25">
      <c r="A61" s="122"/>
      <c r="B61" s="12">
        <f t="shared" si="0"/>
        <v>2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6"/>
        <v>20</v>
      </c>
      <c r="K61" s="122"/>
      <c r="L61" s="12">
        <f t="shared" si="2"/>
        <v>0</v>
      </c>
      <c r="M61" s="15"/>
      <c r="N61" s="69"/>
      <c r="O61" s="203"/>
      <c r="P61" s="69">
        <f t="shared" si="10"/>
        <v>0</v>
      </c>
      <c r="Q61" s="70"/>
      <c r="R61" s="71"/>
      <c r="S61" s="105">
        <f t="shared" si="7"/>
        <v>0</v>
      </c>
      <c r="U61" s="122"/>
      <c r="V61" s="12">
        <f t="shared" si="3"/>
        <v>15</v>
      </c>
      <c r="W61" s="15"/>
      <c r="X61" s="69"/>
      <c r="Y61" s="203"/>
      <c r="Z61" s="69">
        <f t="shared" si="4"/>
        <v>0</v>
      </c>
      <c r="AA61" s="70"/>
      <c r="AB61" s="71"/>
      <c r="AC61" s="105">
        <f t="shared" si="8"/>
        <v>150</v>
      </c>
      <c r="AE61" s="122"/>
      <c r="AF61" s="12">
        <f t="shared" si="5"/>
        <v>7</v>
      </c>
      <c r="AG61" s="15"/>
      <c r="AH61" s="69"/>
      <c r="AI61" s="203"/>
      <c r="AJ61" s="69">
        <f t="shared" si="11"/>
        <v>0</v>
      </c>
      <c r="AK61" s="70"/>
      <c r="AL61" s="71"/>
      <c r="AM61" s="105">
        <f t="shared" si="9"/>
        <v>70</v>
      </c>
    </row>
    <row r="62" spans="1:39" x14ac:dyDescent="0.25">
      <c r="A62" s="122"/>
      <c r="B62" s="12">
        <f t="shared" si="0"/>
        <v>2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6"/>
        <v>20</v>
      </c>
      <c r="K62" s="122"/>
      <c r="L62" s="12">
        <f t="shared" si="2"/>
        <v>0</v>
      </c>
      <c r="M62" s="15"/>
      <c r="N62" s="69"/>
      <c r="O62" s="203"/>
      <c r="P62" s="69">
        <f t="shared" si="10"/>
        <v>0</v>
      </c>
      <c r="Q62" s="70"/>
      <c r="R62" s="71"/>
      <c r="S62" s="105">
        <f t="shared" si="7"/>
        <v>0</v>
      </c>
      <c r="U62" s="122"/>
      <c r="V62" s="12">
        <f t="shared" si="3"/>
        <v>15</v>
      </c>
      <c r="W62" s="15"/>
      <c r="X62" s="69"/>
      <c r="Y62" s="203"/>
      <c r="Z62" s="69">
        <f t="shared" si="4"/>
        <v>0</v>
      </c>
      <c r="AA62" s="70"/>
      <c r="AB62" s="71"/>
      <c r="AC62" s="105">
        <f t="shared" si="8"/>
        <v>150</v>
      </c>
      <c r="AE62" s="122"/>
      <c r="AF62" s="12">
        <f t="shared" si="5"/>
        <v>7</v>
      </c>
      <c r="AG62" s="15"/>
      <c r="AH62" s="69"/>
      <c r="AI62" s="203"/>
      <c r="AJ62" s="69">
        <f t="shared" si="11"/>
        <v>0</v>
      </c>
      <c r="AK62" s="70"/>
      <c r="AL62" s="71"/>
      <c r="AM62" s="105">
        <f t="shared" si="9"/>
        <v>70</v>
      </c>
    </row>
    <row r="63" spans="1:39" x14ac:dyDescent="0.25">
      <c r="A63" s="122"/>
      <c r="B63" s="12">
        <f t="shared" si="0"/>
        <v>2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6"/>
        <v>20</v>
      </c>
      <c r="K63" s="122"/>
      <c r="L63" s="12">
        <f t="shared" si="2"/>
        <v>0</v>
      </c>
      <c r="M63" s="15"/>
      <c r="N63" s="69"/>
      <c r="O63" s="203"/>
      <c r="P63" s="69">
        <f t="shared" si="10"/>
        <v>0</v>
      </c>
      <c r="Q63" s="70"/>
      <c r="R63" s="71"/>
      <c r="S63" s="105">
        <f t="shared" si="7"/>
        <v>0</v>
      </c>
      <c r="U63" s="122"/>
      <c r="V63" s="12">
        <f t="shared" si="3"/>
        <v>15</v>
      </c>
      <c r="W63" s="15"/>
      <c r="X63" s="69"/>
      <c r="Y63" s="203"/>
      <c r="Z63" s="69">
        <f t="shared" si="4"/>
        <v>0</v>
      </c>
      <c r="AA63" s="70"/>
      <c r="AB63" s="71"/>
      <c r="AC63" s="105">
        <f t="shared" si="8"/>
        <v>150</v>
      </c>
      <c r="AE63" s="122"/>
      <c r="AF63" s="12">
        <f t="shared" si="5"/>
        <v>7</v>
      </c>
      <c r="AG63" s="15"/>
      <c r="AH63" s="69"/>
      <c r="AI63" s="203"/>
      <c r="AJ63" s="69">
        <f t="shared" si="11"/>
        <v>0</v>
      </c>
      <c r="AK63" s="70"/>
      <c r="AL63" s="71"/>
      <c r="AM63" s="105">
        <f t="shared" si="9"/>
        <v>70</v>
      </c>
    </row>
    <row r="64" spans="1:39" x14ac:dyDescent="0.25">
      <c r="A64" s="122"/>
      <c r="B64" s="12">
        <f t="shared" si="0"/>
        <v>2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6"/>
        <v>20</v>
      </c>
      <c r="K64" s="122"/>
      <c r="L64" s="12">
        <f t="shared" si="2"/>
        <v>0</v>
      </c>
      <c r="M64" s="15"/>
      <c r="N64" s="69"/>
      <c r="O64" s="203"/>
      <c r="P64" s="69">
        <f t="shared" si="10"/>
        <v>0</v>
      </c>
      <c r="Q64" s="70"/>
      <c r="R64" s="71"/>
      <c r="S64" s="105">
        <f t="shared" si="7"/>
        <v>0</v>
      </c>
      <c r="U64" s="122"/>
      <c r="V64" s="12">
        <f t="shared" si="3"/>
        <v>15</v>
      </c>
      <c r="W64" s="15"/>
      <c r="X64" s="69"/>
      <c r="Y64" s="203"/>
      <c r="Z64" s="69">
        <f t="shared" si="4"/>
        <v>0</v>
      </c>
      <c r="AA64" s="70"/>
      <c r="AB64" s="71"/>
      <c r="AC64" s="105">
        <f t="shared" si="8"/>
        <v>150</v>
      </c>
      <c r="AE64" s="122"/>
      <c r="AF64" s="12">
        <f t="shared" si="5"/>
        <v>7</v>
      </c>
      <c r="AG64" s="15"/>
      <c r="AH64" s="69"/>
      <c r="AI64" s="203"/>
      <c r="AJ64" s="69">
        <f t="shared" si="11"/>
        <v>0</v>
      </c>
      <c r="AK64" s="70"/>
      <c r="AL64" s="71"/>
      <c r="AM64" s="105">
        <f t="shared" si="9"/>
        <v>70</v>
      </c>
    </row>
    <row r="65" spans="1:39" x14ac:dyDescent="0.25">
      <c r="A65" s="122"/>
      <c r="B65" s="12">
        <f t="shared" si="0"/>
        <v>2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6"/>
        <v>20</v>
      </c>
      <c r="K65" s="122"/>
      <c r="L65" s="12">
        <f t="shared" si="2"/>
        <v>0</v>
      </c>
      <c r="M65" s="15"/>
      <c r="N65" s="69"/>
      <c r="O65" s="203"/>
      <c r="P65" s="69">
        <f t="shared" si="10"/>
        <v>0</v>
      </c>
      <c r="Q65" s="70"/>
      <c r="R65" s="71"/>
      <c r="S65" s="105">
        <f t="shared" si="7"/>
        <v>0</v>
      </c>
      <c r="U65" s="122"/>
      <c r="V65" s="12">
        <f t="shared" si="3"/>
        <v>15</v>
      </c>
      <c r="W65" s="15"/>
      <c r="X65" s="69"/>
      <c r="Y65" s="203"/>
      <c r="Z65" s="69">
        <f t="shared" si="4"/>
        <v>0</v>
      </c>
      <c r="AA65" s="70"/>
      <c r="AB65" s="71"/>
      <c r="AC65" s="105">
        <f t="shared" si="8"/>
        <v>150</v>
      </c>
      <c r="AE65" s="122"/>
      <c r="AF65" s="12">
        <f t="shared" si="5"/>
        <v>7</v>
      </c>
      <c r="AG65" s="15"/>
      <c r="AH65" s="69"/>
      <c r="AI65" s="203"/>
      <c r="AJ65" s="69">
        <f t="shared" si="11"/>
        <v>0</v>
      </c>
      <c r="AK65" s="70"/>
      <c r="AL65" s="71"/>
      <c r="AM65" s="105">
        <f t="shared" si="9"/>
        <v>70</v>
      </c>
    </row>
    <row r="66" spans="1:39" x14ac:dyDescent="0.25">
      <c r="A66" s="122"/>
      <c r="B66" s="12">
        <f t="shared" si="0"/>
        <v>2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6"/>
        <v>20</v>
      </c>
      <c r="K66" s="122"/>
      <c r="L66" s="12">
        <f t="shared" si="2"/>
        <v>0</v>
      </c>
      <c r="M66" s="15"/>
      <c r="N66" s="69"/>
      <c r="O66" s="203"/>
      <c r="P66" s="69">
        <f t="shared" si="10"/>
        <v>0</v>
      </c>
      <c r="Q66" s="70"/>
      <c r="R66" s="71"/>
      <c r="S66" s="105">
        <f t="shared" si="7"/>
        <v>0</v>
      </c>
      <c r="U66" s="122"/>
      <c r="V66" s="12">
        <f t="shared" si="3"/>
        <v>15</v>
      </c>
      <c r="W66" s="15"/>
      <c r="X66" s="69"/>
      <c r="Y66" s="203"/>
      <c r="Z66" s="69">
        <f t="shared" si="4"/>
        <v>0</v>
      </c>
      <c r="AA66" s="70"/>
      <c r="AB66" s="71"/>
      <c r="AC66" s="105">
        <f t="shared" si="8"/>
        <v>150</v>
      </c>
      <c r="AE66" s="122"/>
      <c r="AF66" s="12">
        <f t="shared" si="5"/>
        <v>7</v>
      </c>
      <c r="AG66" s="15"/>
      <c r="AH66" s="69"/>
      <c r="AI66" s="203"/>
      <c r="AJ66" s="69">
        <f t="shared" si="11"/>
        <v>0</v>
      </c>
      <c r="AK66" s="70"/>
      <c r="AL66" s="71"/>
      <c r="AM66" s="105">
        <f t="shared" si="9"/>
        <v>70</v>
      </c>
    </row>
    <row r="67" spans="1:39" x14ac:dyDescent="0.25">
      <c r="A67" s="122"/>
      <c r="B67" s="12">
        <f t="shared" si="0"/>
        <v>2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6"/>
        <v>20</v>
      </c>
      <c r="K67" s="122"/>
      <c r="L67" s="12">
        <f t="shared" si="2"/>
        <v>0</v>
      </c>
      <c r="M67" s="15"/>
      <c r="N67" s="69"/>
      <c r="O67" s="203"/>
      <c r="P67" s="69">
        <f t="shared" si="10"/>
        <v>0</v>
      </c>
      <c r="Q67" s="70"/>
      <c r="R67" s="71"/>
      <c r="S67" s="105">
        <f t="shared" si="7"/>
        <v>0</v>
      </c>
      <c r="U67" s="122"/>
      <c r="V67" s="12">
        <f t="shared" si="3"/>
        <v>15</v>
      </c>
      <c r="W67" s="15"/>
      <c r="X67" s="69"/>
      <c r="Y67" s="203"/>
      <c r="Z67" s="69">
        <f t="shared" si="4"/>
        <v>0</v>
      </c>
      <c r="AA67" s="70"/>
      <c r="AB67" s="71"/>
      <c r="AC67" s="105">
        <f t="shared" si="8"/>
        <v>150</v>
      </c>
      <c r="AE67" s="122"/>
      <c r="AF67" s="12">
        <f t="shared" si="5"/>
        <v>7</v>
      </c>
      <c r="AG67" s="15"/>
      <c r="AH67" s="69"/>
      <c r="AI67" s="203"/>
      <c r="AJ67" s="69">
        <f t="shared" si="11"/>
        <v>0</v>
      </c>
      <c r="AK67" s="70"/>
      <c r="AL67" s="71"/>
      <c r="AM67" s="105">
        <f t="shared" si="9"/>
        <v>70</v>
      </c>
    </row>
    <row r="68" spans="1:39" x14ac:dyDescent="0.25">
      <c r="A68" s="122"/>
      <c r="B68" s="12">
        <f t="shared" si="0"/>
        <v>2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6"/>
        <v>20</v>
      </c>
      <c r="K68" s="122"/>
      <c r="L68" s="12">
        <f t="shared" si="2"/>
        <v>0</v>
      </c>
      <c r="M68" s="15"/>
      <c r="N68" s="59"/>
      <c r="O68" s="210"/>
      <c r="P68" s="69">
        <f t="shared" si="10"/>
        <v>0</v>
      </c>
      <c r="Q68" s="70"/>
      <c r="R68" s="71"/>
      <c r="S68" s="105">
        <f t="shared" si="7"/>
        <v>0</v>
      </c>
      <c r="U68" s="122"/>
      <c r="V68" s="12">
        <f t="shared" si="3"/>
        <v>15</v>
      </c>
      <c r="W68" s="15"/>
      <c r="X68" s="59"/>
      <c r="Y68" s="210"/>
      <c r="Z68" s="69">
        <f t="shared" si="4"/>
        <v>0</v>
      </c>
      <c r="AA68" s="70"/>
      <c r="AB68" s="71"/>
      <c r="AC68" s="105">
        <f t="shared" si="8"/>
        <v>150</v>
      </c>
      <c r="AE68" s="122"/>
      <c r="AF68" s="12">
        <f t="shared" si="5"/>
        <v>7</v>
      </c>
      <c r="AG68" s="15"/>
      <c r="AH68" s="59"/>
      <c r="AI68" s="210"/>
      <c r="AJ68" s="69">
        <f t="shared" si="11"/>
        <v>0</v>
      </c>
      <c r="AK68" s="70"/>
      <c r="AL68" s="71"/>
      <c r="AM68" s="105">
        <f t="shared" si="9"/>
        <v>70</v>
      </c>
    </row>
    <row r="69" spans="1:39" x14ac:dyDescent="0.25">
      <c r="A69" s="122"/>
      <c r="B69" s="12">
        <f t="shared" si="0"/>
        <v>2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6"/>
        <v>20</v>
      </c>
      <c r="K69" s="122"/>
      <c r="L69" s="12">
        <f t="shared" si="2"/>
        <v>0</v>
      </c>
      <c r="M69" s="15"/>
      <c r="N69" s="59"/>
      <c r="O69" s="210"/>
      <c r="P69" s="69">
        <f t="shared" si="10"/>
        <v>0</v>
      </c>
      <c r="Q69" s="70"/>
      <c r="R69" s="71"/>
      <c r="S69" s="105">
        <f t="shared" si="7"/>
        <v>0</v>
      </c>
      <c r="U69" s="122"/>
      <c r="V69" s="12">
        <f t="shared" si="3"/>
        <v>15</v>
      </c>
      <c r="W69" s="15"/>
      <c r="X69" s="59"/>
      <c r="Y69" s="210"/>
      <c r="Z69" s="69">
        <f t="shared" si="4"/>
        <v>0</v>
      </c>
      <c r="AA69" s="70"/>
      <c r="AB69" s="71"/>
      <c r="AC69" s="105">
        <f t="shared" si="8"/>
        <v>150</v>
      </c>
      <c r="AE69" s="122"/>
      <c r="AF69" s="12">
        <f t="shared" si="5"/>
        <v>7</v>
      </c>
      <c r="AG69" s="15"/>
      <c r="AH69" s="59"/>
      <c r="AI69" s="210"/>
      <c r="AJ69" s="69">
        <f t="shared" si="11"/>
        <v>0</v>
      </c>
      <c r="AK69" s="70"/>
      <c r="AL69" s="71"/>
      <c r="AM69" s="105">
        <f t="shared" si="9"/>
        <v>70</v>
      </c>
    </row>
    <row r="70" spans="1:39" x14ac:dyDescent="0.25">
      <c r="A70" s="122"/>
      <c r="B70" s="12">
        <f t="shared" si="0"/>
        <v>2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6"/>
        <v>20</v>
      </c>
      <c r="K70" s="122"/>
      <c r="L70" s="12">
        <f t="shared" si="2"/>
        <v>0</v>
      </c>
      <c r="M70" s="15"/>
      <c r="N70" s="59"/>
      <c r="O70" s="210"/>
      <c r="P70" s="69">
        <f t="shared" si="10"/>
        <v>0</v>
      </c>
      <c r="Q70" s="70"/>
      <c r="R70" s="71"/>
      <c r="S70" s="105">
        <f t="shared" si="7"/>
        <v>0</v>
      </c>
      <c r="U70" s="122"/>
      <c r="V70" s="12">
        <f t="shared" si="3"/>
        <v>15</v>
      </c>
      <c r="W70" s="15"/>
      <c r="X70" s="59"/>
      <c r="Y70" s="210"/>
      <c r="Z70" s="69">
        <f t="shared" si="4"/>
        <v>0</v>
      </c>
      <c r="AA70" s="70"/>
      <c r="AB70" s="71"/>
      <c r="AC70" s="105">
        <f t="shared" si="8"/>
        <v>150</v>
      </c>
      <c r="AE70" s="122"/>
      <c r="AF70" s="12">
        <f t="shared" si="5"/>
        <v>7</v>
      </c>
      <c r="AG70" s="15"/>
      <c r="AH70" s="59"/>
      <c r="AI70" s="210"/>
      <c r="AJ70" s="69">
        <f t="shared" si="11"/>
        <v>0</v>
      </c>
      <c r="AK70" s="70"/>
      <c r="AL70" s="71"/>
      <c r="AM70" s="105">
        <f t="shared" si="9"/>
        <v>70</v>
      </c>
    </row>
    <row r="71" spans="1:39" x14ac:dyDescent="0.25">
      <c r="A71" s="122"/>
      <c r="B71" s="12">
        <f t="shared" si="0"/>
        <v>2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6"/>
        <v>20</v>
      </c>
      <c r="K71" s="122"/>
      <c r="L71" s="12">
        <f t="shared" si="2"/>
        <v>0</v>
      </c>
      <c r="M71" s="15"/>
      <c r="N71" s="59"/>
      <c r="O71" s="210"/>
      <c r="P71" s="69">
        <f t="shared" si="10"/>
        <v>0</v>
      </c>
      <c r="Q71" s="70"/>
      <c r="R71" s="71"/>
      <c r="S71" s="105">
        <f t="shared" si="7"/>
        <v>0</v>
      </c>
      <c r="U71" s="122"/>
      <c r="V71" s="12">
        <f t="shared" si="3"/>
        <v>15</v>
      </c>
      <c r="W71" s="15"/>
      <c r="X71" s="59"/>
      <c r="Y71" s="210"/>
      <c r="Z71" s="69">
        <f t="shared" si="4"/>
        <v>0</v>
      </c>
      <c r="AA71" s="70"/>
      <c r="AB71" s="71"/>
      <c r="AC71" s="105">
        <f t="shared" si="8"/>
        <v>150</v>
      </c>
      <c r="AE71" s="122"/>
      <c r="AF71" s="12">
        <f t="shared" si="5"/>
        <v>7</v>
      </c>
      <c r="AG71" s="15"/>
      <c r="AH71" s="59"/>
      <c r="AI71" s="210"/>
      <c r="AJ71" s="69">
        <f t="shared" si="11"/>
        <v>0</v>
      </c>
      <c r="AK71" s="70"/>
      <c r="AL71" s="71"/>
      <c r="AM71" s="105">
        <f t="shared" si="9"/>
        <v>70</v>
      </c>
    </row>
    <row r="72" spans="1:39" x14ac:dyDescent="0.25">
      <c r="A72" s="122"/>
      <c r="B72" s="12">
        <f t="shared" si="0"/>
        <v>2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6"/>
        <v>20</v>
      </c>
      <c r="K72" s="122"/>
      <c r="L72" s="12">
        <f t="shared" si="2"/>
        <v>0</v>
      </c>
      <c r="M72" s="15"/>
      <c r="N72" s="59"/>
      <c r="O72" s="210"/>
      <c r="P72" s="69">
        <f t="shared" si="10"/>
        <v>0</v>
      </c>
      <c r="Q72" s="70"/>
      <c r="R72" s="71"/>
      <c r="S72" s="105">
        <f t="shared" si="7"/>
        <v>0</v>
      </c>
      <c r="U72" s="122"/>
      <c r="V72" s="12">
        <f t="shared" si="3"/>
        <v>15</v>
      </c>
      <c r="W72" s="15"/>
      <c r="X72" s="59"/>
      <c r="Y72" s="210"/>
      <c r="Z72" s="69">
        <f t="shared" si="4"/>
        <v>0</v>
      </c>
      <c r="AA72" s="70"/>
      <c r="AB72" s="71"/>
      <c r="AC72" s="105">
        <f t="shared" si="8"/>
        <v>150</v>
      </c>
      <c r="AE72" s="122"/>
      <c r="AF72" s="12">
        <f t="shared" si="5"/>
        <v>7</v>
      </c>
      <c r="AG72" s="15"/>
      <c r="AH72" s="59"/>
      <c r="AI72" s="210"/>
      <c r="AJ72" s="69">
        <f t="shared" si="11"/>
        <v>0</v>
      </c>
      <c r="AK72" s="70"/>
      <c r="AL72" s="71"/>
      <c r="AM72" s="105">
        <f t="shared" si="9"/>
        <v>70</v>
      </c>
    </row>
    <row r="73" spans="1:39" x14ac:dyDescent="0.25">
      <c r="A73" s="122"/>
      <c r="B73" s="12">
        <f t="shared" si="0"/>
        <v>2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6"/>
        <v>20</v>
      </c>
      <c r="K73" s="122"/>
      <c r="L73" s="12">
        <f t="shared" si="2"/>
        <v>0</v>
      </c>
      <c r="M73" s="15"/>
      <c r="N73" s="59"/>
      <c r="O73" s="210"/>
      <c r="P73" s="69">
        <f t="shared" si="10"/>
        <v>0</v>
      </c>
      <c r="Q73" s="70"/>
      <c r="R73" s="71"/>
      <c r="S73" s="105">
        <f t="shared" si="7"/>
        <v>0</v>
      </c>
      <c r="U73" s="122"/>
      <c r="V73" s="12">
        <f t="shared" si="3"/>
        <v>15</v>
      </c>
      <c r="W73" s="15"/>
      <c r="X73" s="59"/>
      <c r="Y73" s="210"/>
      <c r="Z73" s="69">
        <f t="shared" si="4"/>
        <v>0</v>
      </c>
      <c r="AA73" s="70"/>
      <c r="AB73" s="71"/>
      <c r="AC73" s="105">
        <f t="shared" si="8"/>
        <v>150</v>
      </c>
      <c r="AE73" s="122"/>
      <c r="AF73" s="12">
        <f t="shared" si="5"/>
        <v>7</v>
      </c>
      <c r="AG73" s="15"/>
      <c r="AH73" s="59"/>
      <c r="AI73" s="210"/>
      <c r="AJ73" s="69">
        <f t="shared" si="11"/>
        <v>0</v>
      </c>
      <c r="AK73" s="70"/>
      <c r="AL73" s="71"/>
      <c r="AM73" s="105">
        <f t="shared" si="9"/>
        <v>70</v>
      </c>
    </row>
    <row r="74" spans="1:39" x14ac:dyDescent="0.25">
      <c r="A74" s="122"/>
      <c r="B74" s="12">
        <f t="shared" ref="B74:B75" si="12">B73-C74</f>
        <v>2</v>
      </c>
      <c r="C74" s="15"/>
      <c r="D74" s="59"/>
      <c r="E74" s="210"/>
      <c r="F74" s="69">
        <f t="shared" ref="F74:F76" si="13">D74</f>
        <v>0</v>
      </c>
      <c r="G74" s="70"/>
      <c r="H74" s="71"/>
      <c r="I74" s="105">
        <f t="shared" si="6"/>
        <v>20</v>
      </c>
      <c r="K74" s="122"/>
      <c r="L74" s="12">
        <f t="shared" ref="L74:L75" si="14">L73-M74</f>
        <v>0</v>
      </c>
      <c r="M74" s="15"/>
      <c r="N74" s="59"/>
      <c r="O74" s="210"/>
      <c r="P74" s="69">
        <f t="shared" si="10"/>
        <v>0</v>
      </c>
      <c r="Q74" s="70"/>
      <c r="R74" s="71"/>
      <c r="S74" s="105">
        <f t="shared" si="7"/>
        <v>0</v>
      </c>
      <c r="U74" s="122"/>
      <c r="V74" s="12">
        <f t="shared" ref="V74:V75" si="15">V73-W74</f>
        <v>15</v>
      </c>
      <c r="W74" s="15"/>
      <c r="X74" s="59"/>
      <c r="Y74" s="210"/>
      <c r="Z74" s="69">
        <f t="shared" ref="Z74:Z76" si="16">X74</f>
        <v>0</v>
      </c>
      <c r="AA74" s="70"/>
      <c r="AB74" s="71"/>
      <c r="AC74" s="105">
        <f t="shared" si="8"/>
        <v>150</v>
      </c>
      <c r="AE74" s="122"/>
      <c r="AF74" s="12">
        <f t="shared" ref="AF74:AF75" si="17">AF73-AG74</f>
        <v>7</v>
      </c>
      <c r="AG74" s="15"/>
      <c r="AH74" s="59"/>
      <c r="AI74" s="210"/>
      <c r="AJ74" s="69">
        <f t="shared" si="11"/>
        <v>0</v>
      </c>
      <c r="AK74" s="70"/>
      <c r="AL74" s="71"/>
      <c r="AM74" s="105">
        <f t="shared" si="9"/>
        <v>70</v>
      </c>
    </row>
    <row r="75" spans="1:39" x14ac:dyDescent="0.25">
      <c r="A75" s="122"/>
      <c r="B75" s="12">
        <f t="shared" si="12"/>
        <v>2</v>
      </c>
      <c r="C75" s="15"/>
      <c r="D75" s="59"/>
      <c r="E75" s="210"/>
      <c r="F75" s="69">
        <f t="shared" si="13"/>
        <v>0</v>
      </c>
      <c r="G75" s="70"/>
      <c r="H75" s="71"/>
      <c r="I75" s="105">
        <f t="shared" ref="I75:I76" si="18">I74-F75</f>
        <v>20</v>
      </c>
      <c r="K75" s="122"/>
      <c r="L75" s="12">
        <f t="shared" si="14"/>
        <v>0</v>
      </c>
      <c r="M75" s="15"/>
      <c r="N75" s="59"/>
      <c r="O75" s="210"/>
      <c r="P75" s="69">
        <f t="shared" si="10"/>
        <v>0</v>
      </c>
      <c r="Q75" s="70"/>
      <c r="R75" s="71"/>
      <c r="S75" s="105">
        <f t="shared" ref="S75:S76" si="19">S74-P75</f>
        <v>0</v>
      </c>
      <c r="U75" s="122"/>
      <c r="V75" s="12">
        <f t="shared" si="15"/>
        <v>15</v>
      </c>
      <c r="W75" s="15"/>
      <c r="X75" s="59"/>
      <c r="Y75" s="210"/>
      <c r="Z75" s="69">
        <f t="shared" si="16"/>
        <v>0</v>
      </c>
      <c r="AA75" s="70"/>
      <c r="AB75" s="71"/>
      <c r="AC75" s="105">
        <f t="shared" ref="AC75:AC76" si="20">AC74-Z75</f>
        <v>150</v>
      </c>
      <c r="AE75" s="122"/>
      <c r="AF75" s="12">
        <f t="shared" si="17"/>
        <v>7</v>
      </c>
      <c r="AG75" s="15"/>
      <c r="AH75" s="59"/>
      <c r="AI75" s="210"/>
      <c r="AJ75" s="69">
        <f t="shared" si="11"/>
        <v>0</v>
      </c>
      <c r="AK75" s="70"/>
      <c r="AL75" s="71"/>
      <c r="AM75" s="105">
        <f t="shared" ref="AM75:AM76" si="21">AM74-AJ75</f>
        <v>70</v>
      </c>
    </row>
    <row r="76" spans="1:39" x14ac:dyDescent="0.25">
      <c r="A76" s="122"/>
      <c r="C76" s="15"/>
      <c r="D76" s="59"/>
      <c r="E76" s="210"/>
      <c r="F76" s="69">
        <f t="shared" si="13"/>
        <v>0</v>
      </c>
      <c r="G76" s="70"/>
      <c r="H76" s="71"/>
      <c r="I76" s="105">
        <f t="shared" si="18"/>
        <v>20</v>
      </c>
      <c r="K76" s="122"/>
      <c r="M76" s="15"/>
      <c r="N76" s="59"/>
      <c r="O76" s="210"/>
      <c r="P76" s="69">
        <f t="shared" si="10"/>
        <v>0</v>
      </c>
      <c r="Q76" s="70"/>
      <c r="R76" s="71"/>
      <c r="S76" s="105">
        <f t="shared" si="19"/>
        <v>0</v>
      </c>
      <c r="U76" s="122"/>
      <c r="W76" s="15"/>
      <c r="X76" s="59"/>
      <c r="Y76" s="210"/>
      <c r="Z76" s="69">
        <f t="shared" si="16"/>
        <v>0</v>
      </c>
      <c r="AA76" s="70"/>
      <c r="AB76" s="71"/>
      <c r="AC76" s="105">
        <f t="shared" si="20"/>
        <v>150</v>
      </c>
      <c r="AE76" s="122"/>
      <c r="AG76" s="15"/>
      <c r="AH76" s="59"/>
      <c r="AI76" s="210"/>
      <c r="AJ76" s="69">
        <f t="shared" si="11"/>
        <v>0</v>
      </c>
      <c r="AK76" s="70"/>
      <c r="AL76" s="71"/>
      <c r="AM76" s="105">
        <f t="shared" si="21"/>
        <v>70</v>
      </c>
    </row>
    <row r="77" spans="1:3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  <c r="AE77" s="122"/>
      <c r="AF77" s="16"/>
      <c r="AG77" s="52"/>
      <c r="AH77" s="107"/>
      <c r="AI77" s="197"/>
      <c r="AJ77" s="103"/>
      <c r="AK77" s="104"/>
      <c r="AL77" s="60"/>
    </row>
    <row r="78" spans="1:39" x14ac:dyDescent="0.25">
      <c r="C78" s="53">
        <f>SUM(C9:C77)</f>
        <v>17</v>
      </c>
      <c r="D78" s="6">
        <f>SUM(D9:D77)</f>
        <v>170</v>
      </c>
      <c r="F78" s="6">
        <f>SUM(F9:F77)</f>
        <v>170</v>
      </c>
      <c r="M78" s="53">
        <f>SUM(M9:M77)</f>
        <v>15</v>
      </c>
      <c r="N78" s="6">
        <f>SUM(N9:N77)</f>
        <v>130</v>
      </c>
      <c r="P78" s="6">
        <f>SUM(P9:P77)</f>
        <v>150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10</v>
      </c>
      <c r="AH78" s="6">
        <f>SUM(AH9:AH77)</f>
        <v>100</v>
      </c>
      <c r="AJ78" s="6">
        <f>SUM(AJ9:AJ77)</f>
        <v>100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5</v>
      </c>
    </row>
    <row r="82" spans="3:36" ht="15.75" thickBot="1" x14ac:dyDescent="0.3"/>
    <row r="83" spans="3:36" ht="15.75" thickBot="1" x14ac:dyDescent="0.3">
      <c r="C83" s="1056" t="s">
        <v>11</v>
      </c>
      <c r="D83" s="1057"/>
      <c r="E83" s="57">
        <f>E5+E6-F78+E7</f>
        <v>20</v>
      </c>
      <c r="F83" s="73"/>
      <c r="M83" s="1056" t="s">
        <v>11</v>
      </c>
      <c r="N83" s="1057"/>
      <c r="O83" s="57">
        <f>O5+O6-P78+O7</f>
        <v>0</v>
      </c>
      <c r="P83" s="73"/>
      <c r="W83" s="1056" t="s">
        <v>11</v>
      </c>
      <c r="X83" s="1057"/>
      <c r="Y83" s="57">
        <f>Y5+Y6-Z78+Y7</f>
        <v>150</v>
      </c>
      <c r="Z83" s="73"/>
      <c r="AG83" s="1056" t="s">
        <v>11</v>
      </c>
      <c r="AH83" s="1057"/>
      <c r="AI83" s="57">
        <f>AI5+AI6-AJ78+AI7</f>
        <v>50</v>
      </c>
      <c r="AJ83" s="73"/>
    </row>
  </sheetData>
  <mergeCells count="12">
    <mergeCell ref="K1:Q1"/>
    <mergeCell ref="L5:L6"/>
    <mergeCell ref="M83:N83"/>
    <mergeCell ref="A1:G1"/>
    <mergeCell ref="B5:B6"/>
    <mergeCell ref="C83:D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topLeftCell="A7" workbookViewId="0">
      <selection activeCell="A31" sqref="A3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058" t="s">
        <v>306</v>
      </c>
      <c r="B1" s="1058"/>
      <c r="C1" s="1058"/>
      <c r="D1" s="1058"/>
      <c r="E1" s="1058"/>
      <c r="F1" s="1058"/>
      <c r="G1" s="1058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ht="15" customHeight="1" x14ac:dyDescent="0.25">
      <c r="A5" s="1052" t="s">
        <v>400</v>
      </c>
      <c r="B5" s="1066" t="s">
        <v>104</v>
      </c>
      <c r="C5" s="200">
        <v>47</v>
      </c>
      <c r="D5" s="149">
        <v>44819</v>
      </c>
      <c r="E5" s="132">
        <v>18400.650000000001</v>
      </c>
      <c r="F5" s="73">
        <v>652</v>
      </c>
      <c r="G5" s="132"/>
      <c r="H5" s="138">
        <f>E4+E5-G5+E6+E7</f>
        <v>18400.650000000001</v>
      </c>
    </row>
    <row r="6" spans="1:9" x14ac:dyDescent="0.25">
      <c r="A6" s="1052"/>
      <c r="B6" s="1066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126</v>
      </c>
    </row>
    <row r="9" spans="1:9" ht="15.75" thickTop="1" x14ac:dyDescent="0.25">
      <c r="A9" s="73"/>
      <c r="B9" s="590">
        <f>F5-C9</f>
        <v>651</v>
      </c>
      <c r="C9" s="15">
        <v>1</v>
      </c>
      <c r="D9" s="92">
        <v>28.7</v>
      </c>
      <c r="E9" s="196">
        <v>44821</v>
      </c>
      <c r="F9" s="69">
        <f>D9</f>
        <v>28.7</v>
      </c>
      <c r="G9" s="70" t="s">
        <v>671</v>
      </c>
      <c r="H9" s="71">
        <v>50</v>
      </c>
      <c r="I9" s="616">
        <f>H9*F9</f>
        <v>1435</v>
      </c>
    </row>
    <row r="10" spans="1:9" x14ac:dyDescent="0.25">
      <c r="B10" s="590">
        <f>B9-C10</f>
        <v>627</v>
      </c>
      <c r="C10" s="15">
        <v>24</v>
      </c>
      <c r="D10" s="92">
        <v>667.2</v>
      </c>
      <c r="E10" s="196">
        <v>44823</v>
      </c>
      <c r="F10" s="69">
        <f t="shared" ref="F10:F30" si="0">D10</f>
        <v>667.2</v>
      </c>
      <c r="G10" s="70" t="s">
        <v>677</v>
      </c>
      <c r="H10" s="71">
        <v>50</v>
      </c>
      <c r="I10" s="617">
        <f t="shared" ref="I10:I30" si="1">H10*F10</f>
        <v>33360</v>
      </c>
    </row>
    <row r="11" spans="1:9" x14ac:dyDescent="0.25">
      <c r="A11" s="55" t="s">
        <v>32</v>
      </c>
      <c r="B11" s="590">
        <f t="shared" ref="B11:B30" si="2">B10-C11</f>
        <v>300</v>
      </c>
      <c r="C11" s="15">
        <v>327</v>
      </c>
      <c r="D11" s="92">
        <v>9207.75</v>
      </c>
      <c r="E11" s="196">
        <v>44823</v>
      </c>
      <c r="F11" s="69">
        <f t="shared" si="0"/>
        <v>9207.75</v>
      </c>
      <c r="G11" s="70" t="s">
        <v>679</v>
      </c>
      <c r="H11" s="71">
        <v>47</v>
      </c>
      <c r="I11" s="617">
        <f t="shared" si="1"/>
        <v>432764.25</v>
      </c>
    </row>
    <row r="12" spans="1:9" x14ac:dyDescent="0.25">
      <c r="A12" s="85"/>
      <c r="B12" s="590">
        <f t="shared" si="2"/>
        <v>270</v>
      </c>
      <c r="C12" s="15">
        <v>30</v>
      </c>
      <c r="D12" s="92">
        <v>878.4</v>
      </c>
      <c r="E12" s="196">
        <v>44825</v>
      </c>
      <c r="F12" s="69">
        <f t="shared" si="0"/>
        <v>878.4</v>
      </c>
      <c r="G12" s="70" t="s">
        <v>696</v>
      </c>
      <c r="H12" s="71">
        <v>50</v>
      </c>
      <c r="I12" s="617">
        <f t="shared" si="1"/>
        <v>43920</v>
      </c>
    </row>
    <row r="13" spans="1:9" x14ac:dyDescent="0.25">
      <c r="B13" s="590">
        <f t="shared" si="2"/>
        <v>246</v>
      </c>
      <c r="C13" s="15">
        <v>24</v>
      </c>
      <c r="D13" s="92">
        <v>668.3</v>
      </c>
      <c r="E13" s="196">
        <v>44832</v>
      </c>
      <c r="F13" s="69">
        <f t="shared" si="0"/>
        <v>668.3</v>
      </c>
      <c r="G13" s="70" t="s">
        <v>730</v>
      </c>
      <c r="H13" s="71">
        <v>50</v>
      </c>
      <c r="I13" s="617">
        <f t="shared" si="1"/>
        <v>33415</v>
      </c>
    </row>
    <row r="14" spans="1:9" x14ac:dyDescent="0.25">
      <c r="A14" s="55" t="s">
        <v>33</v>
      </c>
      <c r="B14" s="590">
        <f t="shared" si="2"/>
        <v>246</v>
      </c>
      <c r="C14" s="15"/>
      <c r="D14" s="92"/>
      <c r="E14" s="196"/>
      <c r="F14" s="69">
        <f t="shared" si="0"/>
        <v>0</v>
      </c>
      <c r="G14" s="70"/>
      <c r="H14" s="71"/>
      <c r="I14" s="617">
        <f t="shared" si="1"/>
        <v>0</v>
      </c>
    </row>
    <row r="15" spans="1:9" x14ac:dyDescent="0.25">
      <c r="A15" s="847"/>
      <c r="B15" s="590">
        <f t="shared" si="2"/>
        <v>246</v>
      </c>
      <c r="C15" s="15"/>
      <c r="D15" s="92"/>
      <c r="E15" s="196"/>
      <c r="F15" s="69">
        <f t="shared" si="0"/>
        <v>0</v>
      </c>
      <c r="G15" s="70"/>
      <c r="H15" s="71"/>
      <c r="I15" s="617">
        <f t="shared" si="1"/>
        <v>0</v>
      </c>
    </row>
    <row r="16" spans="1:9" ht="15.75" x14ac:dyDescent="0.25">
      <c r="A16" s="848" t="s">
        <v>413</v>
      </c>
      <c r="B16" s="590">
        <f t="shared" si="2"/>
        <v>246</v>
      </c>
      <c r="C16" s="15"/>
      <c r="D16" s="92"/>
      <c r="E16" s="196"/>
      <c r="F16" s="69">
        <f t="shared" si="0"/>
        <v>0</v>
      </c>
      <c r="G16" s="70"/>
      <c r="H16" s="71"/>
      <c r="I16" s="617">
        <f t="shared" si="1"/>
        <v>0</v>
      </c>
    </row>
    <row r="17" spans="1:9" ht="15.75" x14ac:dyDescent="0.25">
      <c r="A17" s="848" t="s">
        <v>414</v>
      </c>
      <c r="B17" s="590">
        <f t="shared" si="2"/>
        <v>246</v>
      </c>
      <c r="C17" s="15"/>
      <c r="D17" s="92"/>
      <c r="E17" s="196"/>
      <c r="F17" s="69">
        <f t="shared" si="0"/>
        <v>0</v>
      </c>
      <c r="G17" s="70"/>
      <c r="H17" s="71"/>
      <c r="I17" s="617">
        <f t="shared" si="1"/>
        <v>0</v>
      </c>
    </row>
    <row r="18" spans="1:9" ht="15.75" x14ac:dyDescent="0.25">
      <c r="A18" s="848" t="s">
        <v>415</v>
      </c>
      <c r="B18" s="590">
        <f t="shared" si="2"/>
        <v>246</v>
      </c>
      <c r="C18" s="15"/>
      <c r="D18" s="92"/>
      <c r="E18" s="196"/>
      <c r="F18" s="69">
        <f t="shared" si="0"/>
        <v>0</v>
      </c>
      <c r="G18" s="70"/>
      <c r="H18" s="71"/>
      <c r="I18" s="617">
        <f t="shared" si="1"/>
        <v>0</v>
      </c>
    </row>
    <row r="19" spans="1:9" x14ac:dyDescent="0.25">
      <c r="A19" s="847"/>
      <c r="B19" s="590">
        <f t="shared" si="2"/>
        <v>246</v>
      </c>
      <c r="C19" s="15"/>
      <c r="D19" s="92"/>
      <c r="E19" s="196"/>
      <c r="F19" s="69">
        <f t="shared" si="0"/>
        <v>0</v>
      </c>
      <c r="G19" s="70"/>
      <c r="H19" s="71"/>
      <c r="I19" s="617">
        <f t="shared" si="1"/>
        <v>0</v>
      </c>
    </row>
    <row r="20" spans="1:9" x14ac:dyDescent="0.25">
      <c r="A20" s="847"/>
      <c r="B20" s="590">
        <f t="shared" si="2"/>
        <v>246</v>
      </c>
      <c r="C20" s="15"/>
      <c r="D20" s="92"/>
      <c r="E20" s="196"/>
      <c r="F20" s="69">
        <f t="shared" si="0"/>
        <v>0</v>
      </c>
      <c r="G20" s="70"/>
      <c r="H20" s="71"/>
      <c r="I20" s="617">
        <f t="shared" si="1"/>
        <v>0</v>
      </c>
    </row>
    <row r="21" spans="1:9" x14ac:dyDescent="0.25">
      <c r="B21" s="590">
        <f t="shared" si="2"/>
        <v>246</v>
      </c>
      <c r="C21" s="15"/>
      <c r="D21" s="92"/>
      <c r="E21" s="196"/>
      <c r="F21" s="69">
        <f t="shared" si="0"/>
        <v>0</v>
      </c>
      <c r="G21" s="70"/>
      <c r="H21" s="71"/>
      <c r="I21" s="617">
        <f t="shared" si="1"/>
        <v>0</v>
      </c>
    </row>
    <row r="22" spans="1:9" x14ac:dyDescent="0.25">
      <c r="B22" s="590">
        <f t="shared" si="2"/>
        <v>246</v>
      </c>
      <c r="C22" s="15"/>
      <c r="D22" s="92"/>
      <c r="E22" s="196"/>
      <c r="F22" s="69">
        <f t="shared" si="0"/>
        <v>0</v>
      </c>
      <c r="G22" s="70"/>
      <c r="H22" s="71"/>
      <c r="I22" s="617">
        <f t="shared" si="1"/>
        <v>0</v>
      </c>
    </row>
    <row r="23" spans="1:9" x14ac:dyDescent="0.25">
      <c r="B23" s="590">
        <f t="shared" si="2"/>
        <v>246</v>
      </c>
      <c r="C23" s="15"/>
      <c r="D23" s="92"/>
      <c r="E23" s="196"/>
      <c r="F23" s="69">
        <f t="shared" si="0"/>
        <v>0</v>
      </c>
      <c r="G23" s="70"/>
      <c r="H23" s="71"/>
      <c r="I23" s="617">
        <f t="shared" si="1"/>
        <v>0</v>
      </c>
    </row>
    <row r="24" spans="1:9" x14ac:dyDescent="0.25">
      <c r="B24" s="590">
        <f t="shared" si="2"/>
        <v>246</v>
      </c>
      <c r="C24" s="15"/>
      <c r="D24" s="92"/>
      <c r="E24" s="196"/>
      <c r="F24" s="69">
        <f t="shared" si="0"/>
        <v>0</v>
      </c>
      <c r="G24" s="70"/>
      <c r="H24" s="71"/>
      <c r="I24" s="617">
        <f t="shared" si="1"/>
        <v>0</v>
      </c>
    </row>
    <row r="25" spans="1:9" x14ac:dyDescent="0.25">
      <c r="B25" s="590">
        <f t="shared" si="2"/>
        <v>246</v>
      </c>
      <c r="C25" s="15"/>
      <c r="D25" s="92"/>
      <c r="E25" s="196"/>
      <c r="F25" s="69">
        <f t="shared" si="0"/>
        <v>0</v>
      </c>
      <c r="G25" s="70"/>
      <c r="H25" s="71"/>
      <c r="I25" s="617">
        <f t="shared" si="1"/>
        <v>0</v>
      </c>
    </row>
    <row r="26" spans="1:9" x14ac:dyDescent="0.25">
      <c r="B26" s="590">
        <f t="shared" si="2"/>
        <v>246</v>
      </c>
      <c r="C26" s="15"/>
      <c r="D26" s="92"/>
      <c r="E26" s="196"/>
      <c r="F26" s="69">
        <f t="shared" si="0"/>
        <v>0</v>
      </c>
      <c r="G26" s="70"/>
      <c r="H26" s="71"/>
      <c r="I26" s="617">
        <f t="shared" si="1"/>
        <v>0</v>
      </c>
    </row>
    <row r="27" spans="1:9" x14ac:dyDescent="0.25">
      <c r="B27" s="590">
        <f t="shared" si="2"/>
        <v>246</v>
      </c>
      <c r="C27" s="15"/>
      <c r="D27" s="92"/>
      <c r="E27" s="196"/>
      <c r="F27" s="69">
        <f t="shared" si="0"/>
        <v>0</v>
      </c>
      <c r="G27" s="70"/>
      <c r="H27" s="71"/>
      <c r="I27" s="617">
        <f t="shared" si="1"/>
        <v>0</v>
      </c>
    </row>
    <row r="28" spans="1:9" x14ac:dyDescent="0.25">
      <c r="B28" s="590">
        <f t="shared" si="2"/>
        <v>246</v>
      </c>
      <c r="C28" s="15"/>
      <c r="D28" s="69"/>
      <c r="E28" s="196"/>
      <c r="F28" s="69">
        <f t="shared" si="0"/>
        <v>0</v>
      </c>
      <c r="G28" s="70"/>
      <c r="H28" s="71"/>
      <c r="I28" s="617">
        <f t="shared" si="1"/>
        <v>0</v>
      </c>
    </row>
    <row r="29" spans="1:9" ht="15.75" thickBot="1" x14ac:dyDescent="0.3">
      <c r="B29" s="590">
        <f t="shared" si="2"/>
        <v>246</v>
      </c>
      <c r="C29" s="15"/>
      <c r="D29" s="69"/>
      <c r="E29" s="196"/>
      <c r="F29" s="69">
        <f t="shared" si="0"/>
        <v>0</v>
      </c>
      <c r="G29" s="70"/>
      <c r="H29" s="71"/>
      <c r="I29" s="618">
        <f t="shared" si="1"/>
        <v>0</v>
      </c>
    </row>
    <row r="30" spans="1:9" ht="15.75" thickBot="1" x14ac:dyDescent="0.3">
      <c r="B30" s="590">
        <f t="shared" si="2"/>
        <v>246</v>
      </c>
      <c r="C30" s="37"/>
      <c r="D30" s="150">
        <f t="shared" ref="D30" si="3">C30*B30</f>
        <v>0</v>
      </c>
      <c r="E30" s="198"/>
      <c r="F30" s="150">
        <f t="shared" si="0"/>
        <v>0</v>
      </c>
      <c r="G30" s="139"/>
      <c r="H30" s="199"/>
      <c r="I30" s="17">
        <f t="shared" si="1"/>
        <v>0</v>
      </c>
    </row>
    <row r="31" spans="1:9" ht="16.5" thickTop="1" x14ac:dyDescent="0.25">
      <c r="C31" s="15">
        <f>SUM(C9:C30)</f>
        <v>406</v>
      </c>
      <c r="D31" s="517">
        <f>SUM(D9:D30)</f>
        <v>11450.349999999999</v>
      </c>
      <c r="E31" s="13"/>
      <c r="F31" s="69">
        <f>SUM(F9:F30)</f>
        <v>11450.349999999999</v>
      </c>
      <c r="G31" s="31"/>
      <c r="H31" s="17"/>
      <c r="I31" s="619">
        <f>SUM(I9:I30)</f>
        <v>544894.25</v>
      </c>
    </row>
    <row r="32" spans="1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929">
        <f>F4+F5+F6+F7-C31</f>
        <v>246</v>
      </c>
      <c r="E33" s="40"/>
      <c r="F33" s="6"/>
      <c r="G33" s="31"/>
      <c r="H33" s="17"/>
    </row>
    <row r="34" spans="3:8" x14ac:dyDescent="0.25">
      <c r="C34" s="1094" t="s">
        <v>19</v>
      </c>
      <c r="D34" s="1095"/>
      <c r="E34" s="39">
        <f>E4+E5+E6+E7-F31</f>
        <v>6950.3000000000029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74"/>
  <sheetViews>
    <sheetView topLeftCell="K1" workbookViewId="0">
      <pane ySplit="9" topLeftCell="A15" activePane="bottomLeft" state="frozen"/>
      <selection pane="bottomLeft" activeCell="T50" sqref="T50:U6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04" t="s">
        <v>290</v>
      </c>
      <c r="B1" s="1104"/>
      <c r="C1" s="1104"/>
      <c r="D1" s="1104"/>
      <c r="E1" s="1104"/>
      <c r="F1" s="1104"/>
      <c r="G1" s="1104"/>
      <c r="H1" s="1104"/>
      <c r="I1" s="1104"/>
      <c r="J1" s="99">
        <v>1</v>
      </c>
      <c r="L1" s="1107" t="s">
        <v>306</v>
      </c>
      <c r="M1" s="1107"/>
      <c r="N1" s="1107"/>
      <c r="O1" s="1107"/>
      <c r="P1" s="1107"/>
      <c r="Q1" s="1107"/>
      <c r="R1" s="1107"/>
      <c r="S1" s="1107"/>
      <c r="T1" s="1107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584"/>
      <c r="B4" s="584"/>
      <c r="C4" s="237"/>
      <c r="D4" s="638"/>
      <c r="E4" s="639"/>
      <c r="F4" s="242"/>
      <c r="G4" s="73"/>
      <c r="L4" s="584"/>
      <c r="M4" s="584"/>
      <c r="N4" s="237">
        <v>80</v>
      </c>
      <c r="O4" s="337">
        <v>44819</v>
      </c>
      <c r="P4" s="256">
        <v>1299.74</v>
      </c>
      <c r="Q4" s="242">
        <v>48</v>
      </c>
      <c r="R4" s="73"/>
    </row>
    <row r="5" spans="1:21" ht="15" customHeight="1" x14ac:dyDescent="0.25">
      <c r="A5" s="1105" t="s">
        <v>52</v>
      </c>
      <c r="B5" s="1106" t="s">
        <v>90</v>
      </c>
      <c r="C5" s="237">
        <v>82</v>
      </c>
      <c r="D5" s="337">
        <v>44755</v>
      </c>
      <c r="E5" s="256">
        <v>3011.22</v>
      </c>
      <c r="F5" s="242">
        <v>115</v>
      </c>
      <c r="G5" s="147">
        <f>F71</f>
        <v>3854.9099999999994</v>
      </c>
      <c r="H5" s="58">
        <f>E4+E5+E6-G5+E7</f>
        <v>3161.940000000001</v>
      </c>
      <c r="L5" s="1105" t="s">
        <v>52</v>
      </c>
      <c r="M5" s="1106" t="s">
        <v>90</v>
      </c>
      <c r="N5" s="237"/>
      <c r="O5" s="337"/>
      <c r="P5" s="256"/>
      <c r="Q5" s="242"/>
      <c r="R5" s="147">
        <f>Q71</f>
        <v>0</v>
      </c>
      <c r="S5" s="58">
        <f>P4+P5+P6-R5+P7</f>
        <v>1299.74</v>
      </c>
    </row>
    <row r="6" spans="1:21" ht="16.5" customHeight="1" x14ac:dyDescent="0.25">
      <c r="A6" s="1105"/>
      <c r="B6" s="1066"/>
      <c r="C6" s="237">
        <v>85</v>
      </c>
      <c r="D6" s="337">
        <v>44764</v>
      </c>
      <c r="E6" s="256">
        <v>4005.63</v>
      </c>
      <c r="F6" s="242">
        <v>160</v>
      </c>
      <c r="G6" s="73"/>
      <c r="L6" s="1105"/>
      <c r="M6" s="1066"/>
      <c r="N6" s="237"/>
      <c r="O6" s="337"/>
      <c r="P6" s="256"/>
      <c r="Q6" s="242"/>
      <c r="R6" s="73"/>
    </row>
    <row r="7" spans="1:21" ht="15.75" customHeight="1" thickBot="1" x14ac:dyDescent="0.35">
      <c r="A7" s="1105"/>
      <c r="B7" s="1066"/>
      <c r="C7" s="237"/>
      <c r="D7" s="337"/>
      <c r="E7" s="256"/>
      <c r="F7" s="242"/>
      <c r="G7" s="73"/>
      <c r="I7" s="379"/>
      <c r="J7" s="379"/>
      <c r="L7" s="1105"/>
      <c r="M7" s="1066"/>
      <c r="N7" s="237"/>
      <c r="O7" s="337"/>
      <c r="P7" s="256"/>
      <c r="Q7" s="242"/>
      <c r="R7" s="73"/>
      <c r="T7" s="379"/>
      <c r="U7" s="379"/>
    </row>
    <row r="8" spans="1:21" ht="16.5" customHeight="1" thickTop="1" thickBot="1" x14ac:dyDescent="0.3">
      <c r="B8" s="424"/>
      <c r="C8" s="237"/>
      <c r="D8" s="337"/>
      <c r="E8" s="240"/>
      <c r="F8" s="241"/>
      <c r="G8" s="73"/>
      <c r="I8" s="1097" t="s">
        <v>47</v>
      </c>
      <c r="J8" s="1102" t="s">
        <v>4</v>
      </c>
      <c r="M8" s="424"/>
      <c r="N8" s="237"/>
      <c r="O8" s="337"/>
      <c r="P8" s="240"/>
      <c r="Q8" s="241"/>
      <c r="R8" s="73"/>
      <c r="T8" s="1097" t="s">
        <v>47</v>
      </c>
      <c r="U8" s="1102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98"/>
      <c r="J9" s="1103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98"/>
      <c r="U9" s="1103"/>
    </row>
    <row r="10" spans="1:21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147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</row>
    <row r="11" spans="1:21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142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</row>
    <row r="12" spans="1:21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148</v>
      </c>
      <c r="H12" s="71">
        <v>84</v>
      </c>
      <c r="I12" s="209">
        <f t="shared" ref="I12:I69" si="0">I11-F12</f>
        <v>6837.8600000000006</v>
      </c>
      <c r="J12" s="127">
        <f t="shared" ref="J12:J69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0" si="2">T11-Q12</f>
        <v>1299.74</v>
      </c>
      <c r="U12" s="127">
        <f t="shared" ref="U12:U50" si="3">U11-N12</f>
        <v>48</v>
      </c>
    </row>
    <row r="13" spans="1:21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70" si="4">D13</f>
        <v>58.23</v>
      </c>
      <c r="G13" s="70" t="s">
        <v>148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70" si="5">O13</f>
        <v>0</v>
      </c>
      <c r="R13" s="70"/>
      <c r="S13" s="71"/>
      <c r="T13" s="209">
        <f t="shared" si="2"/>
        <v>1299.74</v>
      </c>
      <c r="U13" s="127">
        <f t="shared" si="3"/>
        <v>48</v>
      </c>
    </row>
    <row r="14" spans="1:21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4"/>
        <v>103.37</v>
      </c>
      <c r="G14" s="70" t="s">
        <v>150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5"/>
        <v>0</v>
      </c>
      <c r="R14" s="70"/>
      <c r="S14" s="71"/>
      <c r="T14" s="209">
        <f t="shared" si="2"/>
        <v>1299.74</v>
      </c>
      <c r="U14" s="127">
        <f t="shared" si="3"/>
        <v>48</v>
      </c>
    </row>
    <row r="15" spans="1:21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4"/>
        <v>99.47</v>
      </c>
      <c r="G15" s="70" t="s">
        <v>150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5"/>
        <v>0</v>
      </c>
      <c r="R15" s="70"/>
      <c r="S15" s="71"/>
      <c r="T15" s="209">
        <f t="shared" si="2"/>
        <v>1299.74</v>
      </c>
      <c r="U15" s="127">
        <f t="shared" si="3"/>
        <v>48</v>
      </c>
    </row>
    <row r="16" spans="1:21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4"/>
        <v>109.66</v>
      </c>
      <c r="G16" s="70" t="s">
        <v>152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5"/>
        <v>0</v>
      </c>
      <c r="R16" s="70"/>
      <c r="S16" s="71"/>
      <c r="T16" s="209">
        <f t="shared" si="2"/>
        <v>1299.74</v>
      </c>
      <c r="U16" s="127">
        <f t="shared" si="3"/>
        <v>48</v>
      </c>
    </row>
    <row r="17" spans="1:21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4"/>
        <v>55.01</v>
      </c>
      <c r="G17" s="70" t="s">
        <v>158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5"/>
        <v>0</v>
      </c>
      <c r="R17" s="70"/>
      <c r="S17" s="71"/>
      <c r="T17" s="209">
        <f t="shared" si="2"/>
        <v>1299.74</v>
      </c>
      <c r="U17" s="127">
        <f t="shared" si="3"/>
        <v>48</v>
      </c>
    </row>
    <row r="18" spans="1:21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4"/>
        <v>106.28</v>
      </c>
      <c r="G18" s="418" t="s">
        <v>159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5"/>
        <v>0</v>
      </c>
      <c r="R18" s="418"/>
      <c r="S18" s="71"/>
      <c r="T18" s="209">
        <f t="shared" si="2"/>
        <v>1299.74</v>
      </c>
      <c r="U18" s="127">
        <f t="shared" si="3"/>
        <v>48</v>
      </c>
    </row>
    <row r="19" spans="1:21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4"/>
        <v>102.17</v>
      </c>
      <c r="G19" s="70" t="s">
        <v>164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5"/>
        <v>0</v>
      </c>
      <c r="R19" s="70"/>
      <c r="S19" s="71"/>
      <c r="T19" s="209">
        <f t="shared" si="2"/>
        <v>1299.74</v>
      </c>
      <c r="U19" s="127">
        <f t="shared" si="3"/>
        <v>48</v>
      </c>
    </row>
    <row r="20" spans="1:21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4"/>
        <v>49.39</v>
      </c>
      <c r="G20" s="70" t="s">
        <v>172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5"/>
        <v>0</v>
      </c>
      <c r="R20" s="70"/>
      <c r="S20" s="71"/>
      <c r="T20" s="209">
        <f t="shared" si="2"/>
        <v>1299.74</v>
      </c>
      <c r="U20" s="127">
        <f t="shared" si="3"/>
        <v>48</v>
      </c>
    </row>
    <row r="21" spans="1:21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4"/>
        <v>24.57</v>
      </c>
      <c r="G21" s="70" t="s">
        <v>174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5"/>
        <v>0</v>
      </c>
      <c r="R21" s="70"/>
      <c r="S21" s="71"/>
      <c r="T21" s="209">
        <f t="shared" si="2"/>
        <v>1299.74</v>
      </c>
      <c r="U21" s="127">
        <f t="shared" si="3"/>
        <v>48</v>
      </c>
    </row>
    <row r="22" spans="1:21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4"/>
        <v>108.47</v>
      </c>
      <c r="G22" s="70" t="s">
        <v>173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5"/>
        <v>0</v>
      </c>
      <c r="R22" s="70"/>
      <c r="S22" s="71"/>
      <c r="T22" s="209">
        <f t="shared" si="2"/>
        <v>1299.74</v>
      </c>
      <c r="U22" s="127">
        <f t="shared" si="3"/>
        <v>48</v>
      </c>
    </row>
    <row r="23" spans="1:21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4"/>
        <v>23.31</v>
      </c>
      <c r="G23" s="70" t="s">
        <v>177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5"/>
        <v>0</v>
      </c>
      <c r="R23" s="70"/>
      <c r="S23" s="71"/>
      <c r="T23" s="209">
        <f t="shared" si="2"/>
        <v>1299.74</v>
      </c>
      <c r="U23" s="127">
        <f t="shared" si="3"/>
        <v>48</v>
      </c>
    </row>
    <row r="24" spans="1:21" x14ac:dyDescent="0.25">
      <c r="A24" s="2"/>
      <c r="B24" s="83"/>
      <c r="C24" s="15">
        <v>4</v>
      </c>
      <c r="D24" s="704">
        <v>110.66</v>
      </c>
      <c r="E24" s="701">
        <v>44776</v>
      </c>
      <c r="F24" s="694">
        <f t="shared" si="4"/>
        <v>110.66</v>
      </c>
      <c r="G24" s="696" t="s">
        <v>191</v>
      </c>
      <c r="H24" s="388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5"/>
        <v>0</v>
      </c>
      <c r="R24" s="70"/>
      <c r="S24" s="71"/>
      <c r="T24" s="209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704">
        <v>56.86</v>
      </c>
      <c r="E25" s="701">
        <v>44778</v>
      </c>
      <c r="F25" s="694">
        <f t="shared" si="4"/>
        <v>56.86</v>
      </c>
      <c r="G25" s="696" t="s">
        <v>196</v>
      </c>
      <c r="H25" s="388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5"/>
        <v>0</v>
      </c>
      <c r="R25" s="70"/>
      <c r="S25" s="71"/>
      <c r="T25" s="209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704">
        <v>104.61</v>
      </c>
      <c r="E26" s="701">
        <v>44781</v>
      </c>
      <c r="F26" s="694">
        <f t="shared" si="4"/>
        <v>104.61</v>
      </c>
      <c r="G26" s="696" t="s">
        <v>204</v>
      </c>
      <c r="H26" s="388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704">
        <v>56.75</v>
      </c>
      <c r="E27" s="701">
        <v>44783</v>
      </c>
      <c r="F27" s="694">
        <f t="shared" si="4"/>
        <v>56.75</v>
      </c>
      <c r="G27" s="696" t="s">
        <v>212</v>
      </c>
      <c r="H27" s="388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704">
        <v>101.28</v>
      </c>
      <c r="E28" s="701">
        <v>44784</v>
      </c>
      <c r="F28" s="694">
        <f t="shared" si="4"/>
        <v>101.28</v>
      </c>
      <c r="G28" s="696" t="s">
        <v>213</v>
      </c>
      <c r="H28" s="388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704">
        <v>25.62</v>
      </c>
      <c r="E29" s="701">
        <v>44785</v>
      </c>
      <c r="F29" s="694">
        <f t="shared" si="4"/>
        <v>25.62</v>
      </c>
      <c r="G29" s="696" t="s">
        <v>215</v>
      </c>
      <c r="H29" s="388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704">
        <v>53.43</v>
      </c>
      <c r="E30" s="701">
        <v>44785</v>
      </c>
      <c r="F30" s="694">
        <f t="shared" si="4"/>
        <v>53.43</v>
      </c>
      <c r="G30" s="696" t="s">
        <v>215</v>
      </c>
      <c r="H30" s="388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704">
        <v>56.1</v>
      </c>
      <c r="E31" s="701">
        <v>44786</v>
      </c>
      <c r="F31" s="694">
        <f t="shared" si="4"/>
        <v>56.1</v>
      </c>
      <c r="G31" s="696" t="s">
        <v>220</v>
      </c>
      <c r="H31" s="388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704">
        <v>56.8</v>
      </c>
      <c r="E32" s="701">
        <v>44788</v>
      </c>
      <c r="F32" s="694">
        <f t="shared" si="4"/>
        <v>56.8</v>
      </c>
      <c r="G32" s="696" t="s">
        <v>227</v>
      </c>
      <c r="H32" s="388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704">
        <v>105.74</v>
      </c>
      <c r="E33" s="701">
        <v>44788</v>
      </c>
      <c r="F33" s="694">
        <f t="shared" si="4"/>
        <v>105.74</v>
      </c>
      <c r="G33" s="696" t="s">
        <v>228</v>
      </c>
      <c r="H33" s="388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704">
        <f>27.67+21.86</f>
        <v>49.53</v>
      </c>
      <c r="E34" s="701">
        <v>44790</v>
      </c>
      <c r="F34" s="694">
        <f t="shared" si="4"/>
        <v>49.53</v>
      </c>
      <c r="G34" s="696" t="s">
        <v>234</v>
      </c>
      <c r="H34" s="388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704">
        <v>107.94</v>
      </c>
      <c r="E35" s="701">
        <v>44792</v>
      </c>
      <c r="F35" s="694">
        <f t="shared" si="4"/>
        <v>107.94</v>
      </c>
      <c r="G35" s="696" t="s">
        <v>236</v>
      </c>
      <c r="H35" s="388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704">
        <v>102.16</v>
      </c>
      <c r="E36" s="701">
        <v>44792</v>
      </c>
      <c r="F36" s="694">
        <f t="shared" si="4"/>
        <v>102.16</v>
      </c>
      <c r="G36" s="696" t="s">
        <v>240</v>
      </c>
      <c r="H36" s="388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704">
        <v>104.16</v>
      </c>
      <c r="E37" s="701">
        <v>44793</v>
      </c>
      <c r="F37" s="694">
        <f t="shared" si="4"/>
        <v>104.16</v>
      </c>
      <c r="G37" s="696" t="s">
        <v>245</v>
      </c>
      <c r="H37" s="388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704">
        <v>50.52</v>
      </c>
      <c r="E38" s="701">
        <v>44795</v>
      </c>
      <c r="F38" s="694">
        <f t="shared" si="4"/>
        <v>50.52</v>
      </c>
      <c r="G38" s="696" t="s">
        <v>251</v>
      </c>
      <c r="H38" s="388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704">
        <v>49.23</v>
      </c>
      <c r="E39" s="701">
        <v>44798</v>
      </c>
      <c r="F39" s="694">
        <f t="shared" si="4"/>
        <v>49.23</v>
      </c>
      <c r="G39" s="696" t="s">
        <v>261</v>
      </c>
      <c r="H39" s="388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704">
        <v>157.43</v>
      </c>
      <c r="E40" s="701">
        <v>44798</v>
      </c>
      <c r="F40" s="694">
        <f t="shared" si="4"/>
        <v>157.43</v>
      </c>
      <c r="G40" s="696" t="s">
        <v>262</v>
      </c>
      <c r="H40" s="388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>
        <v>2</v>
      </c>
      <c r="D41" s="787">
        <v>49.65</v>
      </c>
      <c r="E41" s="783">
        <v>44802</v>
      </c>
      <c r="F41" s="782">
        <f t="shared" si="4"/>
        <v>49.65</v>
      </c>
      <c r="G41" s="784" t="s">
        <v>502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>
        <v>2</v>
      </c>
      <c r="D42" s="787">
        <v>55.2</v>
      </c>
      <c r="E42" s="783">
        <v>44803</v>
      </c>
      <c r="F42" s="782">
        <f t="shared" si="4"/>
        <v>55.2</v>
      </c>
      <c r="G42" s="784" t="s">
        <v>505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>
        <v>3</v>
      </c>
      <c r="D43" s="787">
        <v>80.010000000000005</v>
      </c>
      <c r="E43" s="783">
        <v>44805</v>
      </c>
      <c r="F43" s="782">
        <f t="shared" si="4"/>
        <v>80.010000000000005</v>
      </c>
      <c r="G43" s="784" t="s">
        <v>526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>
        <v>2</v>
      </c>
      <c r="D44" s="787">
        <v>49.1</v>
      </c>
      <c r="E44" s="783">
        <v>44806</v>
      </c>
      <c r="F44" s="782">
        <f t="shared" si="4"/>
        <v>49.1</v>
      </c>
      <c r="G44" s="784" t="s">
        <v>536</v>
      </c>
      <c r="H44" s="206">
        <v>84</v>
      </c>
      <c r="I44" s="209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7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>
        <v>2</v>
      </c>
      <c r="D45" s="787">
        <v>48.15</v>
      </c>
      <c r="E45" s="783">
        <v>44810</v>
      </c>
      <c r="F45" s="782">
        <f t="shared" si="4"/>
        <v>48.15</v>
      </c>
      <c r="G45" s="784" t="s">
        <v>571</v>
      </c>
      <c r="H45" s="206">
        <v>84</v>
      </c>
      <c r="I45" s="209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7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>
        <v>2</v>
      </c>
      <c r="D46" s="787">
        <v>46.83</v>
      </c>
      <c r="E46" s="783">
        <v>44810</v>
      </c>
      <c r="F46" s="782">
        <f t="shared" si="4"/>
        <v>46.83</v>
      </c>
      <c r="G46" s="784" t="s">
        <v>588</v>
      </c>
      <c r="H46" s="206">
        <v>84</v>
      </c>
      <c r="I46" s="209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7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>
        <v>2</v>
      </c>
      <c r="D47" s="787">
        <v>48.3</v>
      </c>
      <c r="E47" s="783">
        <v>44810</v>
      </c>
      <c r="F47" s="782">
        <f t="shared" si="4"/>
        <v>48.3</v>
      </c>
      <c r="G47" s="784" t="s">
        <v>589</v>
      </c>
      <c r="H47" s="206">
        <v>84</v>
      </c>
      <c r="I47" s="209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7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>
        <v>4</v>
      </c>
      <c r="D48" s="787">
        <v>111.02</v>
      </c>
      <c r="E48" s="783">
        <v>44810</v>
      </c>
      <c r="F48" s="782">
        <f t="shared" si="4"/>
        <v>111.02</v>
      </c>
      <c r="G48" s="784" t="s">
        <v>590</v>
      </c>
      <c r="H48" s="206">
        <v>84</v>
      </c>
      <c r="I48" s="209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7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>
        <v>2</v>
      </c>
      <c r="D49" s="787">
        <v>53.14</v>
      </c>
      <c r="E49" s="783">
        <v>44813</v>
      </c>
      <c r="F49" s="782">
        <f t="shared" si="4"/>
        <v>53.14</v>
      </c>
      <c r="G49" s="784" t="s">
        <v>587</v>
      </c>
      <c r="H49" s="206">
        <v>84</v>
      </c>
      <c r="I49" s="209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7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>
        <v>2</v>
      </c>
      <c r="D50" s="787">
        <v>51.27</v>
      </c>
      <c r="E50" s="783">
        <v>44817</v>
      </c>
      <c r="F50" s="782">
        <f t="shared" si="4"/>
        <v>51.27</v>
      </c>
      <c r="G50" s="784" t="s">
        <v>620</v>
      </c>
      <c r="H50" s="206">
        <v>84</v>
      </c>
      <c r="I50" s="209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7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x14ac:dyDescent="0.25">
      <c r="A51" s="2"/>
      <c r="B51" s="83"/>
      <c r="C51" s="15">
        <v>2</v>
      </c>
      <c r="D51" s="787">
        <v>43.22</v>
      </c>
      <c r="E51" s="783">
        <v>44819</v>
      </c>
      <c r="F51" s="782">
        <f t="shared" si="4"/>
        <v>43.22</v>
      </c>
      <c r="G51" s="784" t="s">
        <v>641</v>
      </c>
      <c r="H51" s="206">
        <v>84</v>
      </c>
      <c r="I51" s="209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7"/>
      <c r="Q51" s="69">
        <f t="shared" si="5"/>
        <v>0</v>
      </c>
      <c r="R51" s="70"/>
      <c r="S51" s="71"/>
      <c r="T51" s="209">
        <f t="shared" ref="T51:T69" si="6">T50-Q51</f>
        <v>1299.74</v>
      </c>
      <c r="U51" s="127">
        <f t="shared" ref="U51:U69" si="7">U50-N51</f>
        <v>48</v>
      </c>
    </row>
    <row r="52" spans="1:21" x14ac:dyDescent="0.25">
      <c r="A52" s="2"/>
      <c r="B52" s="83"/>
      <c r="C52" s="15">
        <v>2</v>
      </c>
      <c r="D52" s="787">
        <v>60.07</v>
      </c>
      <c r="E52" s="783">
        <v>44819</v>
      </c>
      <c r="F52" s="782">
        <f t="shared" si="4"/>
        <v>60.07</v>
      </c>
      <c r="G52" s="784" t="s">
        <v>646</v>
      </c>
      <c r="H52" s="206">
        <v>84</v>
      </c>
      <c r="I52" s="209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7"/>
      <c r="Q52" s="69">
        <f t="shared" si="5"/>
        <v>0</v>
      </c>
      <c r="R52" s="70"/>
      <c r="S52" s="71"/>
      <c r="T52" s="209">
        <f t="shared" si="6"/>
        <v>1299.74</v>
      </c>
      <c r="U52" s="127">
        <f t="shared" si="7"/>
        <v>48</v>
      </c>
    </row>
    <row r="53" spans="1:21" x14ac:dyDescent="0.25">
      <c r="A53" s="2"/>
      <c r="B53" s="83"/>
      <c r="C53" s="15">
        <v>1</v>
      </c>
      <c r="D53" s="787">
        <v>26.45</v>
      </c>
      <c r="E53" s="783">
        <v>44819</v>
      </c>
      <c r="F53" s="782">
        <f t="shared" si="4"/>
        <v>26.45</v>
      </c>
      <c r="G53" s="784" t="s">
        <v>647</v>
      </c>
      <c r="H53" s="206">
        <v>84</v>
      </c>
      <c r="I53" s="209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7"/>
      <c r="Q53" s="69">
        <f t="shared" si="5"/>
        <v>0</v>
      </c>
      <c r="R53" s="70"/>
      <c r="S53" s="71"/>
      <c r="T53" s="209">
        <f t="shared" si="6"/>
        <v>1299.74</v>
      </c>
      <c r="U53" s="127">
        <f t="shared" si="7"/>
        <v>48</v>
      </c>
    </row>
    <row r="54" spans="1:21" x14ac:dyDescent="0.25">
      <c r="A54" s="2"/>
      <c r="B54" s="83"/>
      <c r="C54" s="15">
        <v>4</v>
      </c>
      <c r="D54" s="787">
        <v>119.46</v>
      </c>
      <c r="E54" s="783">
        <v>44823</v>
      </c>
      <c r="F54" s="782">
        <f t="shared" si="4"/>
        <v>119.46</v>
      </c>
      <c r="G54" s="784" t="s">
        <v>677</v>
      </c>
      <c r="H54" s="206">
        <v>84</v>
      </c>
      <c r="I54" s="209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7"/>
      <c r="Q54" s="69">
        <f t="shared" si="5"/>
        <v>0</v>
      </c>
      <c r="R54" s="70"/>
      <c r="S54" s="71"/>
      <c r="T54" s="209">
        <f t="shared" si="6"/>
        <v>1299.74</v>
      </c>
      <c r="U54" s="127">
        <f t="shared" si="7"/>
        <v>48</v>
      </c>
    </row>
    <row r="55" spans="1:21" x14ac:dyDescent="0.25">
      <c r="A55" s="2"/>
      <c r="B55" s="83"/>
      <c r="C55" s="15">
        <v>4</v>
      </c>
      <c r="D55" s="787">
        <v>103.05</v>
      </c>
      <c r="E55" s="783">
        <v>44824</v>
      </c>
      <c r="F55" s="782">
        <f t="shared" si="4"/>
        <v>103.05</v>
      </c>
      <c r="G55" s="784" t="s">
        <v>683</v>
      </c>
      <c r="H55" s="206">
        <v>84</v>
      </c>
      <c r="I55" s="209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7"/>
      <c r="Q55" s="69">
        <f t="shared" si="5"/>
        <v>0</v>
      </c>
      <c r="R55" s="70"/>
      <c r="S55" s="71"/>
      <c r="T55" s="209">
        <f t="shared" si="6"/>
        <v>1299.74</v>
      </c>
      <c r="U55" s="127">
        <f t="shared" si="7"/>
        <v>48</v>
      </c>
    </row>
    <row r="56" spans="1:21" x14ac:dyDescent="0.25">
      <c r="A56" s="2"/>
      <c r="B56" s="83"/>
      <c r="C56" s="15">
        <v>1</v>
      </c>
      <c r="D56" s="787">
        <v>31.03</v>
      </c>
      <c r="E56" s="783">
        <v>44824</v>
      </c>
      <c r="F56" s="782">
        <f t="shared" si="4"/>
        <v>31.03</v>
      </c>
      <c r="G56" s="784" t="s">
        <v>685</v>
      </c>
      <c r="H56" s="206">
        <v>84</v>
      </c>
      <c r="I56" s="209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7"/>
      <c r="Q56" s="69">
        <f t="shared" si="5"/>
        <v>0</v>
      </c>
      <c r="R56" s="70"/>
      <c r="S56" s="71"/>
      <c r="T56" s="209">
        <f t="shared" si="6"/>
        <v>1299.74</v>
      </c>
      <c r="U56" s="127">
        <f t="shared" si="7"/>
        <v>48</v>
      </c>
    </row>
    <row r="57" spans="1:21" x14ac:dyDescent="0.25">
      <c r="A57" s="2"/>
      <c r="B57" s="83"/>
      <c r="C57" s="15">
        <v>2</v>
      </c>
      <c r="D57" s="787">
        <v>49.28</v>
      </c>
      <c r="E57" s="783">
        <v>44825</v>
      </c>
      <c r="F57" s="782">
        <f t="shared" si="4"/>
        <v>49.28</v>
      </c>
      <c r="G57" s="784" t="s">
        <v>687</v>
      </c>
      <c r="H57" s="206">
        <v>84</v>
      </c>
      <c r="I57" s="209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7"/>
      <c r="Q57" s="69">
        <f t="shared" si="5"/>
        <v>0</v>
      </c>
      <c r="R57" s="70"/>
      <c r="S57" s="71"/>
      <c r="T57" s="209">
        <f t="shared" si="6"/>
        <v>1299.74</v>
      </c>
      <c r="U57" s="127">
        <f t="shared" si="7"/>
        <v>48</v>
      </c>
    </row>
    <row r="58" spans="1:21" x14ac:dyDescent="0.25">
      <c r="A58" s="2"/>
      <c r="B58" s="83"/>
      <c r="C58" s="15">
        <v>4</v>
      </c>
      <c r="D58" s="787">
        <v>108.75</v>
      </c>
      <c r="E58" s="783">
        <v>44825</v>
      </c>
      <c r="F58" s="782">
        <f t="shared" si="4"/>
        <v>108.75</v>
      </c>
      <c r="G58" s="784" t="s">
        <v>696</v>
      </c>
      <c r="H58" s="206">
        <v>84</v>
      </c>
      <c r="I58" s="209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7"/>
      <c r="Q58" s="69">
        <f t="shared" si="5"/>
        <v>0</v>
      </c>
      <c r="R58" s="70"/>
      <c r="S58" s="71"/>
      <c r="T58" s="209">
        <f t="shared" si="6"/>
        <v>1299.74</v>
      </c>
      <c r="U58" s="127">
        <f t="shared" si="7"/>
        <v>48</v>
      </c>
    </row>
    <row r="59" spans="1:21" x14ac:dyDescent="0.25">
      <c r="A59" s="2"/>
      <c r="B59" s="83"/>
      <c r="C59" s="15">
        <v>4</v>
      </c>
      <c r="D59" s="787">
        <v>99.85</v>
      </c>
      <c r="E59" s="783">
        <v>44825</v>
      </c>
      <c r="F59" s="782">
        <f t="shared" si="4"/>
        <v>99.85</v>
      </c>
      <c r="G59" s="784" t="s">
        <v>699</v>
      </c>
      <c r="H59" s="206">
        <v>84</v>
      </c>
      <c r="I59" s="209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7"/>
      <c r="Q59" s="69">
        <f t="shared" si="5"/>
        <v>0</v>
      </c>
      <c r="R59" s="70"/>
      <c r="S59" s="71"/>
      <c r="T59" s="209">
        <f t="shared" si="6"/>
        <v>1299.74</v>
      </c>
      <c r="U59" s="127">
        <f t="shared" si="7"/>
        <v>48</v>
      </c>
    </row>
    <row r="60" spans="1:21" x14ac:dyDescent="0.25">
      <c r="A60" s="2"/>
      <c r="B60" s="83"/>
      <c r="C60" s="15">
        <v>3</v>
      </c>
      <c r="D60" s="787">
        <v>81.430000000000007</v>
      </c>
      <c r="E60" s="783">
        <v>44826</v>
      </c>
      <c r="F60" s="782">
        <f t="shared" si="4"/>
        <v>81.430000000000007</v>
      </c>
      <c r="G60" s="784" t="s">
        <v>700</v>
      </c>
      <c r="H60" s="206">
        <v>84</v>
      </c>
      <c r="I60" s="209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7"/>
      <c r="Q60" s="69">
        <f t="shared" si="5"/>
        <v>0</v>
      </c>
      <c r="R60" s="70"/>
      <c r="S60" s="71"/>
      <c r="T60" s="209">
        <f t="shared" si="6"/>
        <v>1299.74</v>
      </c>
      <c r="U60" s="127">
        <f t="shared" si="7"/>
        <v>48</v>
      </c>
    </row>
    <row r="61" spans="1:21" x14ac:dyDescent="0.25">
      <c r="A61" s="2"/>
      <c r="B61" s="83"/>
      <c r="C61" s="15">
        <v>4</v>
      </c>
      <c r="D61" s="787">
        <v>118.27</v>
      </c>
      <c r="E61" s="783">
        <v>44831</v>
      </c>
      <c r="F61" s="782">
        <f t="shared" si="4"/>
        <v>118.27</v>
      </c>
      <c r="G61" s="784" t="s">
        <v>726</v>
      </c>
      <c r="H61" s="206">
        <v>84</v>
      </c>
      <c r="I61" s="209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7"/>
      <c r="Q61" s="69">
        <f t="shared" si="5"/>
        <v>0</v>
      </c>
      <c r="R61" s="70"/>
      <c r="S61" s="71"/>
      <c r="T61" s="209">
        <f t="shared" si="6"/>
        <v>1299.74</v>
      </c>
      <c r="U61" s="127">
        <f t="shared" si="7"/>
        <v>48</v>
      </c>
    </row>
    <row r="62" spans="1:21" x14ac:dyDescent="0.25">
      <c r="A62" s="2"/>
      <c r="B62" s="83"/>
      <c r="C62" s="15">
        <v>2</v>
      </c>
      <c r="D62" s="787">
        <v>53.64</v>
      </c>
      <c r="E62" s="783">
        <v>44835</v>
      </c>
      <c r="F62" s="782">
        <f t="shared" si="4"/>
        <v>53.64</v>
      </c>
      <c r="G62" s="784" t="s">
        <v>748</v>
      </c>
      <c r="H62" s="206">
        <v>84</v>
      </c>
      <c r="I62" s="209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7"/>
      <c r="Q62" s="69">
        <f t="shared" si="5"/>
        <v>0</v>
      </c>
      <c r="R62" s="70"/>
      <c r="S62" s="71"/>
      <c r="T62" s="209">
        <f t="shared" si="6"/>
        <v>1299.74</v>
      </c>
      <c r="U62" s="127">
        <f t="shared" si="7"/>
        <v>48</v>
      </c>
    </row>
    <row r="63" spans="1:21" x14ac:dyDescent="0.25">
      <c r="A63" s="2"/>
      <c r="B63" s="83"/>
      <c r="C63" s="15"/>
      <c r="D63" s="787"/>
      <c r="E63" s="783"/>
      <c r="F63" s="782">
        <f t="shared" si="4"/>
        <v>0</v>
      </c>
      <c r="G63" s="784"/>
      <c r="H63" s="206"/>
      <c r="I63" s="209">
        <f t="shared" si="0"/>
        <v>3161.940000000001</v>
      </c>
      <c r="J63" s="127">
        <f t="shared" si="1"/>
        <v>129</v>
      </c>
      <c r="L63" s="2"/>
      <c r="M63" s="83"/>
      <c r="N63" s="15"/>
      <c r="O63" s="151"/>
      <c r="P63" s="247"/>
      <c r="Q63" s="69">
        <f t="shared" si="5"/>
        <v>0</v>
      </c>
      <c r="R63" s="70"/>
      <c r="S63" s="71"/>
      <c r="T63" s="209">
        <f t="shared" si="6"/>
        <v>1299.74</v>
      </c>
      <c r="U63" s="127">
        <f t="shared" si="7"/>
        <v>48</v>
      </c>
    </row>
    <row r="64" spans="1:21" x14ac:dyDescent="0.25">
      <c r="A64" s="2"/>
      <c r="B64" s="83"/>
      <c r="C64" s="15"/>
      <c r="D64" s="787"/>
      <c r="E64" s="783"/>
      <c r="F64" s="782">
        <f t="shared" si="4"/>
        <v>0</v>
      </c>
      <c r="G64" s="784"/>
      <c r="H64" s="206"/>
      <c r="I64" s="209">
        <f t="shared" si="0"/>
        <v>3161.940000000001</v>
      </c>
      <c r="J64" s="127">
        <f t="shared" si="1"/>
        <v>129</v>
      </c>
      <c r="L64" s="2"/>
      <c r="M64" s="83"/>
      <c r="N64" s="15"/>
      <c r="O64" s="151"/>
      <c r="P64" s="247"/>
      <c r="Q64" s="69">
        <f t="shared" si="5"/>
        <v>0</v>
      </c>
      <c r="R64" s="70"/>
      <c r="S64" s="71"/>
      <c r="T64" s="209">
        <f t="shared" si="6"/>
        <v>1299.74</v>
      </c>
      <c r="U64" s="127">
        <f t="shared" si="7"/>
        <v>48</v>
      </c>
    </row>
    <row r="65" spans="1:21" x14ac:dyDescent="0.25">
      <c r="A65" s="2"/>
      <c r="B65" s="83"/>
      <c r="C65" s="15"/>
      <c r="D65" s="787"/>
      <c r="E65" s="783"/>
      <c r="F65" s="782">
        <f t="shared" si="4"/>
        <v>0</v>
      </c>
      <c r="G65" s="784"/>
      <c r="H65" s="206"/>
      <c r="I65" s="209">
        <f t="shared" si="0"/>
        <v>3161.940000000001</v>
      </c>
      <c r="J65" s="127">
        <f t="shared" si="1"/>
        <v>129</v>
      </c>
      <c r="L65" s="2"/>
      <c r="M65" s="83"/>
      <c r="N65" s="15"/>
      <c r="O65" s="151"/>
      <c r="P65" s="247"/>
      <c r="Q65" s="69">
        <f t="shared" si="5"/>
        <v>0</v>
      </c>
      <c r="R65" s="70"/>
      <c r="S65" s="71"/>
      <c r="T65" s="209">
        <f t="shared" si="6"/>
        <v>1299.74</v>
      </c>
      <c r="U65" s="127">
        <f t="shared" si="7"/>
        <v>48</v>
      </c>
    </row>
    <row r="66" spans="1:21" x14ac:dyDescent="0.25">
      <c r="A66" s="2"/>
      <c r="B66" s="83"/>
      <c r="C66" s="15"/>
      <c r="D66" s="787"/>
      <c r="E66" s="783"/>
      <c r="F66" s="782">
        <f t="shared" si="4"/>
        <v>0</v>
      </c>
      <c r="G66" s="784"/>
      <c r="H66" s="206"/>
      <c r="I66" s="209">
        <f t="shared" si="0"/>
        <v>3161.940000000001</v>
      </c>
      <c r="J66" s="127">
        <f t="shared" si="1"/>
        <v>129</v>
      </c>
      <c r="L66" s="2"/>
      <c r="M66" s="83"/>
      <c r="N66" s="15"/>
      <c r="O66" s="151"/>
      <c r="P66" s="247"/>
      <c r="Q66" s="69">
        <f t="shared" si="5"/>
        <v>0</v>
      </c>
      <c r="R66" s="70"/>
      <c r="S66" s="71"/>
      <c r="T66" s="209">
        <f t="shared" si="6"/>
        <v>1299.74</v>
      </c>
      <c r="U66" s="127">
        <f t="shared" si="7"/>
        <v>48</v>
      </c>
    </row>
    <row r="67" spans="1:21" x14ac:dyDescent="0.25">
      <c r="A67" s="2"/>
      <c r="B67" s="83"/>
      <c r="C67" s="15"/>
      <c r="D67" s="787"/>
      <c r="E67" s="783"/>
      <c r="F67" s="782">
        <f t="shared" si="4"/>
        <v>0</v>
      </c>
      <c r="G67" s="784"/>
      <c r="H67" s="206"/>
      <c r="I67" s="209">
        <f t="shared" si="0"/>
        <v>3161.940000000001</v>
      </c>
      <c r="J67" s="127">
        <f t="shared" si="1"/>
        <v>129</v>
      </c>
      <c r="L67" s="2"/>
      <c r="M67" s="83"/>
      <c r="N67" s="15"/>
      <c r="O67" s="151"/>
      <c r="P67" s="247"/>
      <c r="Q67" s="69">
        <f t="shared" si="5"/>
        <v>0</v>
      </c>
      <c r="R67" s="70"/>
      <c r="S67" s="71"/>
      <c r="T67" s="209">
        <f t="shared" si="6"/>
        <v>1299.74</v>
      </c>
      <c r="U67" s="127">
        <f t="shared" si="7"/>
        <v>48</v>
      </c>
    </row>
    <row r="68" spans="1:21" x14ac:dyDescent="0.25">
      <c r="A68" s="2"/>
      <c r="B68" s="83"/>
      <c r="C68" s="15"/>
      <c r="D68" s="787"/>
      <c r="E68" s="783"/>
      <c r="F68" s="782">
        <f t="shared" si="4"/>
        <v>0</v>
      </c>
      <c r="G68" s="784"/>
      <c r="H68" s="206"/>
      <c r="I68" s="209">
        <f t="shared" si="0"/>
        <v>3161.940000000001</v>
      </c>
      <c r="J68" s="127">
        <f t="shared" si="1"/>
        <v>129</v>
      </c>
      <c r="L68" s="2"/>
      <c r="M68" s="83"/>
      <c r="N68" s="15"/>
      <c r="O68" s="151"/>
      <c r="P68" s="247"/>
      <c r="Q68" s="69">
        <f t="shared" si="5"/>
        <v>0</v>
      </c>
      <c r="R68" s="70"/>
      <c r="S68" s="71"/>
      <c r="T68" s="209">
        <f t="shared" si="6"/>
        <v>1299.74</v>
      </c>
      <c r="U68" s="127">
        <f t="shared" si="7"/>
        <v>48</v>
      </c>
    </row>
    <row r="69" spans="1:21" ht="14.25" customHeight="1" x14ac:dyDescent="0.25">
      <c r="A69" s="2"/>
      <c r="B69" s="83"/>
      <c r="C69" s="15"/>
      <c r="D69" s="787">
        <v>0</v>
      </c>
      <c r="E69" s="783"/>
      <c r="F69" s="782">
        <f t="shared" si="4"/>
        <v>0</v>
      </c>
      <c r="G69" s="784"/>
      <c r="H69" s="206"/>
      <c r="I69" s="209">
        <f t="shared" si="0"/>
        <v>3161.940000000001</v>
      </c>
      <c r="J69" s="127">
        <f t="shared" si="1"/>
        <v>129</v>
      </c>
      <c r="L69" s="2"/>
      <c r="M69" s="83"/>
      <c r="N69" s="15"/>
      <c r="O69" s="151">
        <v>0</v>
      </c>
      <c r="P69" s="247"/>
      <c r="Q69" s="69">
        <f t="shared" si="5"/>
        <v>0</v>
      </c>
      <c r="R69" s="70"/>
      <c r="S69" s="71"/>
      <c r="T69" s="209">
        <f t="shared" si="6"/>
        <v>1299.74</v>
      </c>
      <c r="U69" s="127">
        <f t="shared" si="7"/>
        <v>48</v>
      </c>
    </row>
    <row r="70" spans="1:21" ht="15.75" thickBot="1" x14ac:dyDescent="0.3">
      <c r="A70" s="4"/>
      <c r="B70" s="83"/>
      <c r="C70" s="37"/>
      <c r="D70" s="151">
        <v>0</v>
      </c>
      <c r="E70" s="157"/>
      <c r="F70" s="150">
        <f t="shared" si="4"/>
        <v>0</v>
      </c>
      <c r="G70" s="139"/>
      <c r="H70" s="71"/>
      <c r="L70" s="4"/>
      <c r="M70" s="83"/>
      <c r="N70" s="37"/>
      <c r="O70" s="151">
        <v>0</v>
      </c>
      <c r="P70" s="157"/>
      <c r="Q70" s="150">
        <f t="shared" si="5"/>
        <v>0</v>
      </c>
      <c r="R70" s="139"/>
      <c r="S70" s="71"/>
    </row>
    <row r="71" spans="1:21" ht="16.5" thickTop="1" thickBot="1" x14ac:dyDescent="0.3">
      <c r="C71" s="90">
        <f>SUM(C10:C70)</f>
        <v>146</v>
      </c>
      <c r="D71" s="151">
        <v>0</v>
      </c>
      <c r="E71" s="38"/>
      <c r="F71" s="5">
        <f>SUM(F10:F70)</f>
        <v>3854.9099999999994</v>
      </c>
      <c r="N71" s="90">
        <f>SUM(N10:N70)</f>
        <v>0</v>
      </c>
      <c r="O71" s="151">
        <v>0</v>
      </c>
      <c r="P71" s="38"/>
      <c r="Q71" s="5">
        <f>SUM(Q10:Q70)</f>
        <v>0</v>
      </c>
    </row>
    <row r="72" spans="1:21" ht="15.75" thickBot="1" x14ac:dyDescent="0.3">
      <c r="A72" s="51"/>
      <c r="D72" s="151">
        <v>0</v>
      </c>
      <c r="E72" s="68">
        <f>F4+F5+F6-+C71+F7</f>
        <v>129</v>
      </c>
      <c r="F72" s="5"/>
      <c r="L72" s="51"/>
      <c r="O72" s="151">
        <v>0</v>
      </c>
      <c r="P72" s="68">
        <f>Q4+Q5+Q6-+N71+Q7</f>
        <v>48</v>
      </c>
      <c r="Q72" s="5"/>
    </row>
    <row r="73" spans="1:21" ht="15.75" thickBot="1" x14ac:dyDescent="0.3">
      <c r="A73" s="119"/>
      <c r="D73" s="47"/>
      <c r="F73" s="5"/>
      <c r="L73" s="119"/>
      <c r="O73" s="47"/>
      <c r="Q73" s="5"/>
    </row>
    <row r="74" spans="1:21" ht="16.5" thickTop="1" thickBot="1" x14ac:dyDescent="0.3">
      <c r="A74" s="47"/>
      <c r="C74" s="1088" t="s">
        <v>11</v>
      </c>
      <c r="D74" s="1089"/>
      <c r="E74" s="145">
        <f>E5+E4+E6+-F71+E7</f>
        <v>3161.940000000001</v>
      </c>
      <c r="F74" s="5"/>
      <c r="L74" s="47"/>
      <c r="N74" s="1088" t="s">
        <v>11</v>
      </c>
      <c r="O74" s="1089"/>
      <c r="P74" s="145">
        <f>P5+P4+P6+-Q71+P7</f>
        <v>1299.74</v>
      </c>
      <c r="Q74" s="5"/>
    </row>
  </sheetData>
  <mergeCells count="12">
    <mergeCell ref="U8:U9"/>
    <mergeCell ref="A1:I1"/>
    <mergeCell ref="J8:J9"/>
    <mergeCell ref="C74:D74"/>
    <mergeCell ref="A5:A7"/>
    <mergeCell ref="B5:B7"/>
    <mergeCell ref="I8:I9"/>
    <mergeCell ref="N74:O74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58"/>
      <c r="B1" s="1058"/>
      <c r="C1" s="1058"/>
      <c r="D1" s="1058"/>
      <c r="E1" s="1058"/>
      <c r="F1" s="1058"/>
      <c r="G1" s="105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7"/>
      <c r="F4" s="241"/>
    </row>
    <row r="5" spans="1:10" ht="16.5" thickBot="1" x14ac:dyDescent="0.3">
      <c r="A5" s="1110"/>
      <c r="B5" s="1112" t="s">
        <v>80</v>
      </c>
      <c r="C5" s="576"/>
      <c r="D5" s="582"/>
      <c r="E5" s="508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1111"/>
      <c r="B6" s="1113"/>
      <c r="C6" s="226"/>
      <c r="D6" s="118"/>
      <c r="E6" s="507"/>
      <c r="F6" s="241"/>
      <c r="I6" s="1114" t="s">
        <v>3</v>
      </c>
      <c r="J6" s="110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15"/>
      <c r="J7" s="1109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18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088" t="s">
        <v>11</v>
      </c>
      <c r="D100" s="1089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58"/>
      <c r="B1" s="1058"/>
      <c r="C1" s="1058"/>
      <c r="D1" s="1058"/>
      <c r="E1" s="1058"/>
      <c r="F1" s="1058"/>
      <c r="G1" s="105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1084"/>
      <c r="B5" s="1116" t="s">
        <v>75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1085"/>
      <c r="B6" s="1117"/>
      <c r="C6" s="226"/>
      <c r="D6" s="118"/>
      <c r="E6" s="144"/>
      <c r="F6" s="242"/>
      <c r="I6" s="1114" t="s">
        <v>3</v>
      </c>
      <c r="J6" s="110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15"/>
      <c r="J7" s="1109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18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088" t="s">
        <v>11</v>
      </c>
      <c r="D33" s="1089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2"/>
  <sheetViews>
    <sheetView topLeftCell="V1" workbookViewId="0">
      <selection activeCell="W18" sqref="W1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  <col min="23" max="23" width="25.85546875" bestFit="1" customWidth="1"/>
    <col min="24" max="24" width="15.5703125" customWidth="1"/>
    <col min="25" max="25" width="12.85546875" customWidth="1"/>
  </cols>
  <sheetData>
    <row r="1" spans="1:32" ht="45.75" x14ac:dyDescent="0.65">
      <c r="A1" s="1104" t="s">
        <v>291</v>
      </c>
      <c r="B1" s="1104"/>
      <c r="C1" s="1104"/>
      <c r="D1" s="1104"/>
      <c r="E1" s="1104"/>
      <c r="F1" s="1104"/>
      <c r="G1" s="1104"/>
      <c r="H1" s="1104"/>
      <c r="I1" s="1104"/>
      <c r="J1" s="99">
        <v>1</v>
      </c>
      <c r="L1" s="1104" t="str">
        <f>A1</f>
        <v>INVENTARIO     DEL MES DE    AGOSTO    2022</v>
      </c>
      <c r="M1" s="1104"/>
      <c r="N1" s="1104"/>
      <c r="O1" s="1104"/>
      <c r="P1" s="1104"/>
      <c r="Q1" s="1104"/>
      <c r="R1" s="1104"/>
      <c r="S1" s="1104"/>
      <c r="T1" s="1104"/>
      <c r="U1" s="99">
        <v>2</v>
      </c>
      <c r="W1" s="1107" t="s">
        <v>306</v>
      </c>
      <c r="X1" s="1107"/>
      <c r="Y1" s="1107"/>
      <c r="Z1" s="1107"/>
      <c r="AA1" s="1107"/>
      <c r="AB1" s="1107"/>
      <c r="AC1" s="1107"/>
      <c r="AD1" s="1107"/>
      <c r="AE1" s="1107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71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37"/>
      <c r="D4" s="337"/>
      <c r="E4" s="256"/>
      <c r="F4" s="242"/>
      <c r="G4" s="73"/>
      <c r="N4" s="237"/>
      <c r="O4" s="337"/>
      <c r="P4" s="256"/>
      <c r="Q4" s="242"/>
      <c r="R4" s="73"/>
      <c r="Y4" s="237"/>
      <c r="Z4" s="337"/>
      <c r="AA4" s="256"/>
      <c r="AB4" s="242"/>
      <c r="AC4" s="73"/>
    </row>
    <row r="5" spans="1:32" ht="15" customHeight="1" x14ac:dyDescent="0.25">
      <c r="A5" s="613"/>
      <c r="B5" s="1118" t="s">
        <v>132</v>
      </c>
      <c r="C5" s="237">
        <v>87</v>
      </c>
      <c r="D5" s="337">
        <v>44756</v>
      </c>
      <c r="E5" s="256">
        <v>500</v>
      </c>
      <c r="F5" s="242">
        <v>50</v>
      </c>
      <c r="G5" s="147">
        <f>F39</f>
        <v>0</v>
      </c>
      <c r="H5" s="58">
        <f>E4+E5+E6-G5</f>
        <v>500</v>
      </c>
      <c r="L5" s="613"/>
      <c r="M5" s="1118" t="s">
        <v>132</v>
      </c>
      <c r="N5" s="237">
        <v>87</v>
      </c>
      <c r="O5" s="337">
        <v>44778</v>
      </c>
      <c r="P5" s="256">
        <v>500</v>
      </c>
      <c r="Q5" s="242">
        <v>50</v>
      </c>
      <c r="R5" s="147">
        <f>Q39</f>
        <v>510</v>
      </c>
      <c r="S5" s="58">
        <f>P4+P5+P6-R5</f>
        <v>0</v>
      </c>
      <c r="W5" s="613"/>
      <c r="X5" s="1118" t="s">
        <v>460</v>
      </c>
      <c r="Y5" s="237">
        <v>91</v>
      </c>
      <c r="Z5" s="337">
        <v>44824</v>
      </c>
      <c r="AA5" s="256">
        <v>1005</v>
      </c>
      <c r="AB5" s="242">
        <v>67</v>
      </c>
      <c r="AC5" s="147">
        <f>AB39</f>
        <v>0</v>
      </c>
      <c r="AD5" s="58">
        <f>AA4+AA5+AA6-AC5</f>
        <v>1005</v>
      </c>
    </row>
    <row r="6" spans="1:32" ht="16.5" customHeight="1" x14ac:dyDescent="0.25">
      <c r="A6" s="613" t="s">
        <v>133</v>
      </c>
      <c r="B6" s="1119"/>
      <c r="C6" s="237"/>
      <c r="D6" s="337"/>
      <c r="E6" s="256"/>
      <c r="F6" s="242"/>
      <c r="G6" s="73"/>
      <c r="L6" s="613" t="s">
        <v>133</v>
      </c>
      <c r="M6" s="1119"/>
      <c r="N6" s="237"/>
      <c r="O6" s="337"/>
      <c r="P6" s="256">
        <v>10</v>
      </c>
      <c r="Q6" s="242">
        <v>1</v>
      </c>
      <c r="R6" s="73"/>
      <c r="W6" s="613" t="s">
        <v>459</v>
      </c>
      <c r="X6" s="1119"/>
      <c r="Y6" s="237"/>
      <c r="Z6" s="337"/>
      <c r="AA6" s="256"/>
      <c r="AB6" s="242"/>
      <c r="AC6" s="73"/>
    </row>
    <row r="7" spans="1:32" ht="15.75" customHeight="1" thickBot="1" x14ac:dyDescent="0.35">
      <c r="A7" s="613"/>
      <c r="B7" s="1119"/>
      <c r="C7" s="237"/>
      <c r="D7" s="337"/>
      <c r="E7" s="256"/>
      <c r="F7" s="242"/>
      <c r="G7" s="73"/>
      <c r="I7" s="379"/>
      <c r="J7" s="379"/>
      <c r="L7" s="613"/>
      <c r="M7" s="1119"/>
      <c r="N7" s="237"/>
      <c r="O7" s="337"/>
      <c r="P7" s="256"/>
      <c r="Q7" s="242"/>
      <c r="R7" s="73"/>
      <c r="T7" s="379"/>
      <c r="U7" s="379"/>
      <c r="W7" s="613"/>
      <c r="X7" s="1119"/>
      <c r="Y7" s="237"/>
      <c r="Z7" s="337"/>
      <c r="AA7" s="256"/>
      <c r="AB7" s="242"/>
      <c r="AC7" s="73"/>
      <c r="AE7" s="379"/>
      <c r="AF7" s="379"/>
    </row>
    <row r="8" spans="1:32" ht="16.5" customHeight="1" thickTop="1" thickBot="1" x14ac:dyDescent="0.3">
      <c r="B8" s="424"/>
      <c r="C8" s="237"/>
      <c r="D8" s="118"/>
      <c r="E8" s="335"/>
      <c r="F8" s="336"/>
      <c r="G8" s="73"/>
      <c r="I8" s="1097" t="s">
        <v>47</v>
      </c>
      <c r="J8" s="1102" t="s">
        <v>4</v>
      </c>
      <c r="M8" s="424"/>
      <c r="N8" s="237"/>
      <c r="O8" s="118"/>
      <c r="P8" s="335"/>
      <c r="Q8" s="336"/>
      <c r="R8" s="73"/>
      <c r="T8" s="1097" t="s">
        <v>47</v>
      </c>
      <c r="U8" s="1102" t="s">
        <v>4</v>
      </c>
      <c r="X8" s="424"/>
      <c r="Y8" s="237"/>
      <c r="Z8" s="118"/>
      <c r="AA8" s="335"/>
      <c r="AB8" s="336"/>
      <c r="AC8" s="73"/>
      <c r="AE8" s="1097" t="s">
        <v>47</v>
      </c>
      <c r="AF8" s="1102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98"/>
      <c r="J9" s="1103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98"/>
      <c r="U9" s="1103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098"/>
      <c r="AF9" s="1103"/>
    </row>
    <row r="10" spans="1:32" ht="15.75" thickTop="1" x14ac:dyDescent="0.25">
      <c r="A10" s="2"/>
      <c r="B10" s="83">
        <v>10</v>
      </c>
      <c r="C10" s="15">
        <v>1</v>
      </c>
      <c r="D10" s="151">
        <f>C10*B10</f>
        <v>10</v>
      </c>
      <c r="E10" s="246">
        <v>44776</v>
      </c>
      <c r="F10" s="69">
        <f t="shared" ref="F10:F39" si="0">D10</f>
        <v>10</v>
      </c>
      <c r="G10" s="70" t="s">
        <v>191</v>
      </c>
      <c r="H10" s="71">
        <v>89</v>
      </c>
      <c r="I10" s="209">
        <f>E4+E5+E6-F10+E7+E8</f>
        <v>490</v>
      </c>
      <c r="J10" s="127">
        <f>F4+F5+F6+F7-C10+F8</f>
        <v>49</v>
      </c>
      <c r="L10" s="2"/>
      <c r="M10" s="83">
        <v>10</v>
      </c>
      <c r="N10" s="15">
        <v>10</v>
      </c>
      <c r="O10" s="151">
        <f>M10*N10</f>
        <v>100</v>
      </c>
      <c r="P10" s="246">
        <v>44809</v>
      </c>
      <c r="Q10" s="69">
        <f t="shared" ref="Q10:Q38" si="1">O10</f>
        <v>100</v>
      </c>
      <c r="R10" s="70" t="s">
        <v>559</v>
      </c>
      <c r="S10" s="71">
        <v>91</v>
      </c>
      <c r="T10" s="209">
        <f>P4+P5+P6-Q10+P7+P8</f>
        <v>410</v>
      </c>
      <c r="U10" s="127">
        <f>Q4+Q5+Q6+Q7-N10+Q8</f>
        <v>41</v>
      </c>
      <c r="W10" s="2"/>
      <c r="X10" s="83">
        <v>15</v>
      </c>
      <c r="Y10" s="15">
        <v>9</v>
      </c>
      <c r="Z10" s="151">
        <f>X10*Y10</f>
        <v>135</v>
      </c>
      <c r="AA10" s="246">
        <v>44830</v>
      </c>
      <c r="AB10" s="69">
        <f t="shared" ref="AB10:AB39" si="2">Z10</f>
        <v>135</v>
      </c>
      <c r="AC10" s="70" t="s">
        <v>720</v>
      </c>
      <c r="AD10" s="71">
        <v>93</v>
      </c>
      <c r="AE10" s="209">
        <f>AA4+AA5+AA6-AB10+AA7+AA8</f>
        <v>870</v>
      </c>
      <c r="AF10" s="127">
        <f>AB4+AB5+AB6+AB7-Y10+AB8</f>
        <v>58</v>
      </c>
    </row>
    <row r="11" spans="1:32" x14ac:dyDescent="0.25">
      <c r="A11" s="2"/>
      <c r="B11" s="83">
        <v>10</v>
      </c>
      <c r="C11" s="15">
        <v>1</v>
      </c>
      <c r="D11" s="151">
        <f>C11*B11</f>
        <v>10</v>
      </c>
      <c r="E11" s="247">
        <v>44778</v>
      </c>
      <c r="F11" s="69">
        <f t="shared" si="0"/>
        <v>10</v>
      </c>
      <c r="G11" s="70" t="s">
        <v>198</v>
      </c>
      <c r="H11" s="71">
        <v>89</v>
      </c>
      <c r="I11" s="209">
        <f>I10-F11</f>
        <v>480</v>
      </c>
      <c r="J11" s="127">
        <f>J10-C11</f>
        <v>48</v>
      </c>
      <c r="L11" s="2"/>
      <c r="M11" s="83">
        <v>10</v>
      </c>
      <c r="N11" s="15">
        <v>1</v>
      </c>
      <c r="O11" s="151">
        <f>M11*N11</f>
        <v>10</v>
      </c>
      <c r="P11" s="247">
        <v>44810</v>
      </c>
      <c r="Q11" s="69">
        <f t="shared" si="1"/>
        <v>10</v>
      </c>
      <c r="R11" s="70" t="s">
        <v>639</v>
      </c>
      <c r="S11" s="71">
        <v>91</v>
      </c>
      <c r="T11" s="209">
        <f>T10-Q11</f>
        <v>400</v>
      </c>
      <c r="U11" s="127">
        <f>U10-N11</f>
        <v>40</v>
      </c>
      <c r="W11" s="2"/>
      <c r="X11" s="83">
        <v>15</v>
      </c>
      <c r="Y11" s="15">
        <v>1</v>
      </c>
      <c r="Z11" s="151">
        <f>X11*Y11</f>
        <v>15</v>
      </c>
      <c r="AA11" s="247">
        <v>44830</v>
      </c>
      <c r="AB11" s="69">
        <f t="shared" si="2"/>
        <v>15</v>
      </c>
      <c r="AC11" s="70" t="s">
        <v>723</v>
      </c>
      <c r="AD11" s="71">
        <v>93</v>
      </c>
      <c r="AE11" s="209">
        <f>AE10-AB11</f>
        <v>855</v>
      </c>
      <c r="AF11" s="127">
        <f>AF10-Y11</f>
        <v>57</v>
      </c>
    </row>
    <row r="12" spans="1:32" x14ac:dyDescent="0.25">
      <c r="A12" s="80" t="s">
        <v>32</v>
      </c>
      <c r="B12" s="83">
        <v>10</v>
      </c>
      <c r="C12" s="15">
        <v>2</v>
      </c>
      <c r="D12" s="151">
        <f t="shared" ref="D12:D36" si="3">C12*B12</f>
        <v>20</v>
      </c>
      <c r="E12" s="246">
        <v>44781</v>
      </c>
      <c r="F12" s="69">
        <f t="shared" si="0"/>
        <v>20</v>
      </c>
      <c r="G12" s="70" t="s">
        <v>205</v>
      </c>
      <c r="H12" s="71">
        <v>89</v>
      </c>
      <c r="I12" s="209">
        <f t="shared" ref="I12:I37" si="4">I11-F12</f>
        <v>460</v>
      </c>
      <c r="J12" s="127">
        <f t="shared" ref="J12:J37" si="5">J11-C12</f>
        <v>46</v>
      </c>
      <c r="L12" s="80" t="s">
        <v>32</v>
      </c>
      <c r="M12" s="83">
        <v>10</v>
      </c>
      <c r="N12" s="15">
        <v>10</v>
      </c>
      <c r="O12" s="151">
        <f t="shared" ref="O12:O36" si="6">M12*N12</f>
        <v>100</v>
      </c>
      <c r="P12" s="246">
        <v>44814</v>
      </c>
      <c r="Q12" s="69">
        <f t="shared" si="1"/>
        <v>100</v>
      </c>
      <c r="R12" s="70" t="s">
        <v>597</v>
      </c>
      <c r="S12" s="71">
        <v>91</v>
      </c>
      <c r="T12" s="209">
        <f t="shared" ref="T12:T37" si="7">T11-Q12</f>
        <v>300</v>
      </c>
      <c r="U12" s="127">
        <f t="shared" ref="U12:U37" si="8">U11-N12</f>
        <v>30</v>
      </c>
      <c r="W12" s="80" t="s">
        <v>32</v>
      </c>
      <c r="X12" s="83">
        <v>15</v>
      </c>
      <c r="Y12" s="15">
        <v>2</v>
      </c>
      <c r="Z12" s="151">
        <f t="shared" ref="Z12:Z36" si="9">X12*Y12</f>
        <v>30</v>
      </c>
      <c r="AA12" s="246">
        <v>44835</v>
      </c>
      <c r="AB12" s="69">
        <f t="shared" si="2"/>
        <v>30</v>
      </c>
      <c r="AC12" s="70" t="s">
        <v>751</v>
      </c>
      <c r="AD12" s="71">
        <v>93</v>
      </c>
      <c r="AE12" s="209">
        <f t="shared" ref="AE12:AE37" si="10">AE11-AB12</f>
        <v>825</v>
      </c>
      <c r="AF12" s="127">
        <f t="shared" ref="AF12:AF37" si="11">AF11-Y12</f>
        <v>55</v>
      </c>
    </row>
    <row r="13" spans="1:32" x14ac:dyDescent="0.25">
      <c r="A13" s="81"/>
      <c r="B13" s="83">
        <v>10</v>
      </c>
      <c r="C13" s="15">
        <v>10</v>
      </c>
      <c r="D13" s="151">
        <f t="shared" si="3"/>
        <v>100</v>
      </c>
      <c r="E13" s="254">
        <v>44781</v>
      </c>
      <c r="F13" s="69">
        <f t="shared" si="0"/>
        <v>100</v>
      </c>
      <c r="G13" s="70" t="s">
        <v>207</v>
      </c>
      <c r="H13" s="71">
        <v>89</v>
      </c>
      <c r="I13" s="209">
        <f t="shared" si="4"/>
        <v>360</v>
      </c>
      <c r="J13" s="127">
        <f t="shared" si="5"/>
        <v>36</v>
      </c>
      <c r="L13" s="81"/>
      <c r="M13" s="83">
        <v>10</v>
      </c>
      <c r="N13" s="15">
        <v>2</v>
      </c>
      <c r="O13" s="151">
        <f t="shared" si="6"/>
        <v>20</v>
      </c>
      <c r="P13" s="254">
        <v>44816</v>
      </c>
      <c r="Q13" s="69">
        <f t="shared" si="1"/>
        <v>20</v>
      </c>
      <c r="R13" s="70" t="s">
        <v>607</v>
      </c>
      <c r="S13" s="71">
        <v>91</v>
      </c>
      <c r="T13" s="209">
        <f t="shared" si="7"/>
        <v>280</v>
      </c>
      <c r="U13" s="127">
        <f t="shared" si="8"/>
        <v>28</v>
      </c>
      <c r="W13" s="81"/>
      <c r="X13" s="83">
        <v>15</v>
      </c>
      <c r="Y13" s="15"/>
      <c r="Z13" s="151">
        <f t="shared" si="9"/>
        <v>0</v>
      </c>
      <c r="AA13" s="254"/>
      <c r="AB13" s="69">
        <f t="shared" si="2"/>
        <v>0</v>
      </c>
      <c r="AC13" s="70"/>
      <c r="AD13" s="71"/>
      <c r="AE13" s="209">
        <f t="shared" si="10"/>
        <v>825</v>
      </c>
      <c r="AF13" s="127">
        <f t="shared" si="11"/>
        <v>55</v>
      </c>
    </row>
    <row r="14" spans="1:32" x14ac:dyDescent="0.25">
      <c r="A14" s="83"/>
      <c r="B14" s="83">
        <v>10</v>
      </c>
      <c r="C14" s="15">
        <v>1</v>
      </c>
      <c r="D14" s="151">
        <f t="shared" si="3"/>
        <v>10</v>
      </c>
      <c r="E14" s="254">
        <v>44782</v>
      </c>
      <c r="F14" s="69">
        <f t="shared" si="0"/>
        <v>10</v>
      </c>
      <c r="G14" s="70" t="s">
        <v>209</v>
      </c>
      <c r="H14" s="71">
        <v>89</v>
      </c>
      <c r="I14" s="209">
        <f t="shared" si="4"/>
        <v>350</v>
      </c>
      <c r="J14" s="127">
        <f t="shared" si="5"/>
        <v>35</v>
      </c>
      <c r="L14" s="83"/>
      <c r="M14" s="83">
        <v>10</v>
      </c>
      <c r="N14" s="15">
        <v>8</v>
      </c>
      <c r="O14" s="151">
        <f t="shared" si="6"/>
        <v>80</v>
      </c>
      <c r="P14" s="254">
        <v>44819</v>
      </c>
      <c r="Q14" s="69">
        <f t="shared" si="1"/>
        <v>80</v>
      </c>
      <c r="R14" s="70" t="s">
        <v>638</v>
      </c>
      <c r="S14" s="71">
        <v>91</v>
      </c>
      <c r="T14" s="209">
        <f t="shared" si="7"/>
        <v>200</v>
      </c>
      <c r="U14" s="127">
        <f t="shared" si="8"/>
        <v>20</v>
      </c>
      <c r="W14" s="83"/>
      <c r="X14" s="83">
        <v>15</v>
      </c>
      <c r="Y14" s="15"/>
      <c r="Z14" s="151">
        <f t="shared" si="9"/>
        <v>0</v>
      </c>
      <c r="AA14" s="254"/>
      <c r="AB14" s="69">
        <f t="shared" si="2"/>
        <v>0</v>
      </c>
      <c r="AC14" s="70"/>
      <c r="AD14" s="71"/>
      <c r="AE14" s="209">
        <f t="shared" si="10"/>
        <v>825</v>
      </c>
      <c r="AF14" s="127">
        <f t="shared" si="11"/>
        <v>55</v>
      </c>
    </row>
    <row r="15" spans="1:32" x14ac:dyDescent="0.25">
      <c r="A15" s="82" t="s">
        <v>33</v>
      </c>
      <c r="B15" s="83">
        <v>10</v>
      </c>
      <c r="C15" s="15">
        <v>1</v>
      </c>
      <c r="D15" s="151">
        <f t="shared" si="3"/>
        <v>10</v>
      </c>
      <c r="E15" s="254">
        <v>44783</v>
      </c>
      <c r="F15" s="69">
        <f t="shared" si="0"/>
        <v>10</v>
      </c>
      <c r="G15" s="70" t="s">
        <v>201</v>
      </c>
      <c r="H15" s="71">
        <v>89</v>
      </c>
      <c r="I15" s="209">
        <f t="shared" si="4"/>
        <v>340</v>
      </c>
      <c r="J15" s="127">
        <f t="shared" si="5"/>
        <v>34</v>
      </c>
      <c r="L15" s="82" t="s">
        <v>33</v>
      </c>
      <c r="M15" s="83">
        <v>10</v>
      </c>
      <c r="N15" s="15">
        <v>1</v>
      </c>
      <c r="O15" s="151">
        <f t="shared" si="6"/>
        <v>10</v>
      </c>
      <c r="P15" s="254">
        <v>44819</v>
      </c>
      <c r="Q15" s="69">
        <f t="shared" si="1"/>
        <v>10</v>
      </c>
      <c r="R15" s="70" t="s">
        <v>645</v>
      </c>
      <c r="S15" s="71">
        <v>91</v>
      </c>
      <c r="T15" s="209">
        <f t="shared" si="7"/>
        <v>190</v>
      </c>
      <c r="U15" s="127">
        <f t="shared" si="8"/>
        <v>19</v>
      </c>
      <c r="W15" s="82" t="s">
        <v>33</v>
      </c>
      <c r="X15" s="83">
        <v>15</v>
      </c>
      <c r="Y15" s="15"/>
      <c r="Z15" s="151">
        <f t="shared" si="9"/>
        <v>0</v>
      </c>
      <c r="AA15" s="254"/>
      <c r="AB15" s="69">
        <f t="shared" si="2"/>
        <v>0</v>
      </c>
      <c r="AC15" s="70"/>
      <c r="AD15" s="71"/>
      <c r="AE15" s="209">
        <f t="shared" si="10"/>
        <v>825</v>
      </c>
      <c r="AF15" s="127">
        <f t="shared" si="11"/>
        <v>55</v>
      </c>
    </row>
    <row r="16" spans="1:32" x14ac:dyDescent="0.25">
      <c r="A16" s="81"/>
      <c r="B16" s="83">
        <v>10</v>
      </c>
      <c r="C16" s="15">
        <v>1</v>
      </c>
      <c r="D16" s="151">
        <f t="shared" si="3"/>
        <v>10</v>
      </c>
      <c r="E16" s="246">
        <v>44788</v>
      </c>
      <c r="F16" s="69">
        <f t="shared" si="0"/>
        <v>10</v>
      </c>
      <c r="G16" s="70" t="s">
        <v>226</v>
      </c>
      <c r="H16" s="71">
        <v>91</v>
      </c>
      <c r="I16" s="209">
        <f t="shared" si="4"/>
        <v>330</v>
      </c>
      <c r="J16" s="127">
        <f t="shared" si="5"/>
        <v>33</v>
      </c>
      <c r="L16" s="81"/>
      <c r="M16" s="83">
        <v>10</v>
      </c>
      <c r="N16" s="15">
        <v>1</v>
      </c>
      <c r="O16" s="151">
        <f t="shared" si="6"/>
        <v>10</v>
      </c>
      <c r="P16" s="246">
        <v>44820</v>
      </c>
      <c r="Q16" s="69">
        <f t="shared" si="1"/>
        <v>10</v>
      </c>
      <c r="R16" s="70" t="s">
        <v>653</v>
      </c>
      <c r="S16" s="71">
        <v>91</v>
      </c>
      <c r="T16" s="209">
        <f t="shared" si="7"/>
        <v>180</v>
      </c>
      <c r="U16" s="127">
        <f t="shared" si="8"/>
        <v>18</v>
      </c>
      <c r="W16" s="81"/>
      <c r="X16" s="83">
        <v>15</v>
      </c>
      <c r="Y16" s="15"/>
      <c r="Z16" s="151">
        <f t="shared" si="9"/>
        <v>0</v>
      </c>
      <c r="AA16" s="246"/>
      <c r="AB16" s="69">
        <f t="shared" si="2"/>
        <v>0</v>
      </c>
      <c r="AC16" s="70"/>
      <c r="AD16" s="71"/>
      <c r="AE16" s="209">
        <f t="shared" si="10"/>
        <v>825</v>
      </c>
      <c r="AF16" s="127">
        <f t="shared" si="11"/>
        <v>55</v>
      </c>
    </row>
    <row r="17" spans="1:32" x14ac:dyDescent="0.25">
      <c r="A17" s="83"/>
      <c r="B17" s="83">
        <v>10</v>
      </c>
      <c r="C17" s="15">
        <v>1</v>
      </c>
      <c r="D17" s="151">
        <f t="shared" si="3"/>
        <v>10</v>
      </c>
      <c r="E17" s="254">
        <v>44790</v>
      </c>
      <c r="F17" s="69">
        <f t="shared" si="0"/>
        <v>10</v>
      </c>
      <c r="G17" s="70" t="s">
        <v>233</v>
      </c>
      <c r="H17" s="71">
        <v>91</v>
      </c>
      <c r="I17" s="209">
        <f t="shared" si="4"/>
        <v>320</v>
      </c>
      <c r="J17" s="127">
        <f t="shared" si="5"/>
        <v>32</v>
      </c>
      <c r="L17" s="83"/>
      <c r="M17" s="83">
        <v>10</v>
      </c>
      <c r="N17" s="15">
        <v>2</v>
      </c>
      <c r="O17" s="151">
        <f t="shared" si="6"/>
        <v>20</v>
      </c>
      <c r="P17" s="254">
        <v>44821</v>
      </c>
      <c r="Q17" s="69">
        <f t="shared" si="1"/>
        <v>20</v>
      </c>
      <c r="R17" s="70" t="s">
        <v>661</v>
      </c>
      <c r="S17" s="71">
        <v>91</v>
      </c>
      <c r="T17" s="209">
        <f t="shared" si="7"/>
        <v>160</v>
      </c>
      <c r="U17" s="127">
        <f t="shared" si="8"/>
        <v>16</v>
      </c>
      <c r="W17" s="83"/>
      <c r="X17" s="83">
        <v>15</v>
      </c>
      <c r="Y17" s="15"/>
      <c r="Z17" s="151">
        <f t="shared" si="9"/>
        <v>0</v>
      </c>
      <c r="AA17" s="254"/>
      <c r="AB17" s="69">
        <f t="shared" si="2"/>
        <v>0</v>
      </c>
      <c r="AC17" s="70"/>
      <c r="AD17" s="71"/>
      <c r="AE17" s="209">
        <f t="shared" si="10"/>
        <v>825</v>
      </c>
      <c r="AF17" s="127">
        <f t="shared" si="11"/>
        <v>55</v>
      </c>
    </row>
    <row r="18" spans="1:32" x14ac:dyDescent="0.25">
      <c r="A18" s="2"/>
      <c r="B18" s="83">
        <v>10</v>
      </c>
      <c r="C18" s="15">
        <v>10</v>
      </c>
      <c r="D18" s="151">
        <f t="shared" si="3"/>
        <v>100</v>
      </c>
      <c r="E18" s="254">
        <v>44793</v>
      </c>
      <c r="F18" s="69">
        <f t="shared" si="0"/>
        <v>100</v>
      </c>
      <c r="G18" s="418" t="s">
        <v>245</v>
      </c>
      <c r="H18" s="71">
        <v>91</v>
      </c>
      <c r="I18" s="209">
        <f t="shared" si="4"/>
        <v>220</v>
      </c>
      <c r="J18" s="127">
        <f t="shared" si="5"/>
        <v>22</v>
      </c>
      <c r="L18" s="2"/>
      <c r="M18" s="83">
        <v>10</v>
      </c>
      <c r="N18" s="15">
        <v>2</v>
      </c>
      <c r="O18" s="151">
        <f t="shared" si="6"/>
        <v>20</v>
      </c>
      <c r="P18" s="254">
        <v>44823</v>
      </c>
      <c r="Q18" s="69">
        <f t="shared" si="1"/>
        <v>20</v>
      </c>
      <c r="R18" s="418" t="s">
        <v>675</v>
      </c>
      <c r="S18" s="71">
        <v>91</v>
      </c>
      <c r="T18" s="209">
        <f t="shared" si="7"/>
        <v>140</v>
      </c>
      <c r="U18" s="127">
        <f t="shared" si="8"/>
        <v>14</v>
      </c>
      <c r="W18" s="2"/>
      <c r="X18" s="83">
        <v>15</v>
      </c>
      <c r="Y18" s="15"/>
      <c r="Z18" s="151">
        <f t="shared" si="9"/>
        <v>0</v>
      </c>
      <c r="AA18" s="254"/>
      <c r="AB18" s="69">
        <f t="shared" si="2"/>
        <v>0</v>
      </c>
      <c r="AC18" s="418"/>
      <c r="AD18" s="71"/>
      <c r="AE18" s="209">
        <f t="shared" si="10"/>
        <v>825</v>
      </c>
      <c r="AF18" s="127">
        <f t="shared" si="11"/>
        <v>55</v>
      </c>
    </row>
    <row r="19" spans="1:32" x14ac:dyDescent="0.25">
      <c r="A19" s="2"/>
      <c r="B19" s="83">
        <v>10</v>
      </c>
      <c r="C19" s="53">
        <v>1</v>
      </c>
      <c r="D19" s="151">
        <f t="shared" si="3"/>
        <v>10</v>
      </c>
      <c r="E19" s="254">
        <v>44793</v>
      </c>
      <c r="F19" s="69">
        <f t="shared" si="0"/>
        <v>10</v>
      </c>
      <c r="G19" s="70" t="s">
        <v>247</v>
      </c>
      <c r="H19" s="71">
        <v>91</v>
      </c>
      <c r="I19" s="209">
        <f t="shared" si="4"/>
        <v>210</v>
      </c>
      <c r="J19" s="127">
        <f t="shared" si="5"/>
        <v>21</v>
      </c>
      <c r="L19" s="2"/>
      <c r="M19" s="83">
        <v>10</v>
      </c>
      <c r="N19" s="53">
        <v>2</v>
      </c>
      <c r="O19" s="151">
        <f t="shared" si="6"/>
        <v>20</v>
      </c>
      <c r="P19" s="254">
        <v>44823</v>
      </c>
      <c r="Q19" s="69">
        <f t="shared" si="1"/>
        <v>20</v>
      </c>
      <c r="R19" s="70" t="s">
        <v>676</v>
      </c>
      <c r="S19" s="71">
        <v>91</v>
      </c>
      <c r="T19" s="209">
        <f t="shared" si="7"/>
        <v>120</v>
      </c>
      <c r="U19" s="127">
        <f t="shared" si="8"/>
        <v>12</v>
      </c>
      <c r="W19" s="2"/>
      <c r="X19" s="83">
        <v>15</v>
      </c>
      <c r="Y19" s="53"/>
      <c r="Z19" s="151">
        <f t="shared" si="9"/>
        <v>0</v>
      </c>
      <c r="AA19" s="254"/>
      <c r="AB19" s="69">
        <f t="shared" si="2"/>
        <v>0</v>
      </c>
      <c r="AC19" s="70"/>
      <c r="AD19" s="71"/>
      <c r="AE19" s="209">
        <f t="shared" si="10"/>
        <v>825</v>
      </c>
      <c r="AF19" s="127">
        <f t="shared" si="11"/>
        <v>55</v>
      </c>
    </row>
    <row r="20" spans="1:32" x14ac:dyDescent="0.25">
      <c r="A20" s="2"/>
      <c r="B20" s="83">
        <v>10</v>
      </c>
      <c r="C20" s="15">
        <v>2</v>
      </c>
      <c r="D20" s="151">
        <f t="shared" si="3"/>
        <v>20</v>
      </c>
      <c r="E20" s="246">
        <v>44795</v>
      </c>
      <c r="F20" s="69">
        <f t="shared" si="0"/>
        <v>20</v>
      </c>
      <c r="G20" s="70" t="s">
        <v>250</v>
      </c>
      <c r="H20" s="71">
        <v>91</v>
      </c>
      <c r="I20" s="209">
        <f t="shared" si="4"/>
        <v>190</v>
      </c>
      <c r="J20" s="127">
        <f t="shared" si="5"/>
        <v>19</v>
      </c>
      <c r="L20" s="2"/>
      <c r="M20" s="83">
        <v>10</v>
      </c>
      <c r="N20" s="15">
        <v>10</v>
      </c>
      <c r="O20" s="151">
        <f t="shared" si="6"/>
        <v>100</v>
      </c>
      <c r="P20" s="246">
        <v>44827</v>
      </c>
      <c r="Q20" s="69">
        <f t="shared" si="1"/>
        <v>100</v>
      </c>
      <c r="R20" s="70" t="s">
        <v>706</v>
      </c>
      <c r="S20" s="71">
        <v>91</v>
      </c>
      <c r="T20" s="209">
        <f t="shared" si="7"/>
        <v>20</v>
      </c>
      <c r="U20" s="127">
        <f t="shared" si="8"/>
        <v>2</v>
      </c>
      <c r="W20" s="2"/>
      <c r="X20" s="83">
        <v>15</v>
      </c>
      <c r="Y20" s="15"/>
      <c r="Z20" s="151">
        <f t="shared" si="9"/>
        <v>0</v>
      </c>
      <c r="AA20" s="246"/>
      <c r="AB20" s="69">
        <f t="shared" si="2"/>
        <v>0</v>
      </c>
      <c r="AC20" s="70"/>
      <c r="AD20" s="71"/>
      <c r="AE20" s="209">
        <f t="shared" si="10"/>
        <v>825</v>
      </c>
      <c r="AF20" s="127">
        <f t="shared" si="11"/>
        <v>55</v>
      </c>
    </row>
    <row r="21" spans="1:32" x14ac:dyDescent="0.25">
      <c r="A21" s="2"/>
      <c r="B21" s="83">
        <v>10</v>
      </c>
      <c r="C21" s="15">
        <v>1</v>
      </c>
      <c r="D21" s="151">
        <f t="shared" si="3"/>
        <v>10</v>
      </c>
      <c r="E21" s="246">
        <v>44800</v>
      </c>
      <c r="F21" s="69">
        <f t="shared" si="0"/>
        <v>10</v>
      </c>
      <c r="G21" s="70" t="s">
        <v>265</v>
      </c>
      <c r="H21" s="71">
        <v>93</v>
      </c>
      <c r="I21" s="209">
        <f t="shared" si="4"/>
        <v>180</v>
      </c>
      <c r="J21" s="127">
        <f t="shared" si="5"/>
        <v>18</v>
      </c>
      <c r="L21" s="2"/>
      <c r="M21" s="83">
        <v>10</v>
      </c>
      <c r="N21" s="15">
        <v>1</v>
      </c>
      <c r="O21" s="151">
        <f t="shared" si="6"/>
        <v>10</v>
      </c>
      <c r="P21" s="246">
        <v>44827</v>
      </c>
      <c r="Q21" s="69">
        <f t="shared" si="1"/>
        <v>10</v>
      </c>
      <c r="R21" s="70" t="s">
        <v>707</v>
      </c>
      <c r="S21" s="71">
        <v>91</v>
      </c>
      <c r="T21" s="209">
        <f t="shared" si="7"/>
        <v>10</v>
      </c>
      <c r="U21" s="127">
        <f t="shared" si="8"/>
        <v>1</v>
      </c>
      <c r="W21" s="2"/>
      <c r="X21" s="83">
        <v>15</v>
      </c>
      <c r="Y21" s="15"/>
      <c r="Z21" s="151">
        <f t="shared" si="9"/>
        <v>0</v>
      </c>
      <c r="AA21" s="246"/>
      <c r="AB21" s="69">
        <f t="shared" si="2"/>
        <v>0</v>
      </c>
      <c r="AC21" s="70"/>
      <c r="AD21" s="71"/>
      <c r="AE21" s="209">
        <f t="shared" si="10"/>
        <v>825</v>
      </c>
      <c r="AF21" s="127">
        <f t="shared" si="11"/>
        <v>55</v>
      </c>
    </row>
    <row r="22" spans="1:32" x14ac:dyDescent="0.25">
      <c r="A22" s="2"/>
      <c r="B22" s="83">
        <v>10</v>
      </c>
      <c r="C22" s="15">
        <v>1</v>
      </c>
      <c r="D22" s="151">
        <f t="shared" si="3"/>
        <v>10</v>
      </c>
      <c r="E22" s="247">
        <v>44800</v>
      </c>
      <c r="F22" s="69">
        <f t="shared" si="0"/>
        <v>10</v>
      </c>
      <c r="G22" s="70" t="s">
        <v>273</v>
      </c>
      <c r="H22" s="71">
        <v>93</v>
      </c>
      <c r="I22" s="209">
        <f t="shared" si="4"/>
        <v>170</v>
      </c>
      <c r="J22" s="127">
        <f t="shared" si="5"/>
        <v>17</v>
      </c>
      <c r="L22" s="2"/>
      <c r="M22" s="83">
        <v>10</v>
      </c>
      <c r="N22" s="15">
        <v>1</v>
      </c>
      <c r="O22" s="151">
        <f t="shared" si="6"/>
        <v>10</v>
      </c>
      <c r="P22" s="247">
        <v>44830</v>
      </c>
      <c r="Q22" s="69">
        <f t="shared" si="1"/>
        <v>10</v>
      </c>
      <c r="R22" s="70" t="s">
        <v>720</v>
      </c>
      <c r="S22" s="71">
        <v>91</v>
      </c>
      <c r="T22" s="209">
        <f t="shared" si="7"/>
        <v>0</v>
      </c>
      <c r="U22" s="127">
        <f t="shared" si="8"/>
        <v>0</v>
      </c>
      <c r="W22" s="2"/>
      <c r="X22" s="83">
        <v>15</v>
      </c>
      <c r="Y22" s="15"/>
      <c r="Z22" s="151">
        <f t="shared" si="9"/>
        <v>0</v>
      </c>
      <c r="AA22" s="247"/>
      <c r="AB22" s="69">
        <f t="shared" si="2"/>
        <v>0</v>
      </c>
      <c r="AC22" s="70"/>
      <c r="AD22" s="71"/>
      <c r="AE22" s="209">
        <f t="shared" si="10"/>
        <v>825</v>
      </c>
      <c r="AF22" s="127">
        <f t="shared" si="11"/>
        <v>55</v>
      </c>
    </row>
    <row r="23" spans="1:32" x14ac:dyDescent="0.25">
      <c r="A23" s="2"/>
      <c r="B23" s="83">
        <v>10</v>
      </c>
      <c r="C23" s="15">
        <v>1</v>
      </c>
      <c r="D23" s="787">
        <f t="shared" si="3"/>
        <v>10</v>
      </c>
      <c r="E23" s="783">
        <v>44803</v>
      </c>
      <c r="F23" s="782">
        <f t="shared" si="0"/>
        <v>10</v>
      </c>
      <c r="G23" s="784" t="s">
        <v>507</v>
      </c>
      <c r="H23" s="206">
        <v>91</v>
      </c>
      <c r="I23" s="209">
        <f t="shared" si="4"/>
        <v>160</v>
      </c>
      <c r="J23" s="127">
        <f t="shared" si="5"/>
        <v>16</v>
      </c>
      <c r="L23" s="2"/>
      <c r="M23" s="83">
        <v>10</v>
      </c>
      <c r="N23" s="15"/>
      <c r="O23" s="151">
        <f t="shared" si="6"/>
        <v>0</v>
      </c>
      <c r="P23" s="247"/>
      <c r="Q23" s="69">
        <f t="shared" si="1"/>
        <v>0</v>
      </c>
      <c r="R23" s="948"/>
      <c r="S23" s="949"/>
      <c r="T23" s="950">
        <f t="shared" si="7"/>
        <v>0</v>
      </c>
      <c r="U23" s="951">
        <f t="shared" si="8"/>
        <v>0</v>
      </c>
      <c r="W23" s="2"/>
      <c r="X23" s="83">
        <v>15</v>
      </c>
      <c r="Y23" s="15"/>
      <c r="Z23" s="151">
        <f t="shared" si="9"/>
        <v>0</v>
      </c>
      <c r="AA23" s="247"/>
      <c r="AB23" s="69">
        <f t="shared" si="2"/>
        <v>0</v>
      </c>
      <c r="AC23" s="70"/>
      <c r="AD23" s="71"/>
      <c r="AE23" s="209">
        <f t="shared" si="10"/>
        <v>825</v>
      </c>
      <c r="AF23" s="127">
        <f t="shared" si="11"/>
        <v>55</v>
      </c>
    </row>
    <row r="24" spans="1:32" x14ac:dyDescent="0.25">
      <c r="A24" s="2"/>
      <c r="B24" s="83">
        <v>10</v>
      </c>
      <c r="C24" s="15">
        <v>1</v>
      </c>
      <c r="D24" s="787">
        <f t="shared" si="3"/>
        <v>10</v>
      </c>
      <c r="E24" s="783">
        <v>44804</v>
      </c>
      <c r="F24" s="782">
        <f t="shared" si="0"/>
        <v>10</v>
      </c>
      <c r="G24" s="784" t="s">
        <v>517</v>
      </c>
      <c r="H24" s="206">
        <v>91</v>
      </c>
      <c r="I24" s="209">
        <f t="shared" si="4"/>
        <v>150</v>
      </c>
      <c r="J24" s="127">
        <f t="shared" si="5"/>
        <v>15</v>
      </c>
      <c r="L24" s="2"/>
      <c r="M24" s="83">
        <v>10</v>
      </c>
      <c r="N24" s="15"/>
      <c r="O24" s="151">
        <f t="shared" si="6"/>
        <v>0</v>
      </c>
      <c r="P24" s="247"/>
      <c r="Q24" s="69">
        <f t="shared" si="1"/>
        <v>0</v>
      </c>
      <c r="R24" s="948"/>
      <c r="S24" s="949"/>
      <c r="T24" s="950">
        <f t="shared" si="7"/>
        <v>0</v>
      </c>
      <c r="U24" s="951">
        <f t="shared" si="8"/>
        <v>0</v>
      </c>
      <c r="W24" s="2"/>
      <c r="X24" s="83">
        <v>15</v>
      </c>
      <c r="Y24" s="15"/>
      <c r="Z24" s="151">
        <f t="shared" si="9"/>
        <v>0</v>
      </c>
      <c r="AA24" s="247"/>
      <c r="AB24" s="69">
        <f t="shared" si="2"/>
        <v>0</v>
      </c>
      <c r="AC24" s="70"/>
      <c r="AD24" s="71"/>
      <c r="AE24" s="209">
        <f t="shared" si="10"/>
        <v>825</v>
      </c>
      <c r="AF24" s="127">
        <f t="shared" si="11"/>
        <v>55</v>
      </c>
    </row>
    <row r="25" spans="1:32" x14ac:dyDescent="0.25">
      <c r="A25" s="2"/>
      <c r="B25" s="83">
        <v>10</v>
      </c>
      <c r="C25" s="15">
        <v>10</v>
      </c>
      <c r="D25" s="787">
        <f t="shared" si="3"/>
        <v>100</v>
      </c>
      <c r="E25" s="783">
        <v>44804</v>
      </c>
      <c r="F25" s="782">
        <f t="shared" si="0"/>
        <v>100</v>
      </c>
      <c r="G25" s="784" t="s">
        <v>518</v>
      </c>
      <c r="H25" s="206">
        <v>91</v>
      </c>
      <c r="I25" s="209">
        <f t="shared" si="4"/>
        <v>50</v>
      </c>
      <c r="J25" s="127">
        <f t="shared" si="5"/>
        <v>5</v>
      </c>
      <c r="L25" s="2"/>
      <c r="M25" s="83">
        <v>10</v>
      </c>
      <c r="N25" s="15"/>
      <c r="O25" s="151">
        <f t="shared" si="6"/>
        <v>0</v>
      </c>
      <c r="P25" s="247"/>
      <c r="Q25" s="69">
        <f t="shared" si="1"/>
        <v>0</v>
      </c>
      <c r="R25" s="948"/>
      <c r="S25" s="949"/>
      <c r="T25" s="950">
        <f t="shared" si="7"/>
        <v>0</v>
      </c>
      <c r="U25" s="951">
        <f t="shared" si="8"/>
        <v>0</v>
      </c>
      <c r="W25" s="2"/>
      <c r="X25" s="83">
        <v>15</v>
      </c>
      <c r="Y25" s="15"/>
      <c r="Z25" s="151">
        <f t="shared" si="9"/>
        <v>0</v>
      </c>
      <c r="AA25" s="247"/>
      <c r="AB25" s="69">
        <f t="shared" si="2"/>
        <v>0</v>
      </c>
      <c r="AC25" s="70"/>
      <c r="AD25" s="71"/>
      <c r="AE25" s="209">
        <f t="shared" si="10"/>
        <v>825</v>
      </c>
      <c r="AF25" s="127">
        <f t="shared" si="11"/>
        <v>55</v>
      </c>
    </row>
    <row r="26" spans="1:32" x14ac:dyDescent="0.25">
      <c r="A26" s="2"/>
      <c r="B26" s="83">
        <v>10</v>
      </c>
      <c r="C26" s="15">
        <v>2</v>
      </c>
      <c r="D26" s="787">
        <f t="shared" si="3"/>
        <v>20</v>
      </c>
      <c r="E26" s="783">
        <v>44804</v>
      </c>
      <c r="F26" s="782">
        <f t="shared" si="0"/>
        <v>20</v>
      </c>
      <c r="G26" s="784" t="s">
        <v>521</v>
      </c>
      <c r="H26" s="206">
        <v>91</v>
      </c>
      <c r="I26" s="209">
        <f t="shared" si="4"/>
        <v>30</v>
      </c>
      <c r="J26" s="127">
        <f t="shared" si="5"/>
        <v>3</v>
      </c>
      <c r="L26" s="2"/>
      <c r="M26" s="83">
        <v>10</v>
      </c>
      <c r="N26" s="15"/>
      <c r="O26" s="151">
        <f t="shared" si="6"/>
        <v>0</v>
      </c>
      <c r="P26" s="247"/>
      <c r="Q26" s="69">
        <f t="shared" si="1"/>
        <v>0</v>
      </c>
      <c r="R26" s="948"/>
      <c r="S26" s="949"/>
      <c r="T26" s="950">
        <f t="shared" si="7"/>
        <v>0</v>
      </c>
      <c r="U26" s="951">
        <f t="shared" si="8"/>
        <v>0</v>
      </c>
      <c r="W26" s="2"/>
      <c r="X26" s="83">
        <v>15</v>
      </c>
      <c r="Y26" s="15"/>
      <c r="Z26" s="151">
        <f t="shared" si="9"/>
        <v>0</v>
      </c>
      <c r="AA26" s="247"/>
      <c r="AB26" s="69">
        <f t="shared" si="2"/>
        <v>0</v>
      </c>
      <c r="AC26" s="70"/>
      <c r="AD26" s="71"/>
      <c r="AE26" s="209">
        <f t="shared" si="10"/>
        <v>825</v>
      </c>
      <c r="AF26" s="127">
        <f t="shared" si="11"/>
        <v>55</v>
      </c>
    </row>
    <row r="27" spans="1:32" x14ac:dyDescent="0.25">
      <c r="A27" s="2"/>
      <c r="B27" s="83">
        <v>10</v>
      </c>
      <c r="C27" s="15">
        <v>1</v>
      </c>
      <c r="D27" s="787">
        <f t="shared" si="3"/>
        <v>10</v>
      </c>
      <c r="E27" s="783">
        <v>44806</v>
      </c>
      <c r="F27" s="782">
        <f t="shared" si="0"/>
        <v>10</v>
      </c>
      <c r="G27" s="784" t="s">
        <v>564</v>
      </c>
      <c r="H27" s="206">
        <v>91</v>
      </c>
      <c r="I27" s="209">
        <f t="shared" si="4"/>
        <v>20</v>
      </c>
      <c r="J27" s="127">
        <f t="shared" si="5"/>
        <v>2</v>
      </c>
      <c r="L27" s="2"/>
      <c r="M27" s="83">
        <v>10</v>
      </c>
      <c r="N27" s="15"/>
      <c r="O27" s="151">
        <f t="shared" si="6"/>
        <v>0</v>
      </c>
      <c r="P27" s="247"/>
      <c r="Q27" s="69">
        <f t="shared" si="1"/>
        <v>0</v>
      </c>
      <c r="R27" s="70"/>
      <c r="S27" s="71"/>
      <c r="T27" s="209">
        <f t="shared" si="7"/>
        <v>0</v>
      </c>
      <c r="U27" s="127">
        <f t="shared" si="8"/>
        <v>0</v>
      </c>
      <c r="W27" s="2"/>
      <c r="X27" s="83">
        <v>15</v>
      </c>
      <c r="Y27" s="15"/>
      <c r="Z27" s="151">
        <f t="shared" si="9"/>
        <v>0</v>
      </c>
      <c r="AA27" s="247"/>
      <c r="AB27" s="69">
        <f t="shared" si="2"/>
        <v>0</v>
      </c>
      <c r="AC27" s="70"/>
      <c r="AD27" s="71"/>
      <c r="AE27" s="209">
        <f t="shared" si="10"/>
        <v>825</v>
      </c>
      <c r="AF27" s="127">
        <f t="shared" si="11"/>
        <v>55</v>
      </c>
    </row>
    <row r="28" spans="1:32" x14ac:dyDescent="0.25">
      <c r="A28" s="2"/>
      <c r="B28" s="83">
        <v>10</v>
      </c>
      <c r="C28" s="15">
        <v>1</v>
      </c>
      <c r="D28" s="787">
        <f t="shared" si="3"/>
        <v>10</v>
      </c>
      <c r="E28" s="783">
        <v>44809</v>
      </c>
      <c r="F28" s="782">
        <f t="shared" si="0"/>
        <v>10</v>
      </c>
      <c r="G28" s="784" t="s">
        <v>563</v>
      </c>
      <c r="H28" s="206">
        <v>91</v>
      </c>
      <c r="I28" s="209">
        <f t="shared" si="4"/>
        <v>10</v>
      </c>
      <c r="J28" s="127">
        <f t="shared" si="5"/>
        <v>1</v>
      </c>
      <c r="L28" s="2"/>
      <c r="M28" s="83">
        <v>10</v>
      </c>
      <c r="N28" s="15"/>
      <c r="O28" s="151">
        <f t="shared" si="6"/>
        <v>0</v>
      </c>
      <c r="P28" s="247"/>
      <c r="Q28" s="69">
        <f t="shared" si="1"/>
        <v>0</v>
      </c>
      <c r="R28" s="70"/>
      <c r="S28" s="71"/>
      <c r="T28" s="209">
        <f t="shared" si="7"/>
        <v>0</v>
      </c>
      <c r="U28" s="127">
        <f t="shared" si="8"/>
        <v>0</v>
      </c>
      <c r="W28" s="2"/>
      <c r="X28" s="83">
        <v>15</v>
      </c>
      <c r="Y28" s="15"/>
      <c r="Z28" s="151">
        <f t="shared" si="9"/>
        <v>0</v>
      </c>
      <c r="AA28" s="247"/>
      <c r="AB28" s="69">
        <f t="shared" si="2"/>
        <v>0</v>
      </c>
      <c r="AC28" s="70"/>
      <c r="AD28" s="71"/>
      <c r="AE28" s="209">
        <f t="shared" si="10"/>
        <v>825</v>
      </c>
      <c r="AF28" s="127">
        <f t="shared" si="11"/>
        <v>55</v>
      </c>
    </row>
    <row r="29" spans="1:32" x14ac:dyDescent="0.25">
      <c r="A29" s="2"/>
      <c r="B29" s="83">
        <v>10</v>
      </c>
      <c r="C29" s="15"/>
      <c r="D29" s="787">
        <f t="shared" si="3"/>
        <v>0</v>
      </c>
      <c r="E29" s="783"/>
      <c r="F29" s="782">
        <f t="shared" si="0"/>
        <v>0</v>
      </c>
      <c r="G29" s="784"/>
      <c r="H29" s="206"/>
      <c r="I29" s="209">
        <f t="shared" si="4"/>
        <v>10</v>
      </c>
      <c r="J29" s="127">
        <f t="shared" si="5"/>
        <v>1</v>
      </c>
      <c r="L29" s="2"/>
      <c r="M29" s="83">
        <v>10</v>
      </c>
      <c r="N29" s="15"/>
      <c r="O29" s="151">
        <f t="shared" si="6"/>
        <v>0</v>
      </c>
      <c r="P29" s="247"/>
      <c r="Q29" s="69">
        <f t="shared" si="1"/>
        <v>0</v>
      </c>
      <c r="R29" s="70"/>
      <c r="S29" s="71"/>
      <c r="T29" s="209">
        <f t="shared" si="7"/>
        <v>0</v>
      </c>
      <c r="U29" s="127">
        <f t="shared" si="8"/>
        <v>0</v>
      </c>
      <c r="W29" s="2"/>
      <c r="X29" s="83">
        <v>15</v>
      </c>
      <c r="Y29" s="15"/>
      <c r="Z29" s="151">
        <f t="shared" si="9"/>
        <v>0</v>
      </c>
      <c r="AA29" s="247"/>
      <c r="AB29" s="69">
        <f t="shared" si="2"/>
        <v>0</v>
      </c>
      <c r="AC29" s="70"/>
      <c r="AD29" s="71"/>
      <c r="AE29" s="209">
        <f t="shared" si="10"/>
        <v>825</v>
      </c>
      <c r="AF29" s="127">
        <f t="shared" si="11"/>
        <v>55</v>
      </c>
    </row>
    <row r="30" spans="1:32" x14ac:dyDescent="0.25">
      <c r="A30" s="2"/>
      <c r="B30" s="83">
        <v>10</v>
      </c>
      <c r="C30" s="15">
        <v>1</v>
      </c>
      <c r="D30" s="787">
        <f t="shared" si="3"/>
        <v>10</v>
      </c>
      <c r="E30" s="783"/>
      <c r="F30" s="782">
        <f t="shared" si="0"/>
        <v>10</v>
      </c>
      <c r="G30" s="784"/>
      <c r="H30" s="206"/>
      <c r="I30" s="209">
        <f t="shared" si="4"/>
        <v>0</v>
      </c>
      <c r="J30" s="127">
        <f t="shared" si="5"/>
        <v>0</v>
      </c>
      <c r="L30" s="2"/>
      <c r="M30" s="83">
        <v>10</v>
      </c>
      <c r="N30" s="15"/>
      <c r="O30" s="151">
        <f t="shared" si="6"/>
        <v>0</v>
      </c>
      <c r="P30" s="593"/>
      <c r="Q30" s="69">
        <f t="shared" si="1"/>
        <v>0</v>
      </c>
      <c r="R30" s="70"/>
      <c r="S30" s="71"/>
      <c r="T30" s="209">
        <f t="shared" si="7"/>
        <v>0</v>
      </c>
      <c r="U30" s="127">
        <f t="shared" si="8"/>
        <v>0</v>
      </c>
      <c r="W30" s="2"/>
      <c r="X30" s="83">
        <v>15</v>
      </c>
      <c r="Y30" s="15"/>
      <c r="Z30" s="151">
        <f t="shared" si="9"/>
        <v>0</v>
      </c>
      <c r="AA30" s="593"/>
      <c r="AB30" s="69">
        <f t="shared" si="2"/>
        <v>0</v>
      </c>
      <c r="AC30" s="70"/>
      <c r="AD30" s="71"/>
      <c r="AE30" s="209">
        <f t="shared" si="10"/>
        <v>825</v>
      </c>
      <c r="AF30" s="127">
        <f t="shared" si="11"/>
        <v>55</v>
      </c>
    </row>
    <row r="31" spans="1:32" x14ac:dyDescent="0.25">
      <c r="A31" s="2"/>
      <c r="B31" s="83">
        <v>10</v>
      </c>
      <c r="C31" s="15"/>
      <c r="D31" s="787">
        <f t="shared" si="3"/>
        <v>0</v>
      </c>
      <c r="E31" s="783"/>
      <c r="F31" s="902">
        <f t="shared" si="0"/>
        <v>0</v>
      </c>
      <c r="G31" s="903"/>
      <c r="H31" s="904"/>
      <c r="I31" s="753">
        <f t="shared" si="4"/>
        <v>0</v>
      </c>
      <c r="J31" s="905">
        <f t="shared" si="5"/>
        <v>0</v>
      </c>
      <c r="L31" s="2"/>
      <c r="M31" s="83">
        <v>10</v>
      </c>
      <c r="N31" s="15"/>
      <c r="O31" s="151">
        <f t="shared" si="6"/>
        <v>0</v>
      </c>
      <c r="P31" s="593"/>
      <c r="Q31" s="69">
        <f t="shared" si="1"/>
        <v>0</v>
      </c>
      <c r="R31" s="70"/>
      <c r="S31" s="71"/>
      <c r="T31" s="209">
        <f t="shared" si="7"/>
        <v>0</v>
      </c>
      <c r="U31" s="127">
        <f t="shared" si="8"/>
        <v>0</v>
      </c>
      <c r="W31" s="2"/>
      <c r="X31" s="83">
        <v>15</v>
      </c>
      <c r="Y31" s="15"/>
      <c r="Z31" s="151">
        <f t="shared" si="9"/>
        <v>0</v>
      </c>
      <c r="AA31" s="593"/>
      <c r="AB31" s="69">
        <f t="shared" si="2"/>
        <v>0</v>
      </c>
      <c r="AC31" s="70"/>
      <c r="AD31" s="71"/>
      <c r="AE31" s="209">
        <f t="shared" si="10"/>
        <v>825</v>
      </c>
      <c r="AF31" s="127">
        <f t="shared" si="11"/>
        <v>55</v>
      </c>
    </row>
    <row r="32" spans="1:32" x14ac:dyDescent="0.25">
      <c r="A32" s="2"/>
      <c r="B32" s="83">
        <v>10</v>
      </c>
      <c r="C32" s="15"/>
      <c r="D32" s="787">
        <f t="shared" si="3"/>
        <v>0</v>
      </c>
      <c r="E32" s="783"/>
      <c r="F32" s="902">
        <f t="shared" si="0"/>
        <v>0</v>
      </c>
      <c r="G32" s="903"/>
      <c r="H32" s="904"/>
      <c r="I32" s="753">
        <f t="shared" si="4"/>
        <v>0</v>
      </c>
      <c r="J32" s="905">
        <f t="shared" si="5"/>
        <v>0</v>
      </c>
      <c r="L32" s="2"/>
      <c r="M32" s="83">
        <v>10</v>
      </c>
      <c r="N32" s="15"/>
      <c r="O32" s="151">
        <f t="shared" si="6"/>
        <v>0</v>
      </c>
      <c r="P32" s="593"/>
      <c r="Q32" s="69">
        <f t="shared" si="1"/>
        <v>0</v>
      </c>
      <c r="R32" s="70"/>
      <c r="S32" s="71"/>
      <c r="T32" s="209">
        <f t="shared" si="7"/>
        <v>0</v>
      </c>
      <c r="U32" s="127">
        <f t="shared" si="8"/>
        <v>0</v>
      </c>
      <c r="W32" s="2"/>
      <c r="X32" s="83">
        <v>15</v>
      </c>
      <c r="Y32" s="15"/>
      <c r="Z32" s="151">
        <f t="shared" si="9"/>
        <v>0</v>
      </c>
      <c r="AA32" s="593"/>
      <c r="AB32" s="69">
        <f t="shared" si="2"/>
        <v>0</v>
      </c>
      <c r="AC32" s="70"/>
      <c r="AD32" s="71"/>
      <c r="AE32" s="209">
        <f t="shared" si="10"/>
        <v>825</v>
      </c>
      <c r="AF32" s="127">
        <f t="shared" si="11"/>
        <v>55</v>
      </c>
    </row>
    <row r="33" spans="1:32" x14ac:dyDescent="0.25">
      <c r="A33" s="2"/>
      <c r="B33" s="83">
        <v>10</v>
      </c>
      <c r="C33" s="15"/>
      <c r="D33" s="787">
        <f t="shared" si="3"/>
        <v>0</v>
      </c>
      <c r="E33" s="783"/>
      <c r="F33" s="902">
        <f t="shared" si="0"/>
        <v>0</v>
      </c>
      <c r="G33" s="903"/>
      <c r="H33" s="904"/>
      <c r="I33" s="753">
        <f t="shared" si="4"/>
        <v>0</v>
      </c>
      <c r="J33" s="905">
        <f t="shared" si="5"/>
        <v>0</v>
      </c>
      <c r="L33" s="2"/>
      <c r="M33" s="83">
        <v>10</v>
      </c>
      <c r="N33" s="15"/>
      <c r="O33" s="151">
        <f t="shared" si="6"/>
        <v>0</v>
      </c>
      <c r="P33" s="593"/>
      <c r="Q33" s="69">
        <f t="shared" si="1"/>
        <v>0</v>
      </c>
      <c r="R33" s="70"/>
      <c r="S33" s="71"/>
      <c r="T33" s="209">
        <f t="shared" si="7"/>
        <v>0</v>
      </c>
      <c r="U33" s="127">
        <f t="shared" si="8"/>
        <v>0</v>
      </c>
      <c r="W33" s="2"/>
      <c r="X33" s="83">
        <v>15</v>
      </c>
      <c r="Y33" s="15"/>
      <c r="Z33" s="151">
        <f t="shared" si="9"/>
        <v>0</v>
      </c>
      <c r="AA33" s="593"/>
      <c r="AB33" s="69">
        <f t="shared" si="2"/>
        <v>0</v>
      </c>
      <c r="AC33" s="70"/>
      <c r="AD33" s="71"/>
      <c r="AE33" s="209">
        <f t="shared" si="10"/>
        <v>825</v>
      </c>
      <c r="AF33" s="127">
        <f t="shared" si="11"/>
        <v>55</v>
      </c>
    </row>
    <row r="34" spans="1:32" x14ac:dyDescent="0.25">
      <c r="A34" s="2"/>
      <c r="B34" s="83">
        <v>10</v>
      </c>
      <c r="C34" s="15"/>
      <c r="D34" s="787">
        <f t="shared" si="3"/>
        <v>0</v>
      </c>
      <c r="E34" s="783"/>
      <c r="F34" s="782">
        <f t="shared" si="0"/>
        <v>0</v>
      </c>
      <c r="G34" s="784"/>
      <c r="H34" s="206"/>
      <c r="I34" s="209">
        <f t="shared" si="4"/>
        <v>0</v>
      </c>
      <c r="J34" s="127">
        <f t="shared" si="5"/>
        <v>0</v>
      </c>
      <c r="L34" s="2"/>
      <c r="M34" s="83">
        <v>10</v>
      </c>
      <c r="N34" s="15"/>
      <c r="O34" s="151">
        <f t="shared" si="6"/>
        <v>0</v>
      </c>
      <c r="P34" s="593"/>
      <c r="Q34" s="69">
        <f t="shared" si="1"/>
        <v>0</v>
      </c>
      <c r="R34" s="70"/>
      <c r="S34" s="71"/>
      <c r="T34" s="209">
        <f t="shared" si="7"/>
        <v>0</v>
      </c>
      <c r="U34" s="127">
        <f t="shared" si="8"/>
        <v>0</v>
      </c>
      <c r="W34" s="2"/>
      <c r="X34" s="83">
        <v>15</v>
      </c>
      <c r="Y34" s="15"/>
      <c r="Z34" s="151">
        <f t="shared" si="9"/>
        <v>0</v>
      </c>
      <c r="AA34" s="593"/>
      <c r="AB34" s="69">
        <f t="shared" si="2"/>
        <v>0</v>
      </c>
      <c r="AC34" s="70"/>
      <c r="AD34" s="71"/>
      <c r="AE34" s="209">
        <f t="shared" si="10"/>
        <v>825</v>
      </c>
      <c r="AF34" s="127">
        <f t="shared" si="11"/>
        <v>55</v>
      </c>
    </row>
    <row r="35" spans="1:32" x14ac:dyDescent="0.25">
      <c r="A35" s="2"/>
      <c r="B35" s="83">
        <v>10</v>
      </c>
      <c r="C35" s="15"/>
      <c r="D35" s="151">
        <f t="shared" si="3"/>
        <v>0</v>
      </c>
      <c r="E35" s="593"/>
      <c r="F35" s="69">
        <f t="shared" si="0"/>
        <v>0</v>
      </c>
      <c r="G35" s="70"/>
      <c r="H35" s="71"/>
      <c r="I35" s="209">
        <f t="shared" si="4"/>
        <v>0</v>
      </c>
      <c r="J35" s="127">
        <f t="shared" si="5"/>
        <v>0</v>
      </c>
      <c r="L35" s="2"/>
      <c r="M35" s="83">
        <v>10</v>
      </c>
      <c r="N35" s="15"/>
      <c r="O35" s="151">
        <f t="shared" si="6"/>
        <v>0</v>
      </c>
      <c r="P35" s="593"/>
      <c r="Q35" s="69">
        <f t="shared" si="1"/>
        <v>0</v>
      </c>
      <c r="R35" s="70"/>
      <c r="S35" s="71"/>
      <c r="T35" s="209">
        <f t="shared" si="7"/>
        <v>0</v>
      </c>
      <c r="U35" s="127">
        <f t="shared" si="8"/>
        <v>0</v>
      </c>
      <c r="W35" s="2"/>
      <c r="X35" s="83">
        <v>15</v>
      </c>
      <c r="Y35" s="15"/>
      <c r="Z35" s="151">
        <f t="shared" si="9"/>
        <v>0</v>
      </c>
      <c r="AA35" s="593"/>
      <c r="AB35" s="69">
        <f t="shared" si="2"/>
        <v>0</v>
      </c>
      <c r="AC35" s="70"/>
      <c r="AD35" s="71"/>
      <c r="AE35" s="209">
        <f t="shared" si="10"/>
        <v>825</v>
      </c>
      <c r="AF35" s="127">
        <f t="shared" si="11"/>
        <v>55</v>
      </c>
    </row>
    <row r="36" spans="1:32" x14ac:dyDescent="0.25">
      <c r="A36" s="2"/>
      <c r="B36" s="83"/>
      <c r="C36" s="15"/>
      <c r="D36" s="151">
        <f t="shared" si="3"/>
        <v>0</v>
      </c>
      <c r="E36" s="593"/>
      <c r="F36" s="69">
        <f t="shared" si="0"/>
        <v>0</v>
      </c>
      <c r="G36" s="70"/>
      <c r="H36" s="71"/>
      <c r="I36" s="209">
        <f t="shared" si="4"/>
        <v>0</v>
      </c>
      <c r="J36" s="127">
        <f t="shared" si="5"/>
        <v>0</v>
      </c>
      <c r="L36" s="2"/>
      <c r="M36" s="83">
        <v>10</v>
      </c>
      <c r="N36" s="15"/>
      <c r="O36" s="151">
        <f t="shared" si="6"/>
        <v>0</v>
      </c>
      <c r="P36" s="593"/>
      <c r="Q36" s="69">
        <f t="shared" si="1"/>
        <v>0</v>
      </c>
      <c r="R36" s="70"/>
      <c r="S36" s="71"/>
      <c r="T36" s="209">
        <f t="shared" si="7"/>
        <v>0</v>
      </c>
      <c r="U36" s="127">
        <f t="shared" si="8"/>
        <v>0</v>
      </c>
      <c r="W36" s="2"/>
      <c r="X36" s="83">
        <v>15</v>
      </c>
      <c r="Y36" s="15"/>
      <c r="Z36" s="151">
        <f t="shared" si="9"/>
        <v>0</v>
      </c>
      <c r="AA36" s="593"/>
      <c r="AB36" s="69">
        <f t="shared" si="2"/>
        <v>0</v>
      </c>
      <c r="AC36" s="70"/>
      <c r="AD36" s="71"/>
      <c r="AE36" s="209">
        <f t="shared" si="10"/>
        <v>825</v>
      </c>
      <c r="AF36" s="127">
        <f t="shared" si="11"/>
        <v>55</v>
      </c>
    </row>
    <row r="37" spans="1:32" ht="14.25" customHeight="1" x14ac:dyDescent="0.25">
      <c r="A37" s="2"/>
      <c r="B37" s="83"/>
      <c r="C37" s="15"/>
      <c r="D37" s="595"/>
      <c r="E37" s="593"/>
      <c r="F37" s="69">
        <f t="shared" si="0"/>
        <v>0</v>
      </c>
      <c r="G37" s="70"/>
      <c r="H37" s="71"/>
      <c r="I37" s="209">
        <f t="shared" si="4"/>
        <v>0</v>
      </c>
      <c r="J37" s="127">
        <f t="shared" si="5"/>
        <v>0</v>
      </c>
      <c r="L37" s="2"/>
      <c r="M37" s="83">
        <v>10</v>
      </c>
      <c r="N37" s="15"/>
      <c r="O37" s="595"/>
      <c r="P37" s="593"/>
      <c r="Q37" s="69">
        <f t="shared" si="1"/>
        <v>0</v>
      </c>
      <c r="R37" s="70"/>
      <c r="S37" s="71"/>
      <c r="T37" s="209">
        <f t="shared" si="7"/>
        <v>0</v>
      </c>
      <c r="U37" s="127">
        <f t="shared" si="8"/>
        <v>0</v>
      </c>
      <c r="W37" s="2"/>
      <c r="X37" s="83">
        <v>15</v>
      </c>
      <c r="Y37" s="15"/>
      <c r="Z37" s="595"/>
      <c r="AA37" s="593"/>
      <c r="AB37" s="69">
        <f t="shared" si="2"/>
        <v>0</v>
      </c>
      <c r="AC37" s="70"/>
      <c r="AD37" s="71"/>
      <c r="AE37" s="209">
        <f t="shared" si="10"/>
        <v>825</v>
      </c>
      <c r="AF37" s="127">
        <f t="shared" si="11"/>
        <v>55</v>
      </c>
    </row>
    <row r="38" spans="1:32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  <c r="W38" s="4"/>
      <c r="X38" s="74">
        <v>15</v>
      </c>
      <c r="Y38" s="37"/>
      <c r="Z38" s="186">
        <v>0</v>
      </c>
      <c r="AA38" s="157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50</v>
      </c>
      <c r="D39" s="151">
        <v>0</v>
      </c>
      <c r="E39" s="38"/>
      <c r="F39" s="69">
        <f t="shared" si="0"/>
        <v>0</v>
      </c>
      <c r="M39" s="83">
        <v>10</v>
      </c>
      <c r="N39" s="90">
        <f>SUM(N10:N38)</f>
        <v>51</v>
      </c>
      <c r="O39" s="151">
        <v>0</v>
      </c>
      <c r="P39" s="38"/>
      <c r="Q39" s="69">
        <f>SUM(Q10:Q38)</f>
        <v>510</v>
      </c>
      <c r="X39" s="83"/>
      <c r="Y39" s="90">
        <f>SUM(Y10:Y38)</f>
        <v>12</v>
      </c>
      <c r="Z39" s="151">
        <v>0</v>
      </c>
      <c r="AA39" s="38"/>
      <c r="AB39" s="69">
        <f t="shared" si="2"/>
        <v>0</v>
      </c>
    </row>
    <row r="40" spans="1:32" ht="15.75" thickBot="1" x14ac:dyDescent="0.3">
      <c r="A40" s="51"/>
      <c r="D40" s="151">
        <v>0</v>
      </c>
      <c r="E40" s="68">
        <f>F4+F5+F6-+C39</f>
        <v>0</v>
      </c>
      <c r="F40" s="5"/>
      <c r="L40" s="51"/>
      <c r="M40" s="83">
        <v>10</v>
      </c>
      <c r="O40" s="151">
        <v>0</v>
      </c>
      <c r="P40" s="68">
        <f>Q4+Q5+Q6-+N39</f>
        <v>0</v>
      </c>
      <c r="Q40" s="5"/>
      <c r="W40" s="51"/>
      <c r="X40" s="83"/>
      <c r="Z40" s="151">
        <v>0</v>
      </c>
      <c r="AA40" s="68">
        <f>AB4+AB5+AB6-+Y39</f>
        <v>55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088" t="s">
        <v>11</v>
      </c>
      <c r="D42" s="1089"/>
      <c r="E42" s="145">
        <f>E5+E4+E6+-F39</f>
        <v>500</v>
      </c>
      <c r="F42" s="5"/>
      <c r="L42" s="47"/>
      <c r="N42" s="1088" t="s">
        <v>11</v>
      </c>
      <c r="O42" s="1089"/>
      <c r="P42" s="145">
        <f>P5+P4+P6+-Q39</f>
        <v>0</v>
      </c>
      <c r="Q42" s="5"/>
      <c r="W42" s="47"/>
      <c r="Y42" s="1088" t="s">
        <v>11</v>
      </c>
      <c r="Z42" s="1089"/>
      <c r="AA42" s="145">
        <f>AA5+AA4+AA6+-AB39</f>
        <v>1005</v>
      </c>
      <c r="AB42" s="5"/>
    </row>
  </sheetData>
  <mergeCells count="15">
    <mergeCell ref="W1:AE1"/>
    <mergeCell ref="X5:X7"/>
    <mergeCell ref="AE8:AE9"/>
    <mergeCell ref="AF8:AF9"/>
    <mergeCell ref="Y42:Z42"/>
    <mergeCell ref="L1:T1"/>
    <mergeCell ref="M5:M7"/>
    <mergeCell ref="T8:T9"/>
    <mergeCell ref="U8:U9"/>
    <mergeCell ref="N42:O42"/>
    <mergeCell ref="B5:B7"/>
    <mergeCell ref="I8:I9"/>
    <mergeCell ref="J8:J9"/>
    <mergeCell ref="C42:D42"/>
    <mergeCell ref="A1:I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78"/>
  <sheetViews>
    <sheetView workbookViewId="0">
      <selection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43"/>
      <c r="B1" s="1043"/>
      <c r="C1" s="1043"/>
      <c r="D1" s="1043"/>
      <c r="E1" s="1043"/>
      <c r="F1" s="1043"/>
      <c r="G1" s="1043"/>
      <c r="H1" s="270">
        <v>1</v>
      </c>
      <c r="I1" s="40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5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7"/>
    </row>
    <row r="4" spans="1:10" ht="15.75" customHeight="1" thickTop="1" x14ac:dyDescent="0.25">
      <c r="A4" s="75"/>
      <c r="B4" s="75"/>
      <c r="C4" s="403"/>
      <c r="D4" s="134"/>
      <c r="E4" s="86"/>
      <c r="F4" s="73"/>
      <c r="G4" s="239"/>
      <c r="H4" s="148"/>
      <c r="I4" s="411"/>
    </row>
    <row r="5" spans="1:10" ht="15" customHeight="1" x14ac:dyDescent="0.25">
      <c r="A5" s="575"/>
      <c r="B5" s="1069" t="s">
        <v>79</v>
      </c>
      <c r="C5" s="245"/>
      <c r="D5" s="134"/>
      <c r="E5" s="75"/>
      <c r="F5" s="73"/>
      <c r="G5" s="48">
        <f>F73</f>
        <v>0</v>
      </c>
      <c r="H5" s="138">
        <f>E5-G5</f>
        <v>0</v>
      </c>
      <c r="I5" s="408"/>
    </row>
    <row r="6" spans="1:10" ht="15.75" thickBot="1" x14ac:dyDescent="0.3">
      <c r="A6" s="227" t="s">
        <v>52</v>
      </c>
      <c r="B6" s="1120"/>
      <c r="C6" s="405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4"/>
      <c r="C7" s="405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9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 t="shared" ref="F9:F15" si="0">D9</f>
        <v>0</v>
      </c>
      <c r="G9" s="70"/>
      <c r="H9" s="71"/>
      <c r="I9" s="40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196"/>
      <c r="F10" s="92">
        <f t="shared" si="0"/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7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92"/>
      <c r="E15" s="246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4"/>
        <v>0</v>
      </c>
      <c r="G25" s="70"/>
      <c r="H25" s="71"/>
      <c r="I25" s="40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4"/>
        <v>0</v>
      </c>
      <c r="G26" s="70"/>
      <c r="H26" s="71"/>
      <c r="I26" s="40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4"/>
        <v>0</v>
      </c>
      <c r="G27" s="70"/>
      <c r="H27" s="71"/>
      <c r="I27" s="405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4"/>
        <v>0</v>
      </c>
      <c r="G28" s="70"/>
      <c r="H28" s="71"/>
      <c r="I28" s="405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4"/>
        <v>0</v>
      </c>
      <c r="G29" s="70"/>
      <c r="H29" s="71"/>
      <c r="I29" s="405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4"/>
        <v>0</v>
      </c>
      <c r="G30" s="70"/>
      <c r="H30" s="71"/>
      <c r="I30" s="405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4"/>
        <v>0</v>
      </c>
      <c r="G31" s="70"/>
      <c r="H31" s="71"/>
      <c r="I31" s="405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4"/>
        <v>0</v>
      </c>
      <c r="G32" s="70"/>
      <c r="H32" s="71"/>
      <c r="I32" s="405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4"/>
        <v>0</v>
      </c>
      <c r="G33" s="70"/>
      <c r="H33" s="71"/>
      <c r="I33" s="405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4"/>
        <v>0</v>
      </c>
      <c r="G34" s="70"/>
      <c r="H34" s="71"/>
      <c r="I34" s="405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4"/>
        <v>0</v>
      </c>
      <c r="G35" s="70"/>
      <c r="H35" s="71"/>
      <c r="I35" s="405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4"/>
        <v>0</v>
      </c>
      <c r="G36" s="70"/>
      <c r="H36" s="71"/>
      <c r="I36" s="405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5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5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5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5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5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5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5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5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5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5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5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5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5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5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5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5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5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5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5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5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5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5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5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5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5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5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5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5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5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5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5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5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5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5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5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5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1048" t="s">
        <v>21</v>
      </c>
      <c r="E75" s="1049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58"/>
      <c r="B1" s="1058"/>
      <c r="C1" s="1058"/>
      <c r="D1" s="1058"/>
      <c r="E1" s="1058"/>
      <c r="F1" s="1058"/>
      <c r="G1" s="105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55" t="s">
        <v>97</v>
      </c>
      <c r="C5" s="403"/>
      <c r="D5" s="134"/>
      <c r="E5" s="209"/>
      <c r="F5" s="62"/>
      <c r="G5" s="5"/>
    </row>
    <row r="6" spans="1:9" x14ac:dyDescent="0.25">
      <c r="A6" s="416"/>
      <c r="B6" s="1055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8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56" t="s">
        <v>11</v>
      </c>
      <c r="D83" s="1057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58"/>
      <c r="B1" s="1058"/>
      <c r="C1" s="1058"/>
      <c r="D1" s="1058"/>
      <c r="E1" s="1058"/>
      <c r="F1" s="1058"/>
      <c r="G1" s="105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1052"/>
      <c r="B5" s="1046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052"/>
      <c r="B6" s="1046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32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56" t="s">
        <v>11</v>
      </c>
      <c r="D60" s="1057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43"/>
      <c r="B1" s="1043"/>
      <c r="C1" s="1043"/>
      <c r="D1" s="1043"/>
      <c r="E1" s="1043"/>
      <c r="F1" s="1043"/>
      <c r="G1" s="1043"/>
      <c r="H1" s="270">
        <v>1</v>
      </c>
      <c r="I1" s="40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5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7"/>
    </row>
    <row r="4" spans="1:10" ht="15.75" thickTop="1" x14ac:dyDescent="0.25">
      <c r="A4" s="75"/>
      <c r="B4" s="75"/>
      <c r="C4" s="403"/>
      <c r="D4" s="134"/>
      <c r="E4" s="86"/>
      <c r="F4" s="73"/>
      <c r="G4" s="239"/>
      <c r="H4" s="148"/>
      <c r="I4" s="411"/>
    </row>
    <row r="5" spans="1:10" ht="15" customHeight="1" x14ac:dyDescent="0.25">
      <c r="A5" s="575"/>
      <c r="B5" s="1069" t="s">
        <v>181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8"/>
    </row>
    <row r="6" spans="1:10" x14ac:dyDescent="0.25">
      <c r="A6" s="227"/>
      <c r="B6" s="1069"/>
      <c r="C6" s="405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1069"/>
      <c r="C7" s="405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9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5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5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5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5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5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5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5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5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5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5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5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5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048" t="s">
        <v>21</v>
      </c>
      <c r="E41" s="1049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zoomScaleNormal="100" workbookViewId="0">
      <pane ySplit="9" topLeftCell="A28" activePane="bottomLeft" state="frozen"/>
      <selection pane="bottomLeft" activeCell="L19" sqref="L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054" t="s">
        <v>292</v>
      </c>
      <c r="B1" s="1054"/>
      <c r="C1" s="1054"/>
      <c r="D1" s="1054"/>
      <c r="E1" s="1054"/>
      <c r="F1" s="1054"/>
      <c r="G1" s="1054"/>
      <c r="H1" s="11">
        <v>1</v>
      </c>
      <c r="K1" s="1058" t="s">
        <v>292</v>
      </c>
      <c r="L1" s="1058"/>
      <c r="M1" s="1058"/>
      <c r="N1" s="1058"/>
      <c r="O1" s="1058"/>
      <c r="P1" s="1058"/>
      <c r="Q1" s="1058"/>
      <c r="R1" s="11">
        <v>1</v>
      </c>
    </row>
    <row r="2" spans="1:19" ht="15.75" thickBot="1" x14ac:dyDescent="0.3"/>
    <row r="3" spans="1:1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7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21" t="s">
        <v>52</v>
      </c>
      <c r="B4" s="499"/>
      <c r="C4" s="128"/>
      <c r="D4" s="135"/>
      <c r="E4" s="86">
        <v>59.18</v>
      </c>
      <c r="F4" s="73">
        <v>0</v>
      </c>
      <c r="G4" s="239"/>
      <c r="K4" s="1121" t="s">
        <v>52</v>
      </c>
      <c r="L4" s="499"/>
      <c r="M4" s="128"/>
      <c r="N4" s="135"/>
      <c r="O4" s="86">
        <v>58.59</v>
      </c>
      <c r="P4" s="73">
        <v>1</v>
      </c>
      <c r="Q4" s="239"/>
    </row>
    <row r="5" spans="1:19" ht="15" customHeight="1" x14ac:dyDescent="0.25">
      <c r="A5" s="1122"/>
      <c r="B5" s="1124" t="s">
        <v>72</v>
      </c>
      <c r="C5" s="128">
        <v>32</v>
      </c>
      <c r="D5" s="135">
        <v>44729</v>
      </c>
      <c r="E5" s="86">
        <v>1006.3</v>
      </c>
      <c r="F5" s="73">
        <v>35</v>
      </c>
      <c r="G5" s="48">
        <f>F62</f>
        <v>4440.5700000000006</v>
      </c>
      <c r="H5" s="138">
        <f>E5-G5+E4+E6+E7+E8</f>
        <v>-3.979039320256561E-13</v>
      </c>
      <c r="K5" s="1122"/>
      <c r="L5" s="1124" t="s">
        <v>72</v>
      </c>
      <c r="M5" s="128">
        <v>41</v>
      </c>
      <c r="N5" s="135">
        <v>44807</v>
      </c>
      <c r="O5" s="86">
        <v>992.72</v>
      </c>
      <c r="P5" s="73">
        <v>33</v>
      </c>
      <c r="Q5" s="48">
        <f>P62</f>
        <v>1601.1800000000003</v>
      </c>
      <c r="R5" s="138">
        <f>O5-Q5+O4+O6+O7+O8</f>
        <v>458.40999999999974</v>
      </c>
    </row>
    <row r="6" spans="1:19" ht="16.5" thickBot="1" x14ac:dyDescent="0.3">
      <c r="A6" s="1123"/>
      <c r="B6" s="1125"/>
      <c r="C6" s="576">
        <v>33</v>
      </c>
      <c r="D6" s="135">
        <v>44734</v>
      </c>
      <c r="E6" s="86">
        <v>2938.76</v>
      </c>
      <c r="F6" s="73">
        <v>103</v>
      </c>
      <c r="G6" s="73"/>
      <c r="K6" s="1123"/>
      <c r="L6" s="1125"/>
      <c r="M6" s="576">
        <v>32</v>
      </c>
      <c r="N6" s="135">
        <v>44819</v>
      </c>
      <c r="O6" s="86">
        <v>1008.28</v>
      </c>
      <c r="P6" s="73">
        <v>35</v>
      </c>
      <c r="Q6" s="73"/>
    </row>
    <row r="7" spans="1:19" ht="21.75" customHeight="1" x14ac:dyDescent="0.25">
      <c r="A7" s="538" t="s">
        <v>52</v>
      </c>
      <c r="C7" s="576">
        <v>33</v>
      </c>
      <c r="D7" s="135">
        <v>44740</v>
      </c>
      <c r="E7" s="105">
        <v>436.33</v>
      </c>
      <c r="F7" s="73">
        <v>15</v>
      </c>
      <c r="G7" s="73"/>
      <c r="K7" s="538" t="s">
        <v>52</v>
      </c>
      <c r="M7" s="576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69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  <c r="L9" s="24" t="s">
        <v>7</v>
      </c>
      <c r="M9" s="20" t="s">
        <v>8</v>
      </c>
      <c r="N9" s="569" t="s">
        <v>3</v>
      </c>
      <c r="O9" s="23" t="s">
        <v>2</v>
      </c>
      <c r="P9" s="26" t="s">
        <v>18</v>
      </c>
      <c r="Q9" s="10" t="s">
        <v>15</v>
      </c>
      <c r="R9" s="24"/>
      <c r="S9" s="355" t="s">
        <v>53</v>
      </c>
    </row>
    <row r="10" spans="1:19" ht="15.75" thickTop="1" x14ac:dyDescent="0.25">
      <c r="A10" s="55"/>
      <c r="B10" s="236">
        <f>F4+F5+F6+F7+F8-C10</f>
        <v>152</v>
      </c>
      <c r="C10" s="15">
        <v>1</v>
      </c>
      <c r="D10" s="92">
        <v>30.66</v>
      </c>
      <c r="E10" s="557">
        <v>44740</v>
      </c>
      <c r="F10" s="533">
        <f>D10</f>
        <v>30.66</v>
      </c>
      <c r="G10" s="534" t="s">
        <v>125</v>
      </c>
      <c r="H10" s="224">
        <v>34</v>
      </c>
      <c r="I10" s="132">
        <f>E6+E5+E4-F10+E7+E8</f>
        <v>4409.9100000000008</v>
      </c>
      <c r="K10" s="55"/>
      <c r="L10" s="236">
        <f>P4+P5+P6+P7+P8-M10</f>
        <v>63</v>
      </c>
      <c r="M10" s="338">
        <v>6</v>
      </c>
      <c r="N10" s="339">
        <v>173.86</v>
      </c>
      <c r="O10" s="806">
        <v>44816</v>
      </c>
      <c r="P10" s="339">
        <f t="shared" ref="P10:P20" si="0">N10</f>
        <v>173.86</v>
      </c>
      <c r="Q10" s="762" t="s">
        <v>613</v>
      </c>
      <c r="R10" s="805">
        <v>42</v>
      </c>
      <c r="S10" s="132">
        <f>O6+O5+O4-P10+O7+O8</f>
        <v>1885.73</v>
      </c>
    </row>
    <row r="11" spans="1:19" x14ac:dyDescent="0.25">
      <c r="A11" s="75"/>
      <c r="B11" s="679">
        <f>B10-C11</f>
        <v>150</v>
      </c>
      <c r="C11" s="338">
        <v>2</v>
      </c>
      <c r="D11" s="339">
        <v>57.96</v>
      </c>
      <c r="E11" s="559">
        <v>44745</v>
      </c>
      <c r="F11" s="558">
        <f t="shared" ref="F11:F57" si="1">D11</f>
        <v>57.96</v>
      </c>
      <c r="G11" s="560" t="s">
        <v>128</v>
      </c>
      <c r="H11" s="561">
        <v>35</v>
      </c>
      <c r="I11" s="678">
        <f>I10-F11</f>
        <v>4351.9500000000007</v>
      </c>
      <c r="K11" s="75"/>
      <c r="L11" s="354">
        <f>L10-M11</f>
        <v>61</v>
      </c>
      <c r="M11" s="338">
        <v>2</v>
      </c>
      <c r="N11" s="339">
        <v>61.46</v>
      </c>
      <c r="O11" s="806">
        <v>44817</v>
      </c>
      <c r="P11" s="339">
        <f t="shared" si="0"/>
        <v>61.46</v>
      </c>
      <c r="Q11" s="762" t="s">
        <v>627</v>
      </c>
      <c r="R11" s="805">
        <v>42</v>
      </c>
      <c r="S11" s="132">
        <f>S10-P11</f>
        <v>1824.27</v>
      </c>
    </row>
    <row r="12" spans="1:19" x14ac:dyDescent="0.25">
      <c r="A12" s="75"/>
      <c r="B12" s="354">
        <f t="shared" ref="B12:B58" si="2">B11-C12</f>
        <v>142</v>
      </c>
      <c r="C12" s="338">
        <v>8</v>
      </c>
      <c r="D12" s="604">
        <v>225.87</v>
      </c>
      <c r="E12" s="605">
        <v>44746</v>
      </c>
      <c r="F12" s="604">
        <f t="shared" si="1"/>
        <v>225.87</v>
      </c>
      <c r="G12" s="606" t="s">
        <v>135</v>
      </c>
      <c r="H12" s="607">
        <v>35</v>
      </c>
      <c r="I12" s="132">
        <f t="shared" ref="I12:I13" si="3">I11-F12</f>
        <v>4126.0800000000008</v>
      </c>
      <c r="K12" s="75"/>
      <c r="L12" s="354">
        <f t="shared" ref="L12:L58" si="4">L11-M12</f>
        <v>54</v>
      </c>
      <c r="M12" s="338">
        <v>7</v>
      </c>
      <c r="N12" s="339">
        <v>217.44</v>
      </c>
      <c r="O12" s="806">
        <v>44818</v>
      </c>
      <c r="P12" s="339">
        <f t="shared" si="0"/>
        <v>217.44</v>
      </c>
      <c r="Q12" s="762" t="s">
        <v>634</v>
      </c>
      <c r="R12" s="805">
        <v>42</v>
      </c>
      <c r="S12" s="132">
        <f t="shared" ref="S12:S13" si="5">S11-P12</f>
        <v>1606.83</v>
      </c>
    </row>
    <row r="13" spans="1:19" x14ac:dyDescent="0.25">
      <c r="A13" s="55"/>
      <c r="B13" s="354">
        <f t="shared" si="2"/>
        <v>139</v>
      </c>
      <c r="C13" s="338">
        <v>3</v>
      </c>
      <c r="D13" s="604">
        <v>87.61</v>
      </c>
      <c r="E13" s="605">
        <v>44746</v>
      </c>
      <c r="F13" s="604">
        <f t="shared" si="1"/>
        <v>87.61</v>
      </c>
      <c r="G13" s="606" t="s">
        <v>136</v>
      </c>
      <c r="H13" s="607">
        <v>35</v>
      </c>
      <c r="I13" s="132">
        <f t="shared" si="3"/>
        <v>4038.4700000000007</v>
      </c>
      <c r="K13" s="55"/>
      <c r="L13" s="354">
        <f t="shared" si="4"/>
        <v>44</v>
      </c>
      <c r="M13" s="338">
        <v>10</v>
      </c>
      <c r="N13" s="339">
        <v>296</v>
      </c>
      <c r="O13" s="806">
        <v>44819</v>
      </c>
      <c r="P13" s="339">
        <f t="shared" si="0"/>
        <v>296</v>
      </c>
      <c r="Q13" s="762" t="s">
        <v>638</v>
      </c>
      <c r="R13" s="805">
        <v>42</v>
      </c>
      <c r="S13" s="132">
        <f t="shared" si="5"/>
        <v>1310.83</v>
      </c>
    </row>
    <row r="14" spans="1:19" x14ac:dyDescent="0.25">
      <c r="A14" s="75"/>
      <c r="B14" s="354">
        <f t="shared" si="2"/>
        <v>138</v>
      </c>
      <c r="C14" s="338">
        <v>1</v>
      </c>
      <c r="D14" s="604">
        <v>29.11</v>
      </c>
      <c r="E14" s="605">
        <v>44656</v>
      </c>
      <c r="F14" s="604">
        <f t="shared" si="1"/>
        <v>29.11</v>
      </c>
      <c r="G14" s="606" t="s">
        <v>137</v>
      </c>
      <c r="H14" s="607">
        <v>35</v>
      </c>
      <c r="I14" s="132">
        <f>I13-F14</f>
        <v>4009.3600000000006</v>
      </c>
      <c r="K14" s="75"/>
      <c r="L14" s="354">
        <f t="shared" si="4"/>
        <v>41</v>
      </c>
      <c r="M14" s="338">
        <v>3</v>
      </c>
      <c r="N14" s="339">
        <v>94.94</v>
      </c>
      <c r="O14" s="806">
        <v>44819</v>
      </c>
      <c r="P14" s="339">
        <f t="shared" si="0"/>
        <v>94.94</v>
      </c>
      <c r="Q14" s="762" t="s">
        <v>642</v>
      </c>
      <c r="R14" s="805">
        <v>42</v>
      </c>
      <c r="S14" s="132">
        <f>S13-P14</f>
        <v>1215.8899999999999</v>
      </c>
    </row>
    <row r="15" spans="1:19" x14ac:dyDescent="0.25">
      <c r="A15" s="75"/>
      <c r="B15" s="354">
        <f t="shared" si="2"/>
        <v>131</v>
      </c>
      <c r="C15" s="338">
        <v>7</v>
      </c>
      <c r="D15" s="604">
        <v>203.67</v>
      </c>
      <c r="E15" s="605">
        <v>44748</v>
      </c>
      <c r="F15" s="604">
        <f t="shared" si="1"/>
        <v>203.67</v>
      </c>
      <c r="G15" s="606" t="s">
        <v>138</v>
      </c>
      <c r="H15" s="607">
        <v>35</v>
      </c>
      <c r="I15" s="132">
        <f t="shared" ref="I15:I58" si="6">I14-F15</f>
        <v>3805.6900000000005</v>
      </c>
      <c r="K15" s="75"/>
      <c r="L15" s="354">
        <f t="shared" si="4"/>
        <v>40</v>
      </c>
      <c r="M15" s="338">
        <v>1</v>
      </c>
      <c r="N15" s="339">
        <v>31.82</v>
      </c>
      <c r="O15" s="806">
        <v>44819</v>
      </c>
      <c r="P15" s="339">
        <f t="shared" si="0"/>
        <v>31.82</v>
      </c>
      <c r="Q15" s="762" t="s">
        <v>643</v>
      </c>
      <c r="R15" s="805">
        <v>42</v>
      </c>
      <c r="S15" s="132">
        <f t="shared" ref="S15:S58" si="7">S14-P15</f>
        <v>1184.07</v>
      </c>
    </row>
    <row r="16" spans="1:19" x14ac:dyDescent="0.25">
      <c r="B16" s="354">
        <f t="shared" si="2"/>
        <v>130</v>
      </c>
      <c r="C16" s="338">
        <v>1</v>
      </c>
      <c r="D16" s="604">
        <v>28.01</v>
      </c>
      <c r="E16" s="605">
        <v>44749</v>
      </c>
      <c r="F16" s="604">
        <f t="shared" si="1"/>
        <v>28.01</v>
      </c>
      <c r="G16" s="606" t="s">
        <v>139</v>
      </c>
      <c r="H16" s="607">
        <v>35</v>
      </c>
      <c r="I16" s="132">
        <f t="shared" si="6"/>
        <v>3777.6800000000003</v>
      </c>
      <c r="L16" s="354">
        <f t="shared" si="4"/>
        <v>38</v>
      </c>
      <c r="M16" s="338">
        <v>2</v>
      </c>
      <c r="N16" s="339">
        <v>55.34</v>
      </c>
      <c r="O16" s="806">
        <v>44824</v>
      </c>
      <c r="P16" s="339">
        <f t="shared" si="0"/>
        <v>55.34</v>
      </c>
      <c r="Q16" s="762" t="s">
        <v>687</v>
      </c>
      <c r="R16" s="805">
        <v>45</v>
      </c>
      <c r="S16" s="132">
        <f t="shared" si="7"/>
        <v>1128.73</v>
      </c>
    </row>
    <row r="17" spans="2:19" x14ac:dyDescent="0.25">
      <c r="B17" s="354">
        <f t="shared" si="2"/>
        <v>129</v>
      </c>
      <c r="C17" s="338">
        <v>1</v>
      </c>
      <c r="D17" s="604">
        <v>28.2</v>
      </c>
      <c r="E17" s="605">
        <v>44749</v>
      </c>
      <c r="F17" s="604">
        <f t="shared" si="1"/>
        <v>28.2</v>
      </c>
      <c r="G17" s="606" t="s">
        <v>140</v>
      </c>
      <c r="H17" s="607">
        <v>35</v>
      </c>
      <c r="I17" s="132">
        <f t="shared" si="6"/>
        <v>3749.4800000000005</v>
      </c>
      <c r="L17" s="354">
        <f t="shared" si="4"/>
        <v>31</v>
      </c>
      <c r="M17" s="338">
        <v>7</v>
      </c>
      <c r="N17" s="339">
        <v>207.68</v>
      </c>
      <c r="O17" s="806">
        <v>44827</v>
      </c>
      <c r="P17" s="339">
        <f t="shared" si="0"/>
        <v>207.68</v>
      </c>
      <c r="Q17" s="762" t="s">
        <v>706</v>
      </c>
      <c r="R17" s="805">
        <v>45</v>
      </c>
      <c r="S17" s="132">
        <f t="shared" si="7"/>
        <v>921.05</v>
      </c>
    </row>
    <row r="18" spans="2:19" x14ac:dyDescent="0.25">
      <c r="B18" s="354">
        <f t="shared" si="2"/>
        <v>122</v>
      </c>
      <c r="C18" s="338">
        <v>7</v>
      </c>
      <c r="D18" s="604">
        <v>194.13</v>
      </c>
      <c r="E18" s="605">
        <v>44750</v>
      </c>
      <c r="F18" s="604">
        <f t="shared" si="1"/>
        <v>194.13</v>
      </c>
      <c r="G18" s="606" t="s">
        <v>141</v>
      </c>
      <c r="H18" s="607">
        <v>35</v>
      </c>
      <c r="I18" s="132">
        <f t="shared" si="6"/>
        <v>3555.3500000000004</v>
      </c>
      <c r="L18" s="354">
        <f t="shared" si="4"/>
        <v>24</v>
      </c>
      <c r="M18" s="338">
        <v>7</v>
      </c>
      <c r="N18" s="339">
        <v>201.21</v>
      </c>
      <c r="O18" s="806">
        <v>44828</v>
      </c>
      <c r="P18" s="339">
        <f t="shared" si="0"/>
        <v>201.21</v>
      </c>
      <c r="Q18" s="762" t="s">
        <v>717</v>
      </c>
      <c r="R18" s="805">
        <v>45</v>
      </c>
      <c r="S18" s="132">
        <f t="shared" si="7"/>
        <v>719.83999999999992</v>
      </c>
    </row>
    <row r="19" spans="2:19" x14ac:dyDescent="0.25">
      <c r="B19" s="354">
        <f t="shared" si="2"/>
        <v>120</v>
      </c>
      <c r="C19" s="338">
        <v>2</v>
      </c>
      <c r="D19" s="604">
        <v>59.65</v>
      </c>
      <c r="E19" s="605">
        <v>44755</v>
      </c>
      <c r="F19" s="604">
        <f t="shared" si="1"/>
        <v>59.65</v>
      </c>
      <c r="G19" s="606" t="s">
        <v>145</v>
      </c>
      <c r="H19" s="607">
        <v>35</v>
      </c>
      <c r="I19" s="132">
        <f t="shared" si="6"/>
        <v>3495.7000000000003</v>
      </c>
      <c r="L19" s="354">
        <f t="shared" si="4"/>
        <v>22</v>
      </c>
      <c r="M19" s="338">
        <v>2</v>
      </c>
      <c r="N19" s="339">
        <v>56.79</v>
      </c>
      <c r="O19" s="806">
        <v>44833</v>
      </c>
      <c r="P19" s="339">
        <f t="shared" si="0"/>
        <v>56.79</v>
      </c>
      <c r="Q19" s="762" t="s">
        <v>735</v>
      </c>
      <c r="R19" s="805">
        <v>45</v>
      </c>
      <c r="S19" s="132">
        <f t="shared" si="7"/>
        <v>663.05</v>
      </c>
    </row>
    <row r="20" spans="2:19" x14ac:dyDescent="0.25">
      <c r="B20" s="354">
        <f t="shared" si="2"/>
        <v>113</v>
      </c>
      <c r="C20" s="338">
        <v>7</v>
      </c>
      <c r="D20" s="604">
        <v>203.85</v>
      </c>
      <c r="E20" s="605">
        <v>44755</v>
      </c>
      <c r="F20" s="604">
        <f t="shared" si="1"/>
        <v>203.85</v>
      </c>
      <c r="G20" s="606" t="s">
        <v>146</v>
      </c>
      <c r="H20" s="607">
        <v>35</v>
      </c>
      <c r="I20" s="132">
        <f t="shared" si="6"/>
        <v>3291.8500000000004</v>
      </c>
      <c r="L20" s="354">
        <f t="shared" si="4"/>
        <v>15</v>
      </c>
      <c r="M20" s="338">
        <v>7</v>
      </c>
      <c r="N20" s="339">
        <v>204.64</v>
      </c>
      <c r="O20" s="806">
        <v>44833</v>
      </c>
      <c r="P20" s="339">
        <f t="shared" si="0"/>
        <v>204.64</v>
      </c>
      <c r="Q20" s="762" t="s">
        <v>736</v>
      </c>
      <c r="R20" s="805">
        <v>45</v>
      </c>
      <c r="S20" s="132">
        <f t="shared" si="7"/>
        <v>458.40999999999997</v>
      </c>
    </row>
    <row r="21" spans="2:19" x14ac:dyDescent="0.25">
      <c r="B21" s="354">
        <f t="shared" si="2"/>
        <v>112</v>
      </c>
      <c r="C21" s="338">
        <v>1</v>
      </c>
      <c r="D21" s="604">
        <v>26.89</v>
      </c>
      <c r="E21" s="605">
        <v>44757</v>
      </c>
      <c r="F21" s="604">
        <f t="shared" si="1"/>
        <v>26.89</v>
      </c>
      <c r="G21" s="606" t="s">
        <v>153</v>
      </c>
      <c r="H21" s="607">
        <v>35</v>
      </c>
      <c r="I21" s="132">
        <f t="shared" si="6"/>
        <v>3264.9600000000005</v>
      </c>
      <c r="L21" s="354">
        <f t="shared" si="4"/>
        <v>15</v>
      </c>
      <c r="M21" s="338"/>
      <c r="N21" s="339"/>
      <c r="O21" s="356"/>
      <c r="P21" s="339">
        <f t="shared" ref="P21:P57" si="8">N21</f>
        <v>0</v>
      </c>
      <c r="Q21" s="762"/>
      <c r="R21" s="805"/>
      <c r="S21" s="132">
        <f t="shared" si="7"/>
        <v>458.40999999999997</v>
      </c>
    </row>
    <row r="22" spans="2:19" x14ac:dyDescent="0.25">
      <c r="B22" s="354">
        <f t="shared" si="2"/>
        <v>105</v>
      </c>
      <c r="C22" s="338">
        <v>7</v>
      </c>
      <c r="D22" s="604">
        <v>195.39</v>
      </c>
      <c r="E22" s="605">
        <v>44757</v>
      </c>
      <c r="F22" s="604">
        <f t="shared" si="1"/>
        <v>195.39</v>
      </c>
      <c r="G22" s="606" t="s">
        <v>154</v>
      </c>
      <c r="H22" s="607">
        <v>35</v>
      </c>
      <c r="I22" s="132">
        <f t="shared" si="6"/>
        <v>3069.5700000000006</v>
      </c>
      <c r="L22" s="354">
        <f t="shared" si="4"/>
        <v>15</v>
      </c>
      <c r="M22" s="338"/>
      <c r="N22" s="339"/>
      <c r="O22" s="356"/>
      <c r="P22" s="339">
        <f t="shared" si="8"/>
        <v>0</v>
      </c>
      <c r="Q22" s="762"/>
      <c r="R22" s="805"/>
      <c r="S22" s="132">
        <f t="shared" si="7"/>
        <v>458.40999999999997</v>
      </c>
    </row>
    <row r="23" spans="2:19" x14ac:dyDescent="0.25">
      <c r="B23" s="354">
        <f t="shared" si="2"/>
        <v>104</v>
      </c>
      <c r="C23" s="338">
        <v>1</v>
      </c>
      <c r="D23" s="604">
        <v>28.38</v>
      </c>
      <c r="E23" s="605">
        <v>44758</v>
      </c>
      <c r="F23" s="604">
        <f t="shared" si="1"/>
        <v>28.38</v>
      </c>
      <c r="G23" s="606" t="s">
        <v>155</v>
      </c>
      <c r="H23" s="607">
        <v>35</v>
      </c>
      <c r="I23" s="132">
        <f t="shared" si="6"/>
        <v>3041.1900000000005</v>
      </c>
      <c r="L23" s="354">
        <f t="shared" si="4"/>
        <v>15</v>
      </c>
      <c r="M23" s="338"/>
      <c r="N23" s="339"/>
      <c r="O23" s="356"/>
      <c r="P23" s="339">
        <f t="shared" si="8"/>
        <v>0</v>
      </c>
      <c r="Q23" s="762"/>
      <c r="R23" s="805"/>
      <c r="S23" s="132">
        <f t="shared" si="7"/>
        <v>458.40999999999997</v>
      </c>
    </row>
    <row r="24" spans="2:19" x14ac:dyDescent="0.25">
      <c r="B24" s="354">
        <f t="shared" si="2"/>
        <v>97</v>
      </c>
      <c r="C24" s="338">
        <v>7</v>
      </c>
      <c r="D24" s="604">
        <v>208.19</v>
      </c>
      <c r="E24" s="605">
        <v>44758</v>
      </c>
      <c r="F24" s="604">
        <f t="shared" si="1"/>
        <v>208.19</v>
      </c>
      <c r="G24" s="606" t="s">
        <v>156</v>
      </c>
      <c r="H24" s="607">
        <v>35</v>
      </c>
      <c r="I24" s="132">
        <f t="shared" si="6"/>
        <v>2833.0000000000005</v>
      </c>
      <c r="L24" s="354">
        <f t="shared" si="4"/>
        <v>15</v>
      </c>
      <c r="M24" s="338"/>
      <c r="N24" s="339"/>
      <c r="O24" s="356"/>
      <c r="P24" s="339">
        <f t="shared" si="8"/>
        <v>0</v>
      </c>
      <c r="Q24" s="762"/>
      <c r="R24" s="805"/>
      <c r="S24" s="132">
        <f t="shared" si="7"/>
        <v>458.40999999999997</v>
      </c>
    </row>
    <row r="25" spans="2:19" x14ac:dyDescent="0.25">
      <c r="B25" s="354">
        <f t="shared" si="2"/>
        <v>96</v>
      </c>
      <c r="C25" s="338">
        <v>1</v>
      </c>
      <c r="D25" s="604">
        <v>27.6</v>
      </c>
      <c r="E25" s="605">
        <v>44762</v>
      </c>
      <c r="F25" s="604">
        <f t="shared" si="1"/>
        <v>27.6</v>
      </c>
      <c r="G25" s="606" t="s">
        <v>160</v>
      </c>
      <c r="H25" s="607">
        <v>35</v>
      </c>
      <c r="I25" s="132">
        <f t="shared" si="6"/>
        <v>2805.4000000000005</v>
      </c>
      <c r="L25" s="354">
        <f t="shared" si="4"/>
        <v>15</v>
      </c>
      <c r="M25" s="338"/>
      <c r="N25" s="339"/>
      <c r="O25" s="356"/>
      <c r="P25" s="339">
        <f t="shared" si="8"/>
        <v>0</v>
      </c>
      <c r="Q25" s="762"/>
      <c r="R25" s="805"/>
      <c r="S25" s="132">
        <f t="shared" si="7"/>
        <v>458.40999999999997</v>
      </c>
    </row>
    <row r="26" spans="2:19" x14ac:dyDescent="0.25">
      <c r="B26" s="354">
        <f t="shared" si="2"/>
        <v>95</v>
      </c>
      <c r="C26" s="338">
        <v>1</v>
      </c>
      <c r="D26" s="604">
        <v>29.12</v>
      </c>
      <c r="E26" s="605">
        <v>44763</v>
      </c>
      <c r="F26" s="604">
        <f t="shared" si="1"/>
        <v>29.12</v>
      </c>
      <c r="G26" s="606" t="s">
        <v>161</v>
      </c>
      <c r="H26" s="607">
        <v>35</v>
      </c>
      <c r="I26" s="132">
        <f t="shared" si="6"/>
        <v>2776.2800000000007</v>
      </c>
      <c r="L26" s="354">
        <f t="shared" si="4"/>
        <v>15</v>
      </c>
      <c r="M26" s="338"/>
      <c r="N26" s="339"/>
      <c r="O26" s="356"/>
      <c r="P26" s="339">
        <f t="shared" si="8"/>
        <v>0</v>
      </c>
      <c r="Q26" s="762"/>
      <c r="R26" s="805"/>
      <c r="S26" s="132">
        <f t="shared" si="7"/>
        <v>458.40999999999997</v>
      </c>
    </row>
    <row r="27" spans="2:19" x14ac:dyDescent="0.25">
      <c r="B27" s="354">
        <f t="shared" si="2"/>
        <v>92</v>
      </c>
      <c r="C27" s="338">
        <v>3</v>
      </c>
      <c r="D27" s="604">
        <v>89.7</v>
      </c>
      <c r="E27" s="605">
        <v>44763</v>
      </c>
      <c r="F27" s="604">
        <f t="shared" si="1"/>
        <v>89.7</v>
      </c>
      <c r="G27" s="606" t="s">
        <v>162</v>
      </c>
      <c r="H27" s="607">
        <v>35</v>
      </c>
      <c r="I27" s="132">
        <f t="shared" si="6"/>
        <v>2686.5800000000008</v>
      </c>
      <c r="L27" s="354">
        <f t="shared" si="4"/>
        <v>15</v>
      </c>
      <c r="M27" s="338"/>
      <c r="N27" s="339"/>
      <c r="O27" s="356"/>
      <c r="P27" s="339">
        <f t="shared" si="8"/>
        <v>0</v>
      </c>
      <c r="Q27" s="762"/>
      <c r="R27" s="805"/>
      <c r="S27" s="132">
        <f t="shared" si="7"/>
        <v>458.40999999999997</v>
      </c>
    </row>
    <row r="28" spans="2:19" x14ac:dyDescent="0.25">
      <c r="B28" s="354">
        <f t="shared" si="2"/>
        <v>85</v>
      </c>
      <c r="C28" s="338">
        <v>7</v>
      </c>
      <c r="D28" s="604">
        <v>209.78</v>
      </c>
      <c r="E28" s="605">
        <v>44765</v>
      </c>
      <c r="F28" s="604">
        <f t="shared" si="1"/>
        <v>209.78</v>
      </c>
      <c r="G28" s="606" t="s">
        <v>167</v>
      </c>
      <c r="H28" s="607">
        <v>35</v>
      </c>
      <c r="I28" s="132">
        <f t="shared" si="6"/>
        <v>2476.8000000000006</v>
      </c>
      <c r="L28" s="354">
        <f t="shared" si="4"/>
        <v>15</v>
      </c>
      <c r="M28" s="338"/>
      <c r="N28" s="339"/>
      <c r="O28" s="356"/>
      <c r="P28" s="339">
        <f t="shared" si="8"/>
        <v>0</v>
      </c>
      <c r="Q28" s="762"/>
      <c r="R28" s="805"/>
      <c r="S28" s="132">
        <f t="shared" si="7"/>
        <v>458.40999999999997</v>
      </c>
    </row>
    <row r="29" spans="2:19" x14ac:dyDescent="0.25">
      <c r="B29" s="354">
        <f t="shared" si="2"/>
        <v>78</v>
      </c>
      <c r="C29" s="338">
        <v>7</v>
      </c>
      <c r="D29" s="604">
        <v>191.25</v>
      </c>
      <c r="E29" s="605">
        <v>44767</v>
      </c>
      <c r="F29" s="604">
        <f t="shared" si="1"/>
        <v>191.25</v>
      </c>
      <c r="G29" s="606" t="s">
        <v>165</v>
      </c>
      <c r="H29" s="607">
        <v>35</v>
      </c>
      <c r="I29" s="132">
        <f t="shared" si="6"/>
        <v>2285.5500000000006</v>
      </c>
      <c r="L29" s="354">
        <f t="shared" si="4"/>
        <v>15</v>
      </c>
      <c r="M29" s="338"/>
      <c r="N29" s="339"/>
      <c r="O29" s="356"/>
      <c r="P29" s="339">
        <f t="shared" si="8"/>
        <v>0</v>
      </c>
      <c r="Q29" s="762"/>
      <c r="R29" s="805"/>
      <c r="S29" s="132">
        <f t="shared" si="7"/>
        <v>458.40999999999997</v>
      </c>
    </row>
    <row r="30" spans="2:19" x14ac:dyDescent="0.25">
      <c r="B30" s="354">
        <f t="shared" si="2"/>
        <v>69</v>
      </c>
      <c r="C30" s="338">
        <v>9</v>
      </c>
      <c r="D30" s="604">
        <v>264.07</v>
      </c>
      <c r="E30" s="605">
        <v>44768</v>
      </c>
      <c r="F30" s="604">
        <f t="shared" si="1"/>
        <v>264.07</v>
      </c>
      <c r="G30" s="606" t="s">
        <v>168</v>
      </c>
      <c r="H30" s="607">
        <v>35</v>
      </c>
      <c r="I30" s="132">
        <f t="shared" si="6"/>
        <v>2021.4800000000007</v>
      </c>
      <c r="L30" s="354">
        <f t="shared" si="4"/>
        <v>15</v>
      </c>
      <c r="M30" s="338"/>
      <c r="N30" s="339"/>
      <c r="O30" s="356"/>
      <c r="P30" s="339">
        <f t="shared" si="8"/>
        <v>0</v>
      </c>
      <c r="Q30" s="762"/>
      <c r="R30" s="805"/>
      <c r="S30" s="132">
        <f t="shared" si="7"/>
        <v>458.40999999999997</v>
      </c>
    </row>
    <row r="31" spans="2:19" x14ac:dyDescent="0.25">
      <c r="B31" s="354">
        <f t="shared" si="2"/>
        <v>68</v>
      </c>
      <c r="C31" s="338">
        <v>1</v>
      </c>
      <c r="D31" s="604">
        <v>30.2</v>
      </c>
      <c r="E31" s="756">
        <v>44771</v>
      </c>
      <c r="F31" s="604">
        <f t="shared" si="1"/>
        <v>30.2</v>
      </c>
      <c r="G31" s="606" t="s">
        <v>175</v>
      </c>
      <c r="H31" s="607">
        <v>35</v>
      </c>
      <c r="I31" s="132">
        <f t="shared" si="6"/>
        <v>1991.2800000000007</v>
      </c>
      <c r="L31" s="354">
        <f t="shared" si="4"/>
        <v>15</v>
      </c>
      <c r="M31" s="338"/>
      <c r="N31" s="339"/>
      <c r="O31" s="806"/>
      <c r="P31" s="339">
        <f t="shared" si="8"/>
        <v>0</v>
      </c>
      <c r="Q31" s="762"/>
      <c r="R31" s="805"/>
      <c r="S31" s="132">
        <f t="shared" si="7"/>
        <v>458.40999999999997</v>
      </c>
    </row>
    <row r="32" spans="2:19" x14ac:dyDescent="0.25">
      <c r="B32" s="354">
        <f t="shared" si="2"/>
        <v>66</v>
      </c>
      <c r="C32" s="338">
        <v>2</v>
      </c>
      <c r="D32" s="706">
        <v>59.01</v>
      </c>
      <c r="E32" s="757">
        <v>44779</v>
      </c>
      <c r="F32" s="706">
        <f t="shared" si="1"/>
        <v>59.01</v>
      </c>
      <c r="G32" s="707" t="s">
        <v>203</v>
      </c>
      <c r="H32" s="708">
        <v>35</v>
      </c>
      <c r="I32" s="132">
        <f t="shared" si="6"/>
        <v>1932.2700000000007</v>
      </c>
      <c r="L32" s="354">
        <f t="shared" si="4"/>
        <v>15</v>
      </c>
      <c r="M32" s="338"/>
      <c r="N32" s="339"/>
      <c r="O32" s="806"/>
      <c r="P32" s="339">
        <f t="shared" si="8"/>
        <v>0</v>
      </c>
      <c r="Q32" s="762"/>
      <c r="R32" s="805"/>
      <c r="S32" s="132">
        <f t="shared" si="7"/>
        <v>458.40999999999997</v>
      </c>
    </row>
    <row r="33" spans="1:19" x14ac:dyDescent="0.25">
      <c r="B33" s="354">
        <f t="shared" si="2"/>
        <v>65</v>
      </c>
      <c r="C33" s="338">
        <v>1</v>
      </c>
      <c r="D33" s="706">
        <v>28.75</v>
      </c>
      <c r="E33" s="757">
        <v>44786</v>
      </c>
      <c r="F33" s="706">
        <f t="shared" si="1"/>
        <v>28.75</v>
      </c>
      <c r="G33" s="707" t="s">
        <v>221</v>
      </c>
      <c r="H33" s="708">
        <v>35</v>
      </c>
      <c r="I33" s="132">
        <f t="shared" si="6"/>
        <v>1903.5200000000007</v>
      </c>
      <c r="L33" s="354">
        <f t="shared" si="4"/>
        <v>15</v>
      </c>
      <c r="M33" s="338"/>
      <c r="N33" s="339"/>
      <c r="O33" s="806"/>
      <c r="P33" s="339">
        <f t="shared" si="8"/>
        <v>0</v>
      </c>
      <c r="Q33" s="762"/>
      <c r="R33" s="805"/>
      <c r="S33" s="132">
        <f t="shared" si="7"/>
        <v>458.40999999999997</v>
      </c>
    </row>
    <row r="34" spans="1:19" x14ac:dyDescent="0.25">
      <c r="B34" s="354">
        <f t="shared" si="2"/>
        <v>58</v>
      </c>
      <c r="C34" s="338">
        <v>7</v>
      </c>
      <c r="D34" s="706">
        <v>195.03</v>
      </c>
      <c r="E34" s="757">
        <v>44786</v>
      </c>
      <c r="F34" s="706">
        <f t="shared" si="1"/>
        <v>195.03</v>
      </c>
      <c r="G34" s="707" t="s">
        <v>224</v>
      </c>
      <c r="H34" s="708">
        <v>35</v>
      </c>
      <c r="I34" s="132">
        <f t="shared" si="6"/>
        <v>1708.4900000000007</v>
      </c>
      <c r="L34" s="354">
        <f t="shared" si="4"/>
        <v>15</v>
      </c>
      <c r="M34" s="338"/>
      <c r="N34" s="339"/>
      <c r="O34" s="806"/>
      <c r="P34" s="339">
        <f t="shared" si="8"/>
        <v>0</v>
      </c>
      <c r="Q34" s="762"/>
      <c r="R34" s="805"/>
      <c r="S34" s="132">
        <f t="shared" si="7"/>
        <v>458.40999999999997</v>
      </c>
    </row>
    <row r="35" spans="1:19" x14ac:dyDescent="0.25">
      <c r="B35" s="354">
        <f t="shared" si="2"/>
        <v>48</v>
      </c>
      <c r="C35" s="338">
        <v>10</v>
      </c>
      <c r="D35" s="706">
        <v>272.64999999999998</v>
      </c>
      <c r="E35" s="757">
        <v>44788</v>
      </c>
      <c r="F35" s="706">
        <f t="shared" si="1"/>
        <v>272.64999999999998</v>
      </c>
      <c r="G35" s="707" t="s">
        <v>230</v>
      </c>
      <c r="H35" s="708">
        <v>35</v>
      </c>
      <c r="I35" s="132">
        <f t="shared" si="6"/>
        <v>1435.8400000000006</v>
      </c>
      <c r="L35" s="354">
        <f t="shared" si="4"/>
        <v>15</v>
      </c>
      <c r="M35" s="338"/>
      <c r="N35" s="339"/>
      <c r="O35" s="806"/>
      <c r="P35" s="339">
        <f t="shared" si="8"/>
        <v>0</v>
      </c>
      <c r="Q35" s="762"/>
      <c r="R35" s="805"/>
      <c r="S35" s="132">
        <f t="shared" si="7"/>
        <v>458.40999999999997</v>
      </c>
    </row>
    <row r="36" spans="1:19" x14ac:dyDescent="0.25">
      <c r="B36" s="354">
        <f t="shared" si="2"/>
        <v>47</v>
      </c>
      <c r="C36" s="338">
        <v>1</v>
      </c>
      <c r="D36" s="706">
        <v>28.45</v>
      </c>
      <c r="E36" s="757">
        <v>44792</v>
      </c>
      <c r="F36" s="706">
        <f t="shared" si="1"/>
        <v>28.45</v>
      </c>
      <c r="G36" s="707" t="s">
        <v>239</v>
      </c>
      <c r="H36" s="708">
        <v>35</v>
      </c>
      <c r="I36" s="132">
        <f t="shared" si="6"/>
        <v>1407.3900000000006</v>
      </c>
      <c r="L36" s="354">
        <f t="shared" si="4"/>
        <v>15</v>
      </c>
      <c r="M36" s="338"/>
      <c r="N36" s="339"/>
      <c r="O36" s="806"/>
      <c r="P36" s="339">
        <f t="shared" si="8"/>
        <v>0</v>
      </c>
      <c r="Q36" s="762"/>
      <c r="R36" s="805"/>
      <c r="S36" s="132">
        <f t="shared" si="7"/>
        <v>458.40999999999997</v>
      </c>
    </row>
    <row r="37" spans="1:19" x14ac:dyDescent="0.25">
      <c r="B37" s="354">
        <f t="shared" si="2"/>
        <v>43</v>
      </c>
      <c r="C37" s="338">
        <v>4</v>
      </c>
      <c r="D37" s="706">
        <v>103.45</v>
      </c>
      <c r="E37" s="757">
        <v>44793</v>
      </c>
      <c r="F37" s="706">
        <f t="shared" si="1"/>
        <v>103.45</v>
      </c>
      <c r="G37" s="707" t="s">
        <v>245</v>
      </c>
      <c r="H37" s="708">
        <v>35</v>
      </c>
      <c r="I37" s="132">
        <f t="shared" si="6"/>
        <v>1303.9400000000005</v>
      </c>
      <c r="L37" s="354">
        <f t="shared" si="4"/>
        <v>15</v>
      </c>
      <c r="M37" s="338"/>
      <c r="N37" s="339"/>
      <c r="O37" s="806"/>
      <c r="P37" s="339">
        <f t="shared" si="8"/>
        <v>0</v>
      </c>
      <c r="Q37" s="762"/>
      <c r="R37" s="805"/>
      <c r="S37" s="132">
        <f t="shared" si="7"/>
        <v>458.40999999999997</v>
      </c>
    </row>
    <row r="38" spans="1:19" x14ac:dyDescent="0.25">
      <c r="B38" s="354">
        <f t="shared" si="2"/>
        <v>41</v>
      </c>
      <c r="C38" s="338">
        <v>2</v>
      </c>
      <c r="D38" s="706">
        <v>57.38</v>
      </c>
      <c r="E38" s="757">
        <v>44795</v>
      </c>
      <c r="F38" s="706">
        <f t="shared" si="1"/>
        <v>57.38</v>
      </c>
      <c r="G38" s="707" t="s">
        <v>249</v>
      </c>
      <c r="H38" s="708">
        <v>35</v>
      </c>
      <c r="I38" s="132">
        <f t="shared" si="6"/>
        <v>1246.5600000000004</v>
      </c>
      <c r="L38" s="354">
        <f t="shared" si="4"/>
        <v>15</v>
      </c>
      <c r="M38" s="338"/>
      <c r="N38" s="339"/>
      <c r="O38" s="806"/>
      <c r="P38" s="339">
        <f t="shared" si="8"/>
        <v>0</v>
      </c>
      <c r="Q38" s="762"/>
      <c r="R38" s="805"/>
      <c r="S38" s="132">
        <f t="shared" si="7"/>
        <v>458.40999999999997</v>
      </c>
    </row>
    <row r="39" spans="1:19" x14ac:dyDescent="0.25">
      <c r="B39" s="354">
        <f t="shared" si="2"/>
        <v>38</v>
      </c>
      <c r="C39" s="338">
        <v>3</v>
      </c>
      <c r="D39" s="706">
        <v>84.6</v>
      </c>
      <c r="E39" s="757">
        <v>44796</v>
      </c>
      <c r="F39" s="706">
        <f t="shared" si="1"/>
        <v>84.6</v>
      </c>
      <c r="G39" s="707" t="s">
        <v>257</v>
      </c>
      <c r="H39" s="708">
        <v>35</v>
      </c>
      <c r="I39" s="132">
        <f t="shared" si="6"/>
        <v>1161.9600000000005</v>
      </c>
      <c r="L39" s="354">
        <f t="shared" si="4"/>
        <v>15</v>
      </c>
      <c r="M39" s="338"/>
      <c r="N39" s="339"/>
      <c r="O39" s="806"/>
      <c r="P39" s="339">
        <f t="shared" si="8"/>
        <v>0</v>
      </c>
      <c r="Q39" s="762"/>
      <c r="R39" s="805"/>
      <c r="S39" s="132">
        <f t="shared" si="7"/>
        <v>458.40999999999997</v>
      </c>
    </row>
    <row r="40" spans="1:19" x14ac:dyDescent="0.25">
      <c r="A40" s="763" t="s">
        <v>276</v>
      </c>
      <c r="B40" s="354">
        <f t="shared" si="2"/>
        <v>34</v>
      </c>
      <c r="C40" s="764">
        <v>4</v>
      </c>
      <c r="D40" s="706">
        <v>146.31</v>
      </c>
      <c r="E40" s="757">
        <v>44796</v>
      </c>
      <c r="F40" s="706">
        <f t="shared" si="1"/>
        <v>146.31</v>
      </c>
      <c r="G40" s="707" t="s">
        <v>258</v>
      </c>
      <c r="H40" s="708">
        <v>35</v>
      </c>
      <c r="I40" s="132">
        <f t="shared" si="6"/>
        <v>1015.6500000000005</v>
      </c>
      <c r="K40" s="75"/>
      <c r="L40" s="354">
        <f t="shared" si="4"/>
        <v>15</v>
      </c>
      <c r="M40" s="338"/>
      <c r="N40" s="339"/>
      <c r="O40" s="806"/>
      <c r="P40" s="339">
        <f t="shared" si="8"/>
        <v>0</v>
      </c>
      <c r="Q40" s="762"/>
      <c r="R40" s="805"/>
      <c r="S40" s="132">
        <f t="shared" si="7"/>
        <v>458.40999999999997</v>
      </c>
    </row>
    <row r="41" spans="1:19" x14ac:dyDescent="0.25">
      <c r="B41" s="354">
        <f t="shared" si="2"/>
        <v>30</v>
      </c>
      <c r="C41" s="338">
        <v>4</v>
      </c>
      <c r="D41" s="706">
        <v>114.59</v>
      </c>
      <c r="E41" s="757">
        <v>44799</v>
      </c>
      <c r="F41" s="706">
        <f t="shared" si="1"/>
        <v>114.59</v>
      </c>
      <c r="G41" s="707" t="s">
        <v>266</v>
      </c>
      <c r="H41" s="708">
        <v>35</v>
      </c>
      <c r="I41" s="132">
        <f t="shared" si="6"/>
        <v>901.06000000000051</v>
      </c>
      <c r="L41" s="354">
        <f t="shared" si="4"/>
        <v>15</v>
      </c>
      <c r="M41" s="338"/>
      <c r="N41" s="339"/>
      <c r="O41" s="806"/>
      <c r="P41" s="339">
        <f t="shared" si="8"/>
        <v>0</v>
      </c>
      <c r="Q41" s="762"/>
      <c r="R41" s="805"/>
      <c r="S41" s="132">
        <f t="shared" si="7"/>
        <v>458.40999999999997</v>
      </c>
    </row>
    <row r="42" spans="1:19" x14ac:dyDescent="0.25">
      <c r="B42" s="354">
        <f t="shared" si="2"/>
        <v>23</v>
      </c>
      <c r="C42" s="338">
        <v>7</v>
      </c>
      <c r="D42" s="706">
        <v>206.84</v>
      </c>
      <c r="E42" s="757">
        <v>44800</v>
      </c>
      <c r="F42" s="706">
        <f t="shared" si="1"/>
        <v>206.84</v>
      </c>
      <c r="G42" s="707" t="s">
        <v>272</v>
      </c>
      <c r="H42" s="708">
        <v>35</v>
      </c>
      <c r="I42" s="132">
        <f t="shared" si="6"/>
        <v>694.22000000000048</v>
      </c>
      <c r="L42" s="354">
        <f t="shared" si="4"/>
        <v>15</v>
      </c>
      <c r="M42" s="338"/>
      <c r="N42" s="339"/>
      <c r="O42" s="806"/>
      <c r="P42" s="339">
        <f t="shared" si="8"/>
        <v>0</v>
      </c>
      <c r="Q42" s="762"/>
      <c r="R42" s="805"/>
      <c r="S42" s="132">
        <f t="shared" si="7"/>
        <v>458.40999999999997</v>
      </c>
    </row>
    <row r="43" spans="1:19" x14ac:dyDescent="0.25">
      <c r="B43" s="354">
        <f t="shared" si="2"/>
        <v>21</v>
      </c>
      <c r="C43" s="338">
        <v>2</v>
      </c>
      <c r="D43" s="788">
        <v>57.33</v>
      </c>
      <c r="E43" s="789">
        <v>44802</v>
      </c>
      <c r="F43" s="788">
        <f t="shared" si="1"/>
        <v>57.33</v>
      </c>
      <c r="G43" s="790" t="s">
        <v>502</v>
      </c>
      <c r="H43" s="791">
        <v>35</v>
      </c>
      <c r="I43" s="132">
        <f t="shared" si="6"/>
        <v>636.89000000000044</v>
      </c>
      <c r="L43" s="354">
        <f t="shared" si="4"/>
        <v>15</v>
      </c>
      <c r="M43" s="338"/>
      <c r="N43" s="339"/>
      <c r="O43" s="806"/>
      <c r="P43" s="339">
        <f t="shared" si="8"/>
        <v>0</v>
      </c>
      <c r="Q43" s="762"/>
      <c r="R43" s="805"/>
      <c r="S43" s="132">
        <f t="shared" si="7"/>
        <v>458.40999999999997</v>
      </c>
    </row>
    <row r="44" spans="1:19" x14ac:dyDescent="0.25">
      <c r="B44" s="354">
        <f t="shared" si="2"/>
        <v>14</v>
      </c>
      <c r="C44" s="338">
        <v>7</v>
      </c>
      <c r="D44" s="788">
        <v>203.1</v>
      </c>
      <c r="E44" s="789">
        <v>44802</v>
      </c>
      <c r="F44" s="788">
        <f t="shared" si="1"/>
        <v>203.1</v>
      </c>
      <c r="G44" s="790" t="s">
        <v>504</v>
      </c>
      <c r="H44" s="791">
        <v>35</v>
      </c>
      <c r="I44" s="132">
        <f t="shared" si="6"/>
        <v>433.79000000000042</v>
      </c>
      <c r="L44" s="354">
        <f t="shared" si="4"/>
        <v>15</v>
      </c>
      <c r="M44" s="338"/>
      <c r="N44" s="339"/>
      <c r="O44" s="806"/>
      <c r="P44" s="339">
        <f t="shared" si="8"/>
        <v>0</v>
      </c>
      <c r="Q44" s="762"/>
      <c r="R44" s="805"/>
      <c r="S44" s="132">
        <f t="shared" si="7"/>
        <v>458.40999999999997</v>
      </c>
    </row>
    <row r="45" spans="1:19" x14ac:dyDescent="0.25">
      <c r="B45" s="354">
        <f t="shared" si="2"/>
        <v>7</v>
      </c>
      <c r="C45" s="338">
        <v>7</v>
      </c>
      <c r="D45" s="788">
        <v>201.68</v>
      </c>
      <c r="E45" s="789">
        <v>44805</v>
      </c>
      <c r="F45" s="788">
        <f t="shared" si="1"/>
        <v>201.68</v>
      </c>
      <c r="G45" s="790" t="s">
        <v>530</v>
      </c>
      <c r="H45" s="791">
        <v>35</v>
      </c>
      <c r="I45" s="132">
        <f t="shared" si="6"/>
        <v>232.11000000000041</v>
      </c>
      <c r="L45" s="354">
        <f t="shared" si="4"/>
        <v>15</v>
      </c>
      <c r="M45" s="338"/>
      <c r="N45" s="339"/>
      <c r="O45" s="806"/>
      <c r="P45" s="339">
        <f t="shared" si="8"/>
        <v>0</v>
      </c>
      <c r="Q45" s="762"/>
      <c r="R45" s="805"/>
      <c r="S45" s="132">
        <f t="shared" si="7"/>
        <v>458.40999999999997</v>
      </c>
    </row>
    <row r="46" spans="1:19" x14ac:dyDescent="0.25">
      <c r="B46" s="354">
        <f t="shared" si="2"/>
        <v>5</v>
      </c>
      <c r="C46" s="338">
        <v>2</v>
      </c>
      <c r="D46" s="788">
        <v>59.58</v>
      </c>
      <c r="E46" s="789">
        <v>44807</v>
      </c>
      <c r="F46" s="788">
        <f t="shared" si="1"/>
        <v>59.58</v>
      </c>
      <c r="G46" s="790" t="s">
        <v>555</v>
      </c>
      <c r="H46" s="791">
        <v>35</v>
      </c>
      <c r="I46" s="132">
        <f t="shared" si="6"/>
        <v>172.53000000000043</v>
      </c>
      <c r="L46" s="354">
        <f t="shared" si="4"/>
        <v>15</v>
      </c>
      <c r="M46" s="338"/>
      <c r="N46" s="339"/>
      <c r="O46" s="806"/>
      <c r="P46" s="339">
        <f t="shared" si="8"/>
        <v>0</v>
      </c>
      <c r="Q46" s="762"/>
      <c r="R46" s="805"/>
      <c r="S46" s="132">
        <f t="shared" si="7"/>
        <v>458.40999999999997</v>
      </c>
    </row>
    <row r="47" spans="1:19" x14ac:dyDescent="0.25">
      <c r="B47" s="354">
        <f t="shared" si="2"/>
        <v>3</v>
      </c>
      <c r="C47" s="338">
        <v>2</v>
      </c>
      <c r="D47" s="788">
        <v>55.51</v>
      </c>
      <c r="E47" s="789">
        <v>44812</v>
      </c>
      <c r="F47" s="788">
        <f t="shared" si="1"/>
        <v>55.51</v>
      </c>
      <c r="G47" s="790" t="s">
        <v>561</v>
      </c>
      <c r="H47" s="791">
        <v>42</v>
      </c>
      <c r="I47" s="132">
        <f t="shared" si="6"/>
        <v>117.02000000000044</v>
      </c>
      <c r="L47" s="354">
        <f t="shared" si="4"/>
        <v>15</v>
      </c>
      <c r="M47" s="338"/>
      <c r="N47" s="339"/>
      <c r="O47" s="806"/>
      <c r="P47" s="339">
        <f t="shared" si="8"/>
        <v>0</v>
      </c>
      <c r="Q47" s="762"/>
      <c r="R47" s="805"/>
      <c r="S47" s="132">
        <f t="shared" si="7"/>
        <v>458.40999999999997</v>
      </c>
    </row>
    <row r="48" spans="1:19" x14ac:dyDescent="0.25">
      <c r="B48" s="354">
        <f t="shared" si="2"/>
        <v>1</v>
      </c>
      <c r="C48" s="338">
        <v>2</v>
      </c>
      <c r="D48" s="788">
        <v>58.43</v>
      </c>
      <c r="E48" s="789">
        <v>44812</v>
      </c>
      <c r="F48" s="788">
        <f t="shared" si="1"/>
        <v>58.43</v>
      </c>
      <c r="G48" s="790" t="s">
        <v>581</v>
      </c>
      <c r="H48" s="791">
        <v>42</v>
      </c>
      <c r="I48" s="132">
        <f t="shared" si="6"/>
        <v>58.590000000000437</v>
      </c>
      <c r="L48" s="354">
        <f t="shared" si="4"/>
        <v>15</v>
      </c>
      <c r="M48" s="338"/>
      <c r="N48" s="339"/>
      <c r="O48" s="806"/>
      <c r="P48" s="339">
        <f t="shared" si="8"/>
        <v>0</v>
      </c>
      <c r="Q48" s="762"/>
      <c r="R48" s="805"/>
      <c r="S48" s="132">
        <f t="shared" si="7"/>
        <v>458.40999999999997</v>
      </c>
    </row>
    <row r="49" spans="1:19" x14ac:dyDescent="0.25">
      <c r="B49" s="354">
        <f t="shared" si="2"/>
        <v>1</v>
      </c>
      <c r="C49" s="338"/>
      <c r="D49" s="788"/>
      <c r="E49" s="789"/>
      <c r="F49" s="788">
        <f t="shared" si="1"/>
        <v>0</v>
      </c>
      <c r="G49" s="790"/>
      <c r="H49" s="791"/>
      <c r="I49" s="132">
        <f t="shared" si="6"/>
        <v>58.590000000000437</v>
      </c>
      <c r="L49" s="354">
        <f t="shared" si="4"/>
        <v>15</v>
      </c>
      <c r="M49" s="338"/>
      <c r="N49" s="339"/>
      <c r="O49" s="806"/>
      <c r="P49" s="339">
        <f t="shared" si="8"/>
        <v>0</v>
      </c>
      <c r="Q49" s="762"/>
      <c r="R49" s="805"/>
      <c r="S49" s="132">
        <f t="shared" si="7"/>
        <v>458.40999999999997</v>
      </c>
    </row>
    <row r="50" spans="1:19" x14ac:dyDescent="0.25">
      <c r="B50" s="354">
        <f t="shared" si="2"/>
        <v>1</v>
      </c>
      <c r="C50" s="338"/>
      <c r="D50" s="788"/>
      <c r="E50" s="789"/>
      <c r="F50" s="788">
        <f t="shared" si="1"/>
        <v>0</v>
      </c>
      <c r="G50" s="790"/>
      <c r="H50" s="791"/>
      <c r="I50" s="132">
        <f t="shared" si="6"/>
        <v>58.590000000000437</v>
      </c>
      <c r="L50" s="354">
        <f t="shared" si="4"/>
        <v>15</v>
      </c>
      <c r="M50" s="338"/>
      <c r="N50" s="339"/>
      <c r="O50" s="806"/>
      <c r="P50" s="339">
        <f t="shared" si="8"/>
        <v>0</v>
      </c>
      <c r="Q50" s="762"/>
      <c r="R50" s="805"/>
      <c r="S50" s="132">
        <f t="shared" si="7"/>
        <v>458.40999999999997</v>
      </c>
    </row>
    <row r="51" spans="1:19" x14ac:dyDescent="0.25">
      <c r="B51" s="354">
        <f t="shared" si="2"/>
        <v>0</v>
      </c>
      <c r="C51" s="338">
        <v>1</v>
      </c>
      <c r="D51" s="788"/>
      <c r="E51" s="789"/>
      <c r="F51" s="788">
        <v>58.59</v>
      </c>
      <c r="G51" s="790"/>
      <c r="H51" s="791"/>
      <c r="I51" s="132">
        <f t="shared" si="6"/>
        <v>4.3343106881366111E-13</v>
      </c>
      <c r="L51" s="354">
        <f t="shared" si="4"/>
        <v>15</v>
      </c>
      <c r="M51" s="338"/>
      <c r="N51" s="339"/>
      <c r="O51" s="806"/>
      <c r="P51" s="339">
        <f t="shared" si="8"/>
        <v>0</v>
      </c>
      <c r="Q51" s="762"/>
      <c r="R51" s="805"/>
      <c r="S51" s="132">
        <f t="shared" si="7"/>
        <v>458.40999999999997</v>
      </c>
    </row>
    <row r="52" spans="1:19" x14ac:dyDescent="0.25">
      <c r="B52" s="354">
        <f t="shared" si="2"/>
        <v>0</v>
      </c>
      <c r="C52" s="338"/>
      <c r="D52" s="788"/>
      <c r="E52" s="789"/>
      <c r="F52" s="914">
        <f t="shared" si="1"/>
        <v>0</v>
      </c>
      <c r="G52" s="915"/>
      <c r="H52" s="916"/>
      <c r="I52" s="615">
        <f t="shared" si="6"/>
        <v>4.3343106881366111E-13</v>
      </c>
      <c r="L52" s="354">
        <f t="shared" si="4"/>
        <v>15</v>
      </c>
      <c r="M52" s="338"/>
      <c r="N52" s="339"/>
      <c r="O52" s="806"/>
      <c r="P52" s="339">
        <f t="shared" si="8"/>
        <v>0</v>
      </c>
      <c r="Q52" s="762"/>
      <c r="R52" s="805"/>
      <c r="S52" s="132">
        <f t="shared" si="7"/>
        <v>458.40999999999997</v>
      </c>
    </row>
    <row r="53" spans="1:19" x14ac:dyDescent="0.25">
      <c r="B53" s="354">
        <f t="shared" si="2"/>
        <v>0</v>
      </c>
      <c r="C53" s="338"/>
      <c r="D53" s="788"/>
      <c r="E53" s="789"/>
      <c r="F53" s="914">
        <f t="shared" si="1"/>
        <v>0</v>
      </c>
      <c r="G53" s="915"/>
      <c r="H53" s="916"/>
      <c r="I53" s="615">
        <f t="shared" si="6"/>
        <v>4.3343106881366111E-13</v>
      </c>
      <c r="L53" s="354">
        <f t="shared" si="4"/>
        <v>15</v>
      </c>
      <c r="M53" s="338"/>
      <c r="N53" s="339"/>
      <c r="O53" s="806"/>
      <c r="P53" s="339">
        <f t="shared" si="8"/>
        <v>0</v>
      </c>
      <c r="Q53" s="762"/>
      <c r="R53" s="805"/>
      <c r="S53" s="132">
        <f t="shared" si="7"/>
        <v>458.40999999999997</v>
      </c>
    </row>
    <row r="54" spans="1:19" x14ac:dyDescent="0.25">
      <c r="B54" s="354">
        <f t="shared" si="2"/>
        <v>0</v>
      </c>
      <c r="C54" s="338"/>
      <c r="D54" s="788"/>
      <c r="E54" s="789"/>
      <c r="F54" s="914">
        <f t="shared" si="1"/>
        <v>0</v>
      </c>
      <c r="G54" s="915"/>
      <c r="H54" s="916"/>
      <c r="I54" s="615">
        <f t="shared" si="6"/>
        <v>4.3343106881366111E-13</v>
      </c>
      <c r="L54" s="354">
        <f t="shared" si="4"/>
        <v>15</v>
      </c>
      <c r="M54" s="338"/>
      <c r="N54" s="339"/>
      <c r="O54" s="806"/>
      <c r="P54" s="339">
        <f t="shared" si="8"/>
        <v>0</v>
      </c>
      <c r="Q54" s="762"/>
      <c r="R54" s="805"/>
      <c r="S54" s="132">
        <f t="shared" si="7"/>
        <v>458.40999999999997</v>
      </c>
    </row>
    <row r="55" spans="1:19" x14ac:dyDescent="0.25">
      <c r="B55" s="354">
        <f t="shared" si="2"/>
        <v>0</v>
      </c>
      <c r="C55" s="338"/>
      <c r="D55" s="788"/>
      <c r="E55" s="789"/>
      <c r="F55" s="914">
        <f t="shared" si="1"/>
        <v>0</v>
      </c>
      <c r="G55" s="915"/>
      <c r="H55" s="916"/>
      <c r="I55" s="615">
        <f t="shared" si="6"/>
        <v>4.3343106881366111E-13</v>
      </c>
      <c r="L55" s="354">
        <f t="shared" si="4"/>
        <v>15</v>
      </c>
      <c r="M55" s="338"/>
      <c r="N55" s="339"/>
      <c r="O55" s="806"/>
      <c r="P55" s="339">
        <f t="shared" si="8"/>
        <v>0</v>
      </c>
      <c r="Q55" s="762"/>
      <c r="R55" s="805"/>
      <c r="S55" s="132">
        <f t="shared" si="7"/>
        <v>458.40999999999997</v>
      </c>
    </row>
    <row r="56" spans="1:19" x14ac:dyDescent="0.25">
      <c r="B56" s="354">
        <f t="shared" si="2"/>
        <v>0</v>
      </c>
      <c r="C56" s="338"/>
      <c r="D56" s="788"/>
      <c r="E56" s="789"/>
      <c r="F56" s="914">
        <f t="shared" si="1"/>
        <v>0</v>
      </c>
      <c r="G56" s="915"/>
      <c r="H56" s="916"/>
      <c r="I56" s="615">
        <f t="shared" si="6"/>
        <v>4.3343106881366111E-13</v>
      </c>
      <c r="L56" s="354">
        <f t="shared" si="4"/>
        <v>15</v>
      </c>
      <c r="M56" s="338"/>
      <c r="N56" s="339"/>
      <c r="O56" s="806"/>
      <c r="P56" s="339">
        <f t="shared" si="8"/>
        <v>0</v>
      </c>
      <c r="Q56" s="762"/>
      <c r="R56" s="805"/>
      <c r="S56" s="132">
        <f t="shared" si="7"/>
        <v>458.40999999999997</v>
      </c>
    </row>
    <row r="57" spans="1:19" x14ac:dyDescent="0.25">
      <c r="B57" s="354">
        <f t="shared" si="2"/>
        <v>0</v>
      </c>
      <c r="C57" s="338"/>
      <c r="D57" s="788"/>
      <c r="E57" s="789"/>
      <c r="F57" s="788">
        <f t="shared" si="1"/>
        <v>0</v>
      </c>
      <c r="G57" s="790"/>
      <c r="H57" s="791"/>
      <c r="I57" s="132">
        <f t="shared" si="6"/>
        <v>4.3343106881366111E-13</v>
      </c>
      <c r="L57" s="354">
        <f t="shared" si="4"/>
        <v>15</v>
      </c>
      <c r="M57" s="338"/>
      <c r="N57" s="339"/>
      <c r="O57" s="806"/>
      <c r="P57" s="339">
        <f t="shared" si="8"/>
        <v>0</v>
      </c>
      <c r="Q57" s="762"/>
      <c r="R57" s="805"/>
      <c r="S57" s="132">
        <f t="shared" si="7"/>
        <v>458.40999999999997</v>
      </c>
    </row>
    <row r="58" spans="1:19" x14ac:dyDescent="0.25">
      <c r="B58" s="354">
        <f t="shared" si="2"/>
        <v>0</v>
      </c>
      <c r="C58" s="338"/>
      <c r="D58" s="339"/>
      <c r="E58" s="562"/>
      <c r="F58" s="558"/>
      <c r="G58" s="762"/>
      <c r="H58" s="805"/>
      <c r="I58" s="132">
        <f t="shared" si="6"/>
        <v>4.3343106881366111E-13</v>
      </c>
      <c r="L58" s="354">
        <f t="shared" si="4"/>
        <v>15</v>
      </c>
      <c r="M58" s="338"/>
      <c r="N58" s="339"/>
      <c r="O58" s="503"/>
      <c r="P58" s="339"/>
      <c r="Q58" s="762"/>
      <c r="R58" s="805"/>
      <c r="S58" s="132">
        <f t="shared" si="7"/>
        <v>458.40999999999997</v>
      </c>
    </row>
    <row r="59" spans="1:19" x14ac:dyDescent="0.25">
      <c r="B59" s="354"/>
      <c r="C59" s="338"/>
      <c r="D59" s="339"/>
      <c r="E59" s="562"/>
      <c r="F59" s="558"/>
      <c r="G59" s="503"/>
      <c r="H59" s="503"/>
      <c r="I59" s="132"/>
      <c r="L59" s="354"/>
      <c r="M59" s="338"/>
      <c r="N59" s="339"/>
      <c r="O59" s="503"/>
      <c r="P59" s="339"/>
      <c r="Q59" s="807"/>
      <c r="R59" s="503"/>
      <c r="S59" s="132"/>
    </row>
    <row r="60" spans="1:19" x14ac:dyDescent="0.25">
      <c r="B60" s="354"/>
      <c r="C60" s="338"/>
      <c r="D60" s="339"/>
      <c r="E60" s="562"/>
      <c r="F60" s="558"/>
      <c r="G60" s="503"/>
      <c r="H60" s="503"/>
      <c r="I60" s="132"/>
      <c r="L60" s="354"/>
      <c r="M60" s="338"/>
      <c r="N60" s="339"/>
      <c r="O60" s="503"/>
      <c r="P60" s="339"/>
      <c r="Q60" s="807"/>
      <c r="R60" s="503"/>
      <c r="S60" s="132"/>
    </row>
    <row r="61" spans="1:19" ht="15.75" thickBot="1" x14ac:dyDescent="0.3">
      <c r="B61" s="74"/>
      <c r="C61" s="340"/>
      <c r="D61" s="570"/>
      <c r="E61" s="352"/>
      <c r="F61" s="351"/>
      <c r="G61" s="502"/>
      <c r="H61" s="502"/>
      <c r="I61" s="281"/>
      <c r="L61" s="74"/>
      <c r="M61" s="340"/>
      <c r="N61" s="570"/>
      <c r="O61" s="352"/>
      <c r="P61" s="351"/>
      <c r="Q61" s="353"/>
      <c r="R61" s="502"/>
      <c r="S61" s="281"/>
    </row>
    <row r="62" spans="1:19" ht="16.5" thickTop="1" thickBot="1" x14ac:dyDescent="0.3">
      <c r="A62" s="75"/>
      <c r="B62" s="75"/>
      <c r="C62" s="75">
        <f>SUM(C10:C61)</f>
        <v>153</v>
      </c>
      <c r="D62" s="105">
        <f>SUM(D10:D61)</f>
        <v>4381.9800000000005</v>
      </c>
      <c r="E62" s="75"/>
      <c r="F62" s="105">
        <f>SUM(F10:F61)</f>
        <v>4440.5700000000006</v>
      </c>
      <c r="G62" s="75"/>
      <c r="H62" s="75"/>
      <c r="K62" s="75"/>
      <c r="L62" s="75"/>
      <c r="M62" s="75">
        <f>SUM(M10:M61)</f>
        <v>54</v>
      </c>
      <c r="N62" s="105">
        <f>SUM(N10:N61)</f>
        <v>1601.1800000000003</v>
      </c>
      <c r="O62" s="75"/>
      <c r="P62" s="105">
        <f>SUM(P10:P61)</f>
        <v>1601.1800000000003</v>
      </c>
      <c r="Q62" s="75"/>
      <c r="R62" s="75"/>
    </row>
    <row r="63" spans="1:19" x14ac:dyDescent="0.25">
      <c r="A63" s="75"/>
      <c r="B63" s="75"/>
      <c r="C63" s="75"/>
      <c r="D63" s="262" t="s">
        <v>21</v>
      </c>
      <c r="E63" s="263"/>
      <c r="F63" s="141">
        <f>E6+E5+E4-F62</f>
        <v>-436.33000000000038</v>
      </c>
      <c r="G63" s="75"/>
      <c r="H63" s="75"/>
      <c r="K63" s="75"/>
      <c r="L63" s="75"/>
      <c r="M63" s="936"/>
      <c r="N63" s="935"/>
      <c r="O63" s="935"/>
      <c r="P63" s="937"/>
      <c r="Q63" s="75"/>
      <c r="R63" s="75"/>
    </row>
    <row r="64" spans="1:19" ht="15.75" thickBot="1" x14ac:dyDescent="0.3">
      <c r="A64" s="75"/>
      <c r="B64" s="75"/>
      <c r="C64" s="75"/>
      <c r="D64" s="264" t="s">
        <v>4</v>
      </c>
      <c r="E64" s="265"/>
      <c r="F64" s="49">
        <f>F5+F4-C10+F6+F7</f>
        <v>152</v>
      </c>
      <c r="G64" s="75"/>
      <c r="H64" s="75"/>
      <c r="K64" s="75"/>
      <c r="L64" s="75"/>
      <c r="M64" s="936"/>
      <c r="N64" s="935"/>
      <c r="O64" s="935"/>
      <c r="P64" s="935"/>
      <c r="Q64" s="75"/>
      <c r="R64" s="75"/>
    </row>
    <row r="65" spans="1:18" ht="29.25" customHeight="1" x14ac:dyDescent="0.25">
      <c r="A65" s="75"/>
      <c r="B65" s="75"/>
      <c r="C65" s="75"/>
      <c r="E65" s="75"/>
      <c r="F65" s="75"/>
      <c r="G65" s="75"/>
      <c r="H65" s="75"/>
      <c r="K65" s="75"/>
      <c r="L65" s="75"/>
      <c r="M65" s="75"/>
      <c r="N65" s="938" t="s">
        <v>21</v>
      </c>
      <c r="O65" s="939"/>
      <c r="P65" s="940">
        <f>O4+O5+O6+O7+O8-P62</f>
        <v>458.40999999999985</v>
      </c>
      <c r="Q65" s="75"/>
      <c r="R65" s="75"/>
    </row>
    <row r="66" spans="1:18" ht="28.5" customHeight="1" thickBot="1" x14ac:dyDescent="0.3">
      <c r="A66" s="75"/>
      <c r="B66" s="75"/>
      <c r="C66" s="75"/>
      <c r="E66" s="75"/>
      <c r="F66" s="75"/>
      <c r="G66" s="75"/>
      <c r="H66" s="75"/>
      <c r="K66" s="75"/>
      <c r="L66" s="75"/>
      <c r="M66" s="75"/>
      <c r="N66" s="941" t="s">
        <v>4</v>
      </c>
      <c r="O66" s="942"/>
      <c r="P66" s="943">
        <f>P4+P5+P6+P7+P8-M62</f>
        <v>15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H13" workbookViewId="0">
      <selection activeCell="U10" sqref="U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0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</cols>
  <sheetData>
    <row r="1" spans="1:19" ht="40.5" x14ac:dyDescent="0.55000000000000004">
      <c r="A1" s="1054" t="s">
        <v>293</v>
      </c>
      <c r="B1" s="1054"/>
      <c r="C1" s="1054"/>
      <c r="D1" s="1054"/>
      <c r="E1" s="1054"/>
      <c r="F1" s="1054"/>
      <c r="G1" s="1054"/>
      <c r="H1" s="11">
        <v>1</v>
      </c>
      <c r="K1" s="1058" t="s">
        <v>306</v>
      </c>
      <c r="L1" s="1058"/>
      <c r="M1" s="1058"/>
      <c r="N1" s="1058"/>
      <c r="O1" s="1058"/>
      <c r="P1" s="1058"/>
      <c r="Q1" s="1058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126" t="s">
        <v>179</v>
      </c>
      <c r="C4" s="102"/>
      <c r="D4" s="135"/>
      <c r="E4" s="86"/>
      <c r="F4" s="73"/>
      <c r="G4" s="239"/>
      <c r="L4" s="1126" t="s">
        <v>179</v>
      </c>
      <c r="M4" s="102"/>
      <c r="N4" s="135"/>
      <c r="O4" s="86"/>
      <c r="P4" s="73"/>
      <c r="Q4" s="239"/>
    </row>
    <row r="5" spans="1:19" x14ac:dyDescent="0.25">
      <c r="A5" s="75" t="s">
        <v>52</v>
      </c>
      <c r="B5" s="1127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372.23</v>
      </c>
      <c r="H5" s="138">
        <f>E5-G5+E6</f>
        <v>584.52</v>
      </c>
      <c r="K5" s="75" t="s">
        <v>52</v>
      </c>
      <c r="L5" s="1127"/>
      <c r="M5" s="102">
        <v>90</v>
      </c>
      <c r="N5" s="135">
        <v>44819</v>
      </c>
      <c r="O5" s="86">
        <v>1999.52</v>
      </c>
      <c r="P5" s="73">
        <v>70</v>
      </c>
      <c r="Q5" s="48">
        <f>P32</f>
        <v>0</v>
      </c>
      <c r="R5" s="138">
        <f>O5-Q5+O6</f>
        <v>1999.52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709" t="s">
        <v>7</v>
      </c>
      <c r="C7" s="710" t="s">
        <v>8</v>
      </c>
      <c r="D7" s="711" t="s">
        <v>17</v>
      </c>
      <c r="E7" s="712" t="s">
        <v>2</v>
      </c>
      <c r="F7" s="713" t="s">
        <v>18</v>
      </c>
      <c r="G7" s="714" t="s">
        <v>15</v>
      </c>
      <c r="H7" s="24"/>
      <c r="L7" s="709" t="s">
        <v>7</v>
      </c>
      <c r="M7" s="710" t="s">
        <v>8</v>
      </c>
      <c r="N7" s="711" t="s">
        <v>17</v>
      </c>
      <c r="O7" s="712" t="s">
        <v>2</v>
      </c>
      <c r="P7" s="713" t="s">
        <v>18</v>
      </c>
      <c r="Q7" s="714" t="s">
        <v>15</v>
      </c>
      <c r="R7" s="24"/>
    </row>
    <row r="8" spans="1:19" ht="15.75" thickTop="1" x14ac:dyDescent="0.25">
      <c r="A8" s="55"/>
      <c r="B8" s="428">
        <f>F4+F5+F6-C8</f>
        <v>28</v>
      </c>
      <c r="C8" s="675">
        <v>6</v>
      </c>
      <c r="D8" s="683">
        <v>163.66</v>
      </c>
      <c r="E8" s="134">
        <v>44756</v>
      </c>
      <c r="F8" s="92">
        <f>D8</f>
        <v>163.66</v>
      </c>
      <c r="G8" s="95" t="s">
        <v>149</v>
      </c>
      <c r="H8" s="71">
        <v>119</v>
      </c>
      <c r="I8" s="132">
        <f>E4+E5+E6-F8</f>
        <v>793.09</v>
      </c>
      <c r="K8" s="55"/>
      <c r="L8" s="428">
        <f>P4+P5+P6-M8</f>
        <v>70</v>
      </c>
      <c r="M8" s="675"/>
      <c r="N8" s="683"/>
      <c r="O8" s="134"/>
      <c r="P8" s="92">
        <f>N8</f>
        <v>0</v>
      </c>
      <c r="Q8" s="95"/>
      <c r="R8" s="71"/>
      <c r="S8" s="132">
        <f>O4+O5+O6-P8</f>
        <v>1999.52</v>
      </c>
    </row>
    <row r="9" spans="1:19" x14ac:dyDescent="0.25">
      <c r="A9" s="75"/>
      <c r="B9" s="428">
        <f>B8-C9</f>
        <v>21</v>
      </c>
      <c r="C9" s="676">
        <v>7</v>
      </c>
      <c r="D9" s="792">
        <v>208.57</v>
      </c>
      <c r="E9" s="793">
        <v>44818</v>
      </c>
      <c r="F9" s="794">
        <f>D9</f>
        <v>208.57</v>
      </c>
      <c r="G9" s="795" t="s">
        <v>637</v>
      </c>
      <c r="H9" s="796">
        <v>119</v>
      </c>
      <c r="I9" s="132">
        <f>I8-F9</f>
        <v>584.52</v>
      </c>
      <c r="K9" s="75"/>
      <c r="L9" s="428">
        <f>L8-M9</f>
        <v>70</v>
      </c>
      <c r="M9" s="676"/>
      <c r="N9" s="792"/>
      <c r="O9" s="793"/>
      <c r="P9" s="794">
        <f>N9</f>
        <v>0</v>
      </c>
      <c r="Q9" s="795"/>
      <c r="R9" s="796"/>
      <c r="S9" s="132">
        <f>S8-P9</f>
        <v>1999.52</v>
      </c>
    </row>
    <row r="10" spans="1:19" x14ac:dyDescent="0.25">
      <c r="A10" s="75"/>
      <c r="B10" s="428">
        <f t="shared" ref="B10:B28" si="0">B9-C10</f>
        <v>21</v>
      </c>
      <c r="C10" s="676"/>
      <c r="D10" s="792"/>
      <c r="E10" s="793"/>
      <c r="F10" s="794">
        <f t="shared" ref="F10:F28" si="1">D10</f>
        <v>0</v>
      </c>
      <c r="G10" s="795"/>
      <c r="H10" s="797"/>
      <c r="I10" s="132">
        <f t="shared" ref="I10:I28" si="2">I9-F10</f>
        <v>584.52</v>
      </c>
      <c r="K10" s="75"/>
      <c r="L10" s="428">
        <f t="shared" ref="L10:L28" si="3">L9-M10</f>
        <v>70</v>
      </c>
      <c r="M10" s="676"/>
      <c r="N10" s="792"/>
      <c r="O10" s="793"/>
      <c r="P10" s="794">
        <f t="shared" ref="P10:P28" si="4">N10</f>
        <v>0</v>
      </c>
      <c r="Q10" s="795"/>
      <c r="R10" s="797"/>
      <c r="S10" s="132">
        <f t="shared" ref="S10:S28" si="5">S9-P10</f>
        <v>1999.52</v>
      </c>
    </row>
    <row r="11" spans="1:19" x14ac:dyDescent="0.25">
      <c r="A11" s="55"/>
      <c r="B11" s="428">
        <f t="shared" si="0"/>
        <v>21</v>
      </c>
      <c r="C11" s="676"/>
      <c r="D11" s="792"/>
      <c r="E11" s="793"/>
      <c r="F11" s="794">
        <f t="shared" si="1"/>
        <v>0</v>
      </c>
      <c r="G11" s="795"/>
      <c r="H11" s="797"/>
      <c r="I11" s="132">
        <f t="shared" si="2"/>
        <v>584.52</v>
      </c>
      <c r="K11" s="55"/>
      <c r="L11" s="428">
        <f t="shared" si="3"/>
        <v>70</v>
      </c>
      <c r="M11" s="676"/>
      <c r="N11" s="792"/>
      <c r="O11" s="793"/>
      <c r="P11" s="794">
        <f t="shared" si="4"/>
        <v>0</v>
      </c>
      <c r="Q11" s="795"/>
      <c r="R11" s="797"/>
      <c r="S11" s="132">
        <f t="shared" si="5"/>
        <v>1999.52</v>
      </c>
    </row>
    <row r="12" spans="1:19" x14ac:dyDescent="0.25">
      <c r="A12" s="75"/>
      <c r="B12" s="428">
        <f t="shared" si="0"/>
        <v>21</v>
      </c>
      <c r="C12" s="676"/>
      <c r="D12" s="792"/>
      <c r="E12" s="793"/>
      <c r="F12" s="794">
        <f t="shared" si="1"/>
        <v>0</v>
      </c>
      <c r="G12" s="795"/>
      <c r="H12" s="797"/>
      <c r="I12" s="132">
        <f t="shared" si="2"/>
        <v>584.52</v>
      </c>
      <c r="K12" s="75"/>
      <c r="L12" s="428">
        <f t="shared" si="3"/>
        <v>70</v>
      </c>
      <c r="M12" s="676"/>
      <c r="N12" s="792"/>
      <c r="O12" s="793"/>
      <c r="P12" s="794">
        <f t="shared" si="4"/>
        <v>0</v>
      </c>
      <c r="Q12" s="795"/>
      <c r="R12" s="797"/>
      <c r="S12" s="132">
        <f t="shared" si="5"/>
        <v>1999.52</v>
      </c>
    </row>
    <row r="13" spans="1:19" x14ac:dyDescent="0.25">
      <c r="A13" s="75"/>
      <c r="B13" s="428">
        <f t="shared" si="0"/>
        <v>21</v>
      </c>
      <c r="C13" s="676"/>
      <c r="D13" s="792"/>
      <c r="E13" s="793"/>
      <c r="F13" s="794">
        <f t="shared" si="1"/>
        <v>0</v>
      </c>
      <c r="G13" s="795"/>
      <c r="H13" s="797"/>
      <c r="I13" s="132">
        <f t="shared" si="2"/>
        <v>584.52</v>
      </c>
      <c r="K13" s="75"/>
      <c r="L13" s="428">
        <f t="shared" si="3"/>
        <v>70</v>
      </c>
      <c r="M13" s="676"/>
      <c r="N13" s="792"/>
      <c r="O13" s="793"/>
      <c r="P13" s="794">
        <f t="shared" si="4"/>
        <v>0</v>
      </c>
      <c r="Q13" s="795"/>
      <c r="R13" s="797"/>
      <c r="S13" s="132">
        <f t="shared" si="5"/>
        <v>1999.52</v>
      </c>
    </row>
    <row r="14" spans="1:19" x14ac:dyDescent="0.25">
      <c r="B14" s="428">
        <f t="shared" si="0"/>
        <v>21</v>
      </c>
      <c r="C14" s="676"/>
      <c r="D14" s="792"/>
      <c r="E14" s="793"/>
      <c r="F14" s="794">
        <f t="shared" si="1"/>
        <v>0</v>
      </c>
      <c r="G14" s="795"/>
      <c r="H14" s="797"/>
      <c r="I14" s="132">
        <f t="shared" si="2"/>
        <v>584.52</v>
      </c>
      <c r="L14" s="428">
        <f t="shared" si="3"/>
        <v>70</v>
      </c>
      <c r="M14" s="676"/>
      <c r="N14" s="792"/>
      <c r="O14" s="793"/>
      <c r="P14" s="794">
        <f t="shared" si="4"/>
        <v>0</v>
      </c>
      <c r="Q14" s="795"/>
      <c r="R14" s="797"/>
      <c r="S14" s="132">
        <f t="shared" si="5"/>
        <v>1999.52</v>
      </c>
    </row>
    <row r="15" spans="1:19" x14ac:dyDescent="0.25">
      <c r="B15" s="428">
        <f t="shared" si="0"/>
        <v>21</v>
      </c>
      <c r="C15" s="676"/>
      <c r="D15" s="792"/>
      <c r="E15" s="793"/>
      <c r="F15" s="794">
        <f t="shared" si="1"/>
        <v>0</v>
      </c>
      <c r="G15" s="795"/>
      <c r="H15" s="797"/>
      <c r="I15" s="132">
        <f t="shared" si="2"/>
        <v>584.52</v>
      </c>
      <c r="L15" s="428">
        <f t="shared" si="3"/>
        <v>70</v>
      </c>
      <c r="M15" s="676"/>
      <c r="N15" s="792"/>
      <c r="O15" s="793"/>
      <c r="P15" s="794">
        <f t="shared" si="4"/>
        <v>0</v>
      </c>
      <c r="Q15" s="795"/>
      <c r="R15" s="797"/>
      <c r="S15" s="132">
        <f t="shared" si="5"/>
        <v>1999.52</v>
      </c>
    </row>
    <row r="16" spans="1:19" x14ac:dyDescent="0.25">
      <c r="B16" s="428">
        <f t="shared" si="0"/>
        <v>21</v>
      </c>
      <c r="C16" s="676"/>
      <c r="D16" s="792"/>
      <c r="E16" s="793"/>
      <c r="F16" s="794">
        <f t="shared" si="1"/>
        <v>0</v>
      </c>
      <c r="G16" s="795"/>
      <c r="H16" s="796"/>
      <c r="I16" s="132">
        <f t="shared" si="2"/>
        <v>584.52</v>
      </c>
      <c r="L16" s="428">
        <f t="shared" si="3"/>
        <v>70</v>
      </c>
      <c r="M16" s="676"/>
      <c r="N16" s="792"/>
      <c r="O16" s="793"/>
      <c r="P16" s="794">
        <f t="shared" si="4"/>
        <v>0</v>
      </c>
      <c r="Q16" s="795"/>
      <c r="R16" s="796"/>
      <c r="S16" s="132">
        <f t="shared" si="5"/>
        <v>1999.52</v>
      </c>
    </row>
    <row r="17" spans="1:19" x14ac:dyDescent="0.25">
      <c r="B17" s="428">
        <f t="shared" si="0"/>
        <v>21</v>
      </c>
      <c r="C17" s="676"/>
      <c r="D17" s="792"/>
      <c r="E17" s="793"/>
      <c r="F17" s="794">
        <f t="shared" si="1"/>
        <v>0</v>
      </c>
      <c r="G17" s="795"/>
      <c r="H17" s="796"/>
      <c r="I17" s="132">
        <f t="shared" si="2"/>
        <v>584.52</v>
      </c>
      <c r="L17" s="428">
        <f t="shared" si="3"/>
        <v>70</v>
      </c>
      <c r="M17" s="676"/>
      <c r="N17" s="792"/>
      <c r="O17" s="793"/>
      <c r="P17" s="794">
        <f t="shared" si="4"/>
        <v>0</v>
      </c>
      <c r="Q17" s="795"/>
      <c r="R17" s="796"/>
      <c r="S17" s="132">
        <f t="shared" si="5"/>
        <v>1999.52</v>
      </c>
    </row>
    <row r="18" spans="1:19" x14ac:dyDescent="0.25">
      <c r="B18" s="428">
        <f t="shared" si="0"/>
        <v>21</v>
      </c>
      <c r="C18" s="676"/>
      <c r="D18" s="792"/>
      <c r="E18" s="793"/>
      <c r="F18" s="794">
        <f t="shared" si="1"/>
        <v>0</v>
      </c>
      <c r="G18" s="795"/>
      <c r="H18" s="796"/>
      <c r="I18" s="132">
        <f t="shared" si="2"/>
        <v>584.52</v>
      </c>
      <c r="L18" s="428">
        <f t="shared" si="3"/>
        <v>70</v>
      </c>
      <c r="M18" s="676"/>
      <c r="N18" s="792"/>
      <c r="O18" s="793"/>
      <c r="P18" s="794">
        <f t="shared" si="4"/>
        <v>0</v>
      </c>
      <c r="Q18" s="795"/>
      <c r="R18" s="796"/>
      <c r="S18" s="132">
        <f t="shared" si="5"/>
        <v>1999.52</v>
      </c>
    </row>
    <row r="19" spans="1:19" x14ac:dyDescent="0.25">
      <c r="B19" s="428">
        <f t="shared" si="0"/>
        <v>21</v>
      </c>
      <c r="C19" s="676"/>
      <c r="D19" s="558"/>
      <c r="E19" s="798"/>
      <c r="F19" s="533">
        <f t="shared" si="1"/>
        <v>0</v>
      </c>
      <c r="G19" s="567"/>
      <c r="H19" s="799"/>
      <c r="I19" s="132">
        <f t="shared" si="2"/>
        <v>584.52</v>
      </c>
      <c r="L19" s="428">
        <f t="shared" si="3"/>
        <v>70</v>
      </c>
      <c r="M19" s="676"/>
      <c r="N19" s="558"/>
      <c r="O19" s="798"/>
      <c r="P19" s="533">
        <f t="shared" si="4"/>
        <v>0</v>
      </c>
      <c r="Q19" s="567"/>
      <c r="R19" s="799"/>
      <c r="S19" s="132">
        <f t="shared" si="5"/>
        <v>1999.52</v>
      </c>
    </row>
    <row r="20" spans="1:19" x14ac:dyDescent="0.25">
      <c r="B20" s="428">
        <f t="shared" si="0"/>
        <v>21</v>
      </c>
      <c r="C20" s="676"/>
      <c r="D20" s="558"/>
      <c r="E20" s="798"/>
      <c r="F20" s="533">
        <f t="shared" si="1"/>
        <v>0</v>
      </c>
      <c r="G20" s="567"/>
      <c r="H20" s="799"/>
      <c r="I20" s="132">
        <f t="shared" si="2"/>
        <v>584.52</v>
      </c>
      <c r="L20" s="428">
        <f t="shared" si="3"/>
        <v>70</v>
      </c>
      <c r="M20" s="676"/>
      <c r="N20" s="558"/>
      <c r="O20" s="798"/>
      <c r="P20" s="533">
        <f t="shared" si="4"/>
        <v>0</v>
      </c>
      <c r="Q20" s="567"/>
      <c r="R20" s="799"/>
      <c r="S20" s="132">
        <f t="shared" si="5"/>
        <v>1999.52</v>
      </c>
    </row>
    <row r="21" spans="1:19" x14ac:dyDescent="0.25">
      <c r="B21" s="428">
        <f t="shared" si="0"/>
        <v>21</v>
      </c>
      <c r="C21" s="676"/>
      <c r="D21" s="558"/>
      <c r="E21" s="798"/>
      <c r="F21" s="533">
        <f t="shared" si="1"/>
        <v>0</v>
      </c>
      <c r="G21" s="567"/>
      <c r="I21" s="132">
        <f t="shared" si="2"/>
        <v>584.52</v>
      </c>
      <c r="L21" s="428">
        <f t="shared" si="3"/>
        <v>70</v>
      </c>
      <c r="M21" s="676"/>
      <c r="N21" s="558"/>
      <c r="O21" s="798"/>
      <c r="P21" s="533">
        <f t="shared" si="4"/>
        <v>0</v>
      </c>
      <c r="Q21" s="567"/>
      <c r="S21" s="132">
        <f t="shared" si="5"/>
        <v>1999.52</v>
      </c>
    </row>
    <row r="22" spans="1:19" x14ac:dyDescent="0.25">
      <c r="B22" s="428">
        <f t="shared" si="0"/>
        <v>21</v>
      </c>
      <c r="C22" s="676"/>
      <c r="D22" s="558"/>
      <c r="E22" s="798"/>
      <c r="F22" s="533">
        <f t="shared" si="1"/>
        <v>0</v>
      </c>
      <c r="G22" s="567"/>
      <c r="I22" s="132">
        <f t="shared" si="2"/>
        <v>584.52</v>
      </c>
      <c r="L22" s="428">
        <f t="shared" si="3"/>
        <v>70</v>
      </c>
      <c r="M22" s="676"/>
      <c r="N22" s="558"/>
      <c r="O22" s="798"/>
      <c r="P22" s="533">
        <f t="shared" si="4"/>
        <v>0</v>
      </c>
      <c r="Q22" s="567"/>
      <c r="S22" s="132">
        <f t="shared" si="5"/>
        <v>1999.52</v>
      </c>
    </row>
    <row r="23" spans="1:19" x14ac:dyDescent="0.25">
      <c r="B23" s="428">
        <f t="shared" si="0"/>
        <v>21</v>
      </c>
      <c r="C23" s="676"/>
      <c r="D23" s="558"/>
      <c r="E23" s="798"/>
      <c r="F23" s="533">
        <f t="shared" si="1"/>
        <v>0</v>
      </c>
      <c r="G23" s="567"/>
      <c r="I23" s="132">
        <f t="shared" si="2"/>
        <v>584.52</v>
      </c>
      <c r="L23" s="428">
        <f t="shared" si="3"/>
        <v>70</v>
      </c>
      <c r="M23" s="676"/>
      <c r="N23" s="558"/>
      <c r="O23" s="798"/>
      <c r="P23" s="533">
        <f t="shared" si="4"/>
        <v>0</v>
      </c>
      <c r="Q23" s="567"/>
      <c r="S23" s="132">
        <f t="shared" si="5"/>
        <v>1999.52</v>
      </c>
    </row>
    <row r="24" spans="1:19" x14ac:dyDescent="0.25">
      <c r="B24" s="428">
        <f t="shared" si="0"/>
        <v>21</v>
      </c>
      <c r="C24" s="676"/>
      <c r="D24" s="558"/>
      <c r="E24" s="798"/>
      <c r="F24" s="533">
        <f t="shared" si="1"/>
        <v>0</v>
      </c>
      <c r="G24" s="567"/>
      <c r="I24" s="132">
        <f t="shared" si="2"/>
        <v>584.52</v>
      </c>
      <c r="L24" s="428">
        <f t="shared" si="3"/>
        <v>70</v>
      </c>
      <c r="M24" s="676"/>
      <c r="N24" s="558"/>
      <c r="O24" s="798"/>
      <c r="P24" s="533">
        <f t="shared" si="4"/>
        <v>0</v>
      </c>
      <c r="Q24" s="567"/>
      <c r="S24" s="132">
        <f t="shared" si="5"/>
        <v>1999.52</v>
      </c>
    </row>
    <row r="25" spans="1:19" x14ac:dyDescent="0.25">
      <c r="B25" s="428">
        <f t="shared" si="0"/>
        <v>21</v>
      </c>
      <c r="C25" s="676"/>
      <c r="D25" s="558"/>
      <c r="E25" s="798"/>
      <c r="F25" s="533">
        <f t="shared" si="1"/>
        <v>0</v>
      </c>
      <c r="G25" s="567"/>
      <c r="I25" s="132">
        <f t="shared" si="2"/>
        <v>584.52</v>
      </c>
      <c r="L25" s="428">
        <f t="shared" si="3"/>
        <v>70</v>
      </c>
      <c r="M25" s="676"/>
      <c r="N25" s="558"/>
      <c r="O25" s="798"/>
      <c r="P25" s="533">
        <f t="shared" si="4"/>
        <v>0</v>
      </c>
      <c r="Q25" s="567"/>
      <c r="S25" s="132">
        <f t="shared" si="5"/>
        <v>1999.52</v>
      </c>
    </row>
    <row r="26" spans="1:19" x14ac:dyDescent="0.25">
      <c r="B26" s="428">
        <f t="shared" si="0"/>
        <v>21</v>
      </c>
      <c r="C26" s="676"/>
      <c r="D26" s="558"/>
      <c r="E26" s="798"/>
      <c r="F26" s="533">
        <f t="shared" si="1"/>
        <v>0</v>
      </c>
      <c r="G26" s="568"/>
      <c r="I26" s="132">
        <f t="shared" si="2"/>
        <v>584.52</v>
      </c>
      <c r="L26" s="428">
        <f t="shared" si="3"/>
        <v>70</v>
      </c>
      <c r="M26" s="676"/>
      <c r="N26" s="558"/>
      <c r="O26" s="798"/>
      <c r="P26" s="533">
        <f t="shared" si="4"/>
        <v>0</v>
      </c>
      <c r="Q26" s="568"/>
      <c r="S26" s="132">
        <f t="shared" si="5"/>
        <v>1999.52</v>
      </c>
    </row>
    <row r="27" spans="1:19" x14ac:dyDescent="0.25">
      <c r="B27" s="428">
        <f t="shared" si="0"/>
        <v>21</v>
      </c>
      <c r="C27" s="676"/>
      <c r="D27" s="800"/>
      <c r="E27" s="798"/>
      <c r="F27" s="533">
        <f t="shared" si="1"/>
        <v>0</v>
      </c>
      <c r="G27" s="534"/>
      <c r="H27" s="17"/>
      <c r="I27" s="132">
        <f t="shared" si="2"/>
        <v>584.52</v>
      </c>
      <c r="L27" s="428">
        <f t="shared" si="3"/>
        <v>70</v>
      </c>
      <c r="M27" s="676"/>
      <c r="N27" s="800"/>
      <c r="O27" s="798"/>
      <c r="P27" s="533">
        <f t="shared" si="4"/>
        <v>0</v>
      </c>
      <c r="Q27" s="534"/>
      <c r="R27" s="17"/>
      <c r="S27" s="132">
        <f t="shared" si="5"/>
        <v>1999.52</v>
      </c>
    </row>
    <row r="28" spans="1:19" x14ac:dyDescent="0.25">
      <c r="B28" s="428">
        <f t="shared" si="0"/>
        <v>21</v>
      </c>
      <c r="C28" s="676"/>
      <c r="D28" s="800"/>
      <c r="E28" s="118"/>
      <c r="F28" s="533">
        <f t="shared" si="1"/>
        <v>0</v>
      </c>
      <c r="G28" s="534"/>
      <c r="H28" s="17"/>
      <c r="I28" s="132">
        <f t="shared" si="2"/>
        <v>584.52</v>
      </c>
      <c r="L28" s="428">
        <f t="shared" si="3"/>
        <v>70</v>
      </c>
      <c r="M28" s="676"/>
      <c r="N28" s="800"/>
      <c r="O28" s="118"/>
      <c r="P28" s="533">
        <f t="shared" si="4"/>
        <v>0</v>
      </c>
      <c r="Q28" s="534"/>
      <c r="R28" s="17"/>
      <c r="S28" s="132">
        <f t="shared" si="5"/>
        <v>1999.52</v>
      </c>
    </row>
    <row r="29" spans="1:19" x14ac:dyDescent="0.25">
      <c r="B29" s="429"/>
      <c r="C29" s="676"/>
      <c r="D29" s="801"/>
      <c r="E29" s="118"/>
      <c r="F29" s="14"/>
      <c r="G29" s="31"/>
      <c r="H29" s="17"/>
      <c r="L29" s="429"/>
      <c r="M29" s="676"/>
      <c r="N29" s="801"/>
      <c r="O29" s="118"/>
      <c r="P29" s="14"/>
      <c r="Q29" s="31"/>
      <c r="R29" s="17"/>
    </row>
    <row r="30" spans="1:19" x14ac:dyDescent="0.25">
      <c r="B30" s="429"/>
      <c r="C30" s="676"/>
      <c r="D30" s="563"/>
      <c r="E30" s="118"/>
      <c r="F30" s="6"/>
      <c r="L30" s="429"/>
      <c r="M30" s="676"/>
      <c r="N30" s="563"/>
      <c r="O30" s="118"/>
      <c r="P30" s="6"/>
    </row>
    <row r="31" spans="1:19" ht="15.75" thickBot="1" x14ac:dyDescent="0.3">
      <c r="B31" s="509"/>
      <c r="C31" s="677"/>
      <c r="D31" s="673"/>
      <c r="E31" s="4"/>
      <c r="F31" s="76"/>
      <c r="G31" s="24"/>
      <c r="L31" s="509"/>
      <c r="M31" s="677"/>
      <c r="N31" s="673"/>
      <c r="O31" s="4"/>
      <c r="P31" s="76"/>
      <c r="Q31" s="24"/>
    </row>
    <row r="32" spans="1:19" ht="16.5" thickTop="1" thickBot="1" x14ac:dyDescent="0.3">
      <c r="A32" s="75"/>
      <c r="B32" s="75"/>
      <c r="C32" s="127" t="e">
        <f>SUM(#REF!)</f>
        <v>#REF!</v>
      </c>
      <c r="D32" s="105">
        <f>SUM(C8:C31)</f>
        <v>13</v>
      </c>
      <c r="E32" s="75"/>
      <c r="F32" s="105">
        <f>SUM(F8:F31)</f>
        <v>372.23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262" t="s">
        <v>21</v>
      </c>
      <c r="E33" s="263"/>
      <c r="F33" s="141">
        <f>E5-D32</f>
        <v>943.75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1999.52</v>
      </c>
      <c r="Q33" s="75"/>
      <c r="R33" s="75"/>
    </row>
    <row r="34" spans="1:1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264" t="s">
        <v>4</v>
      </c>
      <c r="O34" s="265"/>
      <c r="P34" s="49" t="e">
        <f>P4+P5-M32</f>
        <v>#REF!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S39"/>
  <sheetViews>
    <sheetView workbookViewId="0">
      <selection activeCell="G8" sqref="G8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  <col min="11" max="11" width="29.85546875" customWidth="1"/>
    <col min="12" max="12" width="16.28515625" bestFit="1" customWidth="1"/>
    <col min="14" max="14" width="11.28515625" customWidth="1"/>
  </cols>
  <sheetData>
    <row r="1" spans="1:19" ht="40.5" x14ac:dyDescent="0.55000000000000004">
      <c r="A1" s="1054" t="s">
        <v>294</v>
      </c>
      <c r="B1" s="1054"/>
      <c r="C1" s="1054"/>
      <c r="D1" s="1054"/>
      <c r="E1" s="1054"/>
      <c r="F1" s="1054"/>
      <c r="G1" s="1054"/>
      <c r="H1" s="11">
        <v>1</v>
      </c>
      <c r="K1" s="1058" t="s">
        <v>306</v>
      </c>
      <c r="L1" s="1058"/>
      <c r="M1" s="1058"/>
      <c r="N1" s="1058"/>
      <c r="O1" s="1058"/>
      <c r="P1" s="1058"/>
      <c r="Q1" s="1058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126" t="s">
        <v>84</v>
      </c>
      <c r="C4" s="102"/>
      <c r="D4" s="135"/>
      <c r="E4" s="86"/>
      <c r="F4" s="73"/>
      <c r="G4" s="239"/>
      <c r="L4" s="1126" t="s">
        <v>456</v>
      </c>
      <c r="M4" s="102"/>
      <c r="N4" s="135"/>
      <c r="O4" s="86"/>
      <c r="P4" s="73"/>
      <c r="Q4" s="239"/>
    </row>
    <row r="5" spans="1:19" x14ac:dyDescent="0.25">
      <c r="A5" s="75" t="s">
        <v>82</v>
      </c>
      <c r="B5" s="1127"/>
      <c r="C5" s="128">
        <v>52</v>
      </c>
      <c r="D5" s="135">
        <v>44770</v>
      </c>
      <c r="E5" s="86">
        <v>700.77</v>
      </c>
      <c r="F5" s="73">
        <v>26</v>
      </c>
      <c r="G5" s="48">
        <f>F32</f>
        <v>700.77</v>
      </c>
      <c r="H5" s="138">
        <f>E5-G5</f>
        <v>0</v>
      </c>
      <c r="K5" s="1044" t="s">
        <v>100</v>
      </c>
      <c r="L5" s="1127"/>
      <c r="M5" s="128">
        <v>53</v>
      </c>
      <c r="N5" s="135">
        <v>44824</v>
      </c>
      <c r="O5" s="86">
        <v>2000.67</v>
      </c>
      <c r="P5" s="73">
        <v>147</v>
      </c>
      <c r="Q5" s="48">
        <f>P32</f>
        <v>40.83</v>
      </c>
      <c r="R5" s="138">
        <f>O5-Q5</f>
        <v>1959.8400000000001</v>
      </c>
    </row>
    <row r="6" spans="1:19" ht="15.75" thickBot="1" x14ac:dyDescent="0.3">
      <c r="G6" s="73"/>
      <c r="K6" s="1044"/>
      <c r="Q6" s="73"/>
    </row>
    <row r="7" spans="1:1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4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92">
        <f t="shared" ref="F8:F28" si="0">D8</f>
        <v>272.77</v>
      </c>
      <c r="G8" s="95" t="s">
        <v>166</v>
      </c>
      <c r="H8" s="71">
        <v>54</v>
      </c>
      <c r="I8" s="132">
        <f>E4+E5+E6-D8</f>
        <v>428</v>
      </c>
      <c r="K8" s="55"/>
      <c r="L8" s="94"/>
      <c r="M8" s="15">
        <v>3</v>
      </c>
      <c r="N8" s="92">
        <v>40.83</v>
      </c>
      <c r="O8" s="79">
        <v>44828</v>
      </c>
      <c r="P8" s="92">
        <f t="shared" ref="P8:P28" si="1">N8</f>
        <v>40.83</v>
      </c>
      <c r="Q8" s="95" t="s">
        <v>715</v>
      </c>
      <c r="R8" s="71">
        <v>57</v>
      </c>
      <c r="S8" s="132">
        <f>O4+O5+O6-N8</f>
        <v>1959.8400000000001</v>
      </c>
    </row>
    <row r="9" spans="1:19" x14ac:dyDescent="0.25">
      <c r="A9" s="75"/>
      <c r="B9" s="2"/>
      <c r="C9" s="15">
        <v>7</v>
      </c>
      <c r="D9" s="703">
        <v>189.69</v>
      </c>
      <c r="E9" s="715">
        <v>44804</v>
      </c>
      <c r="F9" s="703">
        <f t="shared" si="0"/>
        <v>189.69</v>
      </c>
      <c r="G9" s="716" t="s">
        <v>518</v>
      </c>
      <c r="H9" s="388">
        <v>54</v>
      </c>
      <c r="I9" s="132">
        <f>I8-D9</f>
        <v>238.31</v>
      </c>
      <c r="K9" s="75"/>
      <c r="L9" s="2"/>
      <c r="M9" s="15"/>
      <c r="N9" s="92"/>
      <c r="O9" s="79"/>
      <c r="P9" s="92">
        <f t="shared" si="1"/>
        <v>0</v>
      </c>
      <c r="Q9" s="95"/>
      <c r="R9" s="71"/>
      <c r="S9" s="132">
        <f>S8-N9</f>
        <v>1959.8400000000001</v>
      </c>
    </row>
    <row r="10" spans="1:19" x14ac:dyDescent="0.25">
      <c r="A10" s="75"/>
      <c r="B10" s="2"/>
      <c r="C10" s="15">
        <v>1</v>
      </c>
      <c r="D10" s="703">
        <v>22.1</v>
      </c>
      <c r="E10" s="715">
        <v>44805</v>
      </c>
      <c r="F10" s="703">
        <f t="shared" si="0"/>
        <v>22.1</v>
      </c>
      <c r="G10" s="716" t="s">
        <v>529</v>
      </c>
      <c r="H10" s="718">
        <v>54</v>
      </c>
      <c r="I10" s="132">
        <f t="shared" ref="I10:I28" si="2">I9-D10</f>
        <v>216.21</v>
      </c>
      <c r="K10" s="75"/>
      <c r="L10" s="2"/>
      <c r="M10" s="15"/>
      <c r="N10" s="92"/>
      <c r="O10" s="79"/>
      <c r="P10" s="92">
        <f t="shared" si="1"/>
        <v>0</v>
      </c>
      <c r="Q10" s="73"/>
      <c r="R10" s="290"/>
      <c r="S10" s="132">
        <f t="shared" ref="S10:S28" si="3">S9-N10</f>
        <v>1959.8400000000001</v>
      </c>
    </row>
    <row r="11" spans="1:19" x14ac:dyDescent="0.25">
      <c r="A11" s="55"/>
      <c r="B11" s="2"/>
      <c r="C11" s="15">
        <v>8</v>
      </c>
      <c r="D11" s="703">
        <v>216.21</v>
      </c>
      <c r="E11" s="715">
        <v>44805</v>
      </c>
      <c r="F11" s="703">
        <f t="shared" si="0"/>
        <v>216.21</v>
      </c>
      <c r="G11" s="717" t="s">
        <v>530</v>
      </c>
      <c r="H11" s="388">
        <v>54</v>
      </c>
      <c r="I11" s="132">
        <f t="shared" si="2"/>
        <v>0</v>
      </c>
      <c r="K11" s="55"/>
      <c r="L11" s="2"/>
      <c r="M11" s="15"/>
      <c r="N11" s="92"/>
      <c r="O11" s="79"/>
      <c r="P11" s="92">
        <f t="shared" si="1"/>
        <v>0</v>
      </c>
      <c r="Q11" s="73"/>
      <c r="R11" s="71"/>
      <c r="S11" s="132">
        <f t="shared" si="3"/>
        <v>1959.8400000000001</v>
      </c>
    </row>
    <row r="12" spans="1:19" x14ac:dyDescent="0.25">
      <c r="A12" s="75"/>
      <c r="B12" s="2"/>
      <c r="C12" s="15"/>
      <c r="D12" s="703"/>
      <c r="E12" s="715"/>
      <c r="F12" s="890">
        <f t="shared" si="0"/>
        <v>0</v>
      </c>
      <c r="G12" s="891"/>
      <c r="H12" s="892"/>
      <c r="I12" s="615">
        <f t="shared" si="2"/>
        <v>0</v>
      </c>
      <c r="K12" s="75"/>
      <c r="L12" s="2"/>
      <c r="M12" s="15"/>
      <c r="N12" s="92"/>
      <c r="O12" s="79"/>
      <c r="P12" s="92">
        <f t="shared" si="1"/>
        <v>0</v>
      </c>
      <c r="Q12" s="73"/>
      <c r="R12" s="71"/>
      <c r="S12" s="132">
        <f t="shared" si="3"/>
        <v>1959.8400000000001</v>
      </c>
    </row>
    <row r="13" spans="1:19" x14ac:dyDescent="0.25">
      <c r="A13" s="75"/>
      <c r="B13" s="2"/>
      <c r="C13" s="15"/>
      <c r="D13" s="703"/>
      <c r="E13" s="715"/>
      <c r="F13" s="890">
        <f t="shared" si="0"/>
        <v>0</v>
      </c>
      <c r="G13" s="891"/>
      <c r="H13" s="892"/>
      <c r="I13" s="615">
        <f t="shared" si="2"/>
        <v>0</v>
      </c>
      <c r="K13" s="75"/>
      <c r="L13" s="2"/>
      <c r="M13" s="15"/>
      <c r="N13" s="92"/>
      <c r="O13" s="79"/>
      <c r="P13" s="92">
        <f t="shared" si="1"/>
        <v>0</v>
      </c>
      <c r="Q13" s="73"/>
      <c r="R13" s="71"/>
      <c r="S13" s="132">
        <f t="shared" si="3"/>
        <v>1959.8400000000001</v>
      </c>
    </row>
    <row r="14" spans="1:19" x14ac:dyDescent="0.25">
      <c r="B14" s="2"/>
      <c r="C14" s="15"/>
      <c r="D14" s="703"/>
      <c r="E14" s="715"/>
      <c r="F14" s="890">
        <f t="shared" si="0"/>
        <v>0</v>
      </c>
      <c r="G14" s="891"/>
      <c r="H14" s="892"/>
      <c r="I14" s="615">
        <f t="shared" si="2"/>
        <v>0</v>
      </c>
      <c r="L14" s="2"/>
      <c r="M14" s="15"/>
      <c r="N14" s="92"/>
      <c r="O14" s="79"/>
      <c r="P14" s="92">
        <f t="shared" si="1"/>
        <v>0</v>
      </c>
      <c r="Q14" s="73"/>
      <c r="R14" s="71"/>
      <c r="S14" s="132">
        <f t="shared" si="3"/>
        <v>1959.8400000000001</v>
      </c>
    </row>
    <row r="15" spans="1:19" x14ac:dyDescent="0.25">
      <c r="B15" s="2"/>
      <c r="C15" s="15"/>
      <c r="D15" s="703"/>
      <c r="E15" s="715"/>
      <c r="F15" s="890">
        <f t="shared" si="0"/>
        <v>0</v>
      </c>
      <c r="G15" s="891"/>
      <c r="H15" s="892"/>
      <c r="I15" s="615">
        <f t="shared" si="2"/>
        <v>0</v>
      </c>
      <c r="L15" s="2"/>
      <c r="M15" s="15"/>
      <c r="N15" s="92"/>
      <c r="O15" s="79"/>
      <c r="P15" s="92">
        <f t="shared" si="1"/>
        <v>0</v>
      </c>
      <c r="Q15" s="73"/>
      <c r="R15" s="71"/>
      <c r="S15" s="132">
        <f t="shared" si="3"/>
        <v>1959.8400000000001</v>
      </c>
    </row>
    <row r="16" spans="1:19" x14ac:dyDescent="0.25">
      <c r="B16" s="2"/>
      <c r="C16" s="15"/>
      <c r="D16" s="703"/>
      <c r="E16" s="715"/>
      <c r="F16" s="703">
        <f t="shared" si="0"/>
        <v>0</v>
      </c>
      <c r="G16" s="717"/>
      <c r="H16" s="388"/>
      <c r="I16" s="132">
        <f t="shared" si="2"/>
        <v>0</v>
      </c>
      <c r="L16" s="2"/>
      <c r="M16" s="15"/>
      <c r="N16" s="92"/>
      <c r="O16" s="79"/>
      <c r="P16" s="92">
        <f t="shared" si="1"/>
        <v>0</v>
      </c>
      <c r="Q16" s="73"/>
      <c r="R16" s="71"/>
      <c r="S16" s="132">
        <f t="shared" si="3"/>
        <v>1959.8400000000001</v>
      </c>
    </row>
    <row r="17" spans="1:19" x14ac:dyDescent="0.25">
      <c r="B17" s="2"/>
      <c r="C17" s="15"/>
      <c r="D17" s="694"/>
      <c r="E17" s="715"/>
      <c r="F17" s="703">
        <f t="shared" si="0"/>
        <v>0</v>
      </c>
      <c r="G17" s="717"/>
      <c r="H17" s="388"/>
      <c r="I17" s="132">
        <f t="shared" si="2"/>
        <v>0</v>
      </c>
      <c r="L17" s="2"/>
      <c r="M17" s="15"/>
      <c r="N17" s="69"/>
      <c r="O17" s="79"/>
      <c r="P17" s="92">
        <f t="shared" si="1"/>
        <v>0</v>
      </c>
      <c r="Q17" s="73"/>
      <c r="R17" s="71"/>
      <c r="S17" s="132">
        <f t="shared" si="3"/>
        <v>1959.8400000000001</v>
      </c>
    </row>
    <row r="18" spans="1:19" x14ac:dyDescent="0.25">
      <c r="B18" s="2"/>
      <c r="C18" s="15"/>
      <c r="D18" s="703"/>
      <c r="E18" s="715"/>
      <c r="F18" s="703">
        <f t="shared" si="0"/>
        <v>0</v>
      </c>
      <c r="G18" s="717"/>
      <c r="H18" s="388"/>
      <c r="I18" s="132">
        <f t="shared" si="2"/>
        <v>0</v>
      </c>
      <c r="L18" s="2"/>
      <c r="M18" s="15"/>
      <c r="N18" s="92"/>
      <c r="O18" s="79"/>
      <c r="P18" s="92">
        <f t="shared" si="1"/>
        <v>0</v>
      </c>
      <c r="Q18" s="73"/>
      <c r="R18" s="71"/>
      <c r="S18" s="132">
        <f t="shared" si="3"/>
        <v>1959.8400000000001</v>
      </c>
    </row>
    <row r="19" spans="1:19" x14ac:dyDescent="0.25">
      <c r="B19" s="2"/>
      <c r="C19" s="15"/>
      <c r="D19" s="703"/>
      <c r="E19" s="715"/>
      <c r="F19" s="703">
        <f t="shared" si="0"/>
        <v>0</v>
      </c>
      <c r="G19" s="717"/>
      <c r="H19" s="388"/>
      <c r="I19" s="132">
        <f t="shared" si="2"/>
        <v>0</v>
      </c>
      <c r="L19" s="2"/>
      <c r="M19" s="15"/>
      <c r="N19" s="92"/>
      <c r="O19" s="79"/>
      <c r="P19" s="92">
        <f t="shared" si="1"/>
        <v>0</v>
      </c>
      <c r="Q19" s="73"/>
      <c r="R19" s="71"/>
      <c r="S19" s="132">
        <f t="shared" si="3"/>
        <v>1959.8400000000001</v>
      </c>
    </row>
    <row r="20" spans="1:19" x14ac:dyDescent="0.25">
      <c r="B20" s="2"/>
      <c r="C20" s="15"/>
      <c r="D20" s="703"/>
      <c r="E20" s="715"/>
      <c r="F20" s="703">
        <f t="shared" si="0"/>
        <v>0</v>
      </c>
      <c r="G20" s="717"/>
      <c r="H20" s="388"/>
      <c r="I20" s="132">
        <f t="shared" si="2"/>
        <v>0</v>
      </c>
      <c r="L20" s="2"/>
      <c r="M20" s="15"/>
      <c r="N20" s="92"/>
      <c r="O20" s="79"/>
      <c r="P20" s="92">
        <f t="shared" si="1"/>
        <v>0</v>
      </c>
      <c r="Q20" s="73"/>
      <c r="R20" s="71"/>
      <c r="S20" s="132">
        <f t="shared" si="3"/>
        <v>1959.8400000000001</v>
      </c>
    </row>
    <row r="21" spans="1:19" x14ac:dyDescent="0.25">
      <c r="B21" s="2"/>
      <c r="C21" s="15"/>
      <c r="D21" s="703"/>
      <c r="E21" s="715"/>
      <c r="F21" s="703">
        <f t="shared" si="0"/>
        <v>0</v>
      </c>
      <c r="G21" s="717"/>
      <c r="H21" s="388"/>
      <c r="I21" s="132">
        <f t="shared" si="2"/>
        <v>0</v>
      </c>
      <c r="L21" s="2"/>
      <c r="M21" s="15"/>
      <c r="N21" s="92"/>
      <c r="O21" s="79"/>
      <c r="P21" s="92">
        <f t="shared" si="1"/>
        <v>0</v>
      </c>
      <c r="Q21" s="73"/>
      <c r="R21" s="71"/>
      <c r="S21" s="132">
        <f t="shared" si="3"/>
        <v>1959.8400000000001</v>
      </c>
    </row>
    <row r="22" spans="1:19" x14ac:dyDescent="0.25">
      <c r="B22" s="2"/>
      <c r="C22" s="15"/>
      <c r="D22" s="703"/>
      <c r="E22" s="715"/>
      <c r="F22" s="703">
        <f t="shared" si="0"/>
        <v>0</v>
      </c>
      <c r="G22" s="717"/>
      <c r="H22" s="388"/>
      <c r="I22" s="132">
        <f t="shared" si="2"/>
        <v>0</v>
      </c>
      <c r="L22" s="2"/>
      <c r="M22" s="15"/>
      <c r="N22" s="92"/>
      <c r="O22" s="79"/>
      <c r="P22" s="92">
        <f t="shared" si="1"/>
        <v>0</v>
      </c>
      <c r="Q22" s="73"/>
      <c r="R22" s="71"/>
      <c r="S22" s="132">
        <f t="shared" si="3"/>
        <v>1959.8400000000001</v>
      </c>
    </row>
    <row r="23" spans="1:19" x14ac:dyDescent="0.25">
      <c r="B23" s="2"/>
      <c r="C23" s="15"/>
      <c r="D23" s="703"/>
      <c r="E23" s="715"/>
      <c r="F23" s="703">
        <f t="shared" si="0"/>
        <v>0</v>
      </c>
      <c r="G23" s="717"/>
      <c r="H23" s="388"/>
      <c r="I23" s="132">
        <f t="shared" si="2"/>
        <v>0</v>
      </c>
      <c r="L23" s="2"/>
      <c r="M23" s="15"/>
      <c r="N23" s="92"/>
      <c r="O23" s="79"/>
      <c r="P23" s="92">
        <f t="shared" si="1"/>
        <v>0</v>
      </c>
      <c r="Q23" s="73"/>
      <c r="R23" s="71"/>
      <c r="S23" s="132">
        <f t="shared" si="3"/>
        <v>1959.8400000000001</v>
      </c>
    </row>
    <row r="24" spans="1:19" x14ac:dyDescent="0.25">
      <c r="B24" s="2"/>
      <c r="C24" s="15"/>
      <c r="D24" s="703"/>
      <c r="E24" s="715"/>
      <c r="F24" s="703">
        <f t="shared" si="0"/>
        <v>0</v>
      </c>
      <c r="G24" s="716"/>
      <c r="H24" s="388"/>
      <c r="I24" s="132">
        <f t="shared" si="2"/>
        <v>0</v>
      </c>
      <c r="L24" s="2"/>
      <c r="M24" s="15"/>
      <c r="N24" s="92"/>
      <c r="O24" s="79"/>
      <c r="P24" s="92">
        <f t="shared" si="1"/>
        <v>0</v>
      </c>
      <c r="Q24" s="95"/>
      <c r="R24" s="71"/>
      <c r="S24" s="132">
        <f t="shared" si="3"/>
        <v>1959.8400000000001</v>
      </c>
    </row>
    <row r="25" spans="1:19" x14ac:dyDescent="0.25">
      <c r="B25" s="2"/>
      <c r="C25" s="15"/>
      <c r="D25" s="92"/>
      <c r="E25" s="79"/>
      <c r="F25" s="92">
        <f t="shared" si="0"/>
        <v>0</v>
      </c>
      <c r="G25" s="95"/>
      <c r="H25" s="71"/>
      <c r="I25" s="132">
        <f t="shared" si="2"/>
        <v>0</v>
      </c>
      <c r="L25" s="2"/>
      <c r="M25" s="15"/>
      <c r="N25" s="92"/>
      <c r="O25" s="79"/>
      <c r="P25" s="92">
        <f t="shared" si="1"/>
        <v>0</v>
      </c>
      <c r="Q25" s="95"/>
      <c r="R25" s="71"/>
      <c r="S25" s="132">
        <f t="shared" si="3"/>
        <v>1959.8400000000001</v>
      </c>
    </row>
    <row r="26" spans="1:19" x14ac:dyDescent="0.25">
      <c r="B26" s="109"/>
      <c r="C26" s="15"/>
      <c r="D26" s="92"/>
      <c r="E26" s="79"/>
      <c r="F26" s="92">
        <f t="shared" si="0"/>
        <v>0</v>
      </c>
      <c r="G26" s="95"/>
      <c r="H26" s="71"/>
      <c r="I26" s="132">
        <f t="shared" si="2"/>
        <v>0</v>
      </c>
      <c r="L26" s="109"/>
      <c r="M26" s="15"/>
      <c r="N26" s="92"/>
      <c r="O26" s="79"/>
      <c r="P26" s="92">
        <f t="shared" si="1"/>
        <v>0</v>
      </c>
      <c r="Q26" s="95"/>
      <c r="R26" s="71"/>
      <c r="S26" s="132">
        <f t="shared" si="3"/>
        <v>1959.8400000000001</v>
      </c>
    </row>
    <row r="27" spans="1:19" x14ac:dyDescent="0.25">
      <c r="B27" s="106"/>
      <c r="C27" s="15"/>
      <c r="D27" s="92"/>
      <c r="E27" s="79"/>
      <c r="F27" s="533">
        <f t="shared" si="0"/>
        <v>0</v>
      </c>
      <c r="G27" s="534"/>
      <c r="H27" s="17"/>
      <c r="I27" s="47">
        <f t="shared" si="2"/>
        <v>0</v>
      </c>
      <c r="L27" s="106"/>
      <c r="M27" s="15"/>
      <c r="N27" s="92"/>
      <c r="O27" s="79"/>
      <c r="P27" s="533">
        <f t="shared" si="1"/>
        <v>0</v>
      </c>
      <c r="Q27" s="534"/>
      <c r="R27" s="17"/>
      <c r="S27" s="132">
        <f t="shared" si="3"/>
        <v>1959.8400000000001</v>
      </c>
    </row>
    <row r="28" spans="1:19" x14ac:dyDescent="0.25">
      <c r="B28" s="2"/>
      <c r="C28" s="15"/>
      <c r="D28" s="92"/>
      <c r="E28" s="79"/>
      <c r="F28" s="92">
        <f t="shared" si="0"/>
        <v>0</v>
      </c>
      <c r="G28" s="95"/>
      <c r="H28" s="17"/>
      <c r="I28" s="47">
        <f t="shared" si="2"/>
        <v>0</v>
      </c>
      <c r="L28" s="2"/>
      <c r="M28" s="15"/>
      <c r="N28" s="92"/>
      <c r="O28" s="79"/>
      <c r="P28" s="92">
        <f t="shared" si="1"/>
        <v>0</v>
      </c>
      <c r="Q28" s="95"/>
      <c r="R28" s="17"/>
      <c r="S28" s="132">
        <f t="shared" si="3"/>
        <v>1959.8400000000001</v>
      </c>
    </row>
    <row r="29" spans="1:19" x14ac:dyDescent="0.25">
      <c r="B29" s="2"/>
      <c r="C29" s="15"/>
      <c r="D29" s="92"/>
      <c r="E29" s="79"/>
      <c r="F29" s="14"/>
      <c r="G29" s="31"/>
      <c r="H29" s="17"/>
      <c r="L29" s="2"/>
      <c r="M29" s="15"/>
      <c r="N29" s="92"/>
      <c r="O29" s="79"/>
      <c r="P29" s="14"/>
      <c r="Q29" s="31"/>
      <c r="R29" s="17"/>
    </row>
    <row r="30" spans="1:19" x14ac:dyDescent="0.25">
      <c r="B30" s="2"/>
      <c r="C30" s="15"/>
      <c r="D30" s="6"/>
      <c r="F30" s="6"/>
      <c r="L30" s="2"/>
      <c r="M30" s="15"/>
      <c r="N30" s="6"/>
      <c r="P30" s="6"/>
    </row>
    <row r="31" spans="1:19" ht="15.75" thickBot="1" x14ac:dyDescent="0.3">
      <c r="B31" s="74"/>
      <c r="C31" s="87"/>
      <c r="D31" s="76"/>
      <c r="E31" s="119"/>
      <c r="F31" s="76"/>
      <c r="G31" s="24"/>
      <c r="L31" s="74"/>
      <c r="M31" s="87"/>
      <c r="N31" s="76"/>
      <c r="O31" s="119"/>
      <c r="P31" s="76"/>
      <c r="Q31" s="24"/>
    </row>
    <row r="32" spans="1:19" ht="16.5" thickTop="1" thickBot="1" x14ac:dyDescent="0.3">
      <c r="A32" s="75"/>
      <c r="B32" s="75"/>
      <c r="C32" s="127">
        <f>SUM(C8:C31)</f>
        <v>26</v>
      </c>
      <c r="D32" s="105">
        <f>SUM(D8:D31)</f>
        <v>700.77</v>
      </c>
      <c r="E32" s="75"/>
      <c r="F32" s="105">
        <f>SUM(F8:F31)</f>
        <v>700.77</v>
      </c>
      <c r="G32" s="75"/>
      <c r="H32" s="75"/>
      <c r="K32" s="75"/>
      <c r="L32" s="75"/>
      <c r="M32" s="127">
        <f>SUM(M8:M31)</f>
        <v>3</v>
      </c>
      <c r="N32" s="105">
        <f>SUM(N8:N31)</f>
        <v>40.83</v>
      </c>
      <c r="O32" s="75"/>
      <c r="P32" s="105">
        <f>SUM(P8:P31)</f>
        <v>40.83</v>
      </c>
      <c r="Q32" s="75"/>
      <c r="R32" s="75"/>
    </row>
    <row r="33" spans="1:1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1959.8400000000001</v>
      </c>
      <c r="Q33" s="75"/>
      <c r="R33" s="75"/>
    </row>
    <row r="34" spans="1:1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  <c r="K34" s="75"/>
      <c r="L34" s="75"/>
      <c r="M34" s="75"/>
      <c r="N34" s="264" t="s">
        <v>4</v>
      </c>
      <c r="O34" s="265"/>
      <c r="P34" s="49">
        <f>P4+P5-M32</f>
        <v>144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5">
    <mergeCell ref="A1:G1"/>
    <mergeCell ref="B4:B5"/>
    <mergeCell ref="K1:Q1"/>
    <mergeCell ref="L4:L5"/>
    <mergeCell ref="K5:K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58"/>
      <c r="B1" s="1058"/>
      <c r="C1" s="1058"/>
      <c r="D1" s="1058"/>
      <c r="E1" s="1058"/>
      <c r="F1" s="1058"/>
      <c r="G1" s="105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8" t="s">
        <v>86</v>
      </c>
      <c r="C4" s="102"/>
      <c r="D4" s="135"/>
      <c r="E4" s="86"/>
      <c r="F4" s="73"/>
      <c r="G4" s="239"/>
    </row>
    <row r="5" spans="1:9" x14ac:dyDescent="0.25">
      <c r="A5" s="75"/>
      <c r="B5" s="1129"/>
      <c r="C5" s="102"/>
      <c r="D5" s="135"/>
      <c r="E5" s="86"/>
      <c r="F5" s="73"/>
      <c r="G5" s="564">
        <f>F32</f>
        <v>0</v>
      </c>
      <c r="H5" s="138">
        <f>E5-G5</f>
        <v>0</v>
      </c>
    </row>
    <row r="6" spans="1:9" ht="15.75" thickBot="1" x14ac:dyDescent="0.3">
      <c r="B6" s="556" t="s">
        <v>87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65"/>
      <c r="D9" s="105"/>
      <c r="E9" s="566"/>
      <c r="F9" s="92">
        <f t="shared" si="0"/>
        <v>0</v>
      </c>
      <c r="G9" s="567"/>
      <c r="H9" s="71"/>
      <c r="I9" s="47">
        <f>I8-D9</f>
        <v>0</v>
      </c>
    </row>
    <row r="10" spans="1:9" x14ac:dyDescent="0.25">
      <c r="A10" s="75"/>
      <c r="B10" s="2"/>
      <c r="C10" s="565"/>
      <c r="D10" s="105"/>
      <c r="E10" s="566"/>
      <c r="F10" s="92">
        <f t="shared" si="0"/>
        <v>0</v>
      </c>
      <c r="G10" s="567"/>
      <c r="H10" s="71"/>
      <c r="I10" s="47">
        <f t="shared" ref="I10:I28" si="1">I9-D10</f>
        <v>0</v>
      </c>
    </row>
    <row r="11" spans="1:9" x14ac:dyDescent="0.25">
      <c r="A11" s="55"/>
      <c r="B11" s="2"/>
      <c r="C11" s="565"/>
      <c r="D11" s="105"/>
      <c r="E11" s="566"/>
      <c r="F11" s="92">
        <f t="shared" si="0"/>
        <v>0</v>
      </c>
      <c r="G11" s="567"/>
      <c r="H11" s="71"/>
      <c r="I11" s="47">
        <f t="shared" si="1"/>
        <v>0</v>
      </c>
    </row>
    <row r="12" spans="1:9" x14ac:dyDescent="0.25">
      <c r="A12" s="75"/>
      <c r="B12" s="2"/>
      <c r="C12" s="565"/>
      <c r="D12" s="105"/>
      <c r="E12" s="566"/>
      <c r="F12" s="92">
        <f t="shared" si="0"/>
        <v>0</v>
      </c>
      <c r="G12" s="567"/>
      <c r="H12" s="71"/>
      <c r="I12" s="47">
        <f t="shared" si="1"/>
        <v>0</v>
      </c>
    </row>
    <row r="13" spans="1:9" x14ac:dyDescent="0.25">
      <c r="A13" s="75"/>
      <c r="B13" s="2"/>
      <c r="C13" s="565"/>
      <c r="D13" s="105"/>
      <c r="E13" s="566"/>
      <c r="F13" s="92">
        <f t="shared" si="0"/>
        <v>0</v>
      </c>
      <c r="G13" s="567"/>
      <c r="H13" s="71"/>
      <c r="I13" s="47">
        <f t="shared" si="1"/>
        <v>0</v>
      </c>
    </row>
    <row r="14" spans="1:9" x14ac:dyDescent="0.25">
      <c r="B14" s="2"/>
      <c r="C14" s="565"/>
      <c r="D14" s="105"/>
      <c r="E14" s="566"/>
      <c r="F14" s="92">
        <f t="shared" si="0"/>
        <v>0</v>
      </c>
      <c r="G14" s="567"/>
      <c r="H14" s="71"/>
      <c r="I14" s="47">
        <f t="shared" si="1"/>
        <v>0</v>
      </c>
    </row>
    <row r="15" spans="1:9" x14ac:dyDescent="0.25">
      <c r="B15" s="2"/>
      <c r="C15" s="565"/>
      <c r="D15" s="105"/>
      <c r="E15" s="566"/>
      <c r="F15" s="92">
        <f t="shared" si="0"/>
        <v>0</v>
      </c>
      <c r="G15" s="567"/>
      <c r="H15" s="71"/>
      <c r="I15" s="47">
        <f t="shared" si="1"/>
        <v>0</v>
      </c>
    </row>
    <row r="16" spans="1:9" x14ac:dyDescent="0.25">
      <c r="B16" s="2"/>
      <c r="C16" s="565"/>
      <c r="D16" s="105"/>
      <c r="E16" s="566"/>
      <c r="F16" s="92">
        <f t="shared" si="0"/>
        <v>0</v>
      </c>
      <c r="G16" s="567"/>
      <c r="H16" s="71"/>
      <c r="I16" s="47">
        <f t="shared" si="1"/>
        <v>0</v>
      </c>
    </row>
    <row r="17" spans="1:9" x14ac:dyDescent="0.25">
      <c r="B17" s="2"/>
      <c r="C17" s="53"/>
      <c r="D17" s="105"/>
      <c r="E17" s="566"/>
      <c r="F17" s="92">
        <f t="shared" si="0"/>
        <v>0</v>
      </c>
      <c r="G17" s="567"/>
      <c r="H17" s="71"/>
      <c r="I17" s="47">
        <f t="shared" si="1"/>
        <v>0</v>
      </c>
    </row>
    <row r="18" spans="1:9" x14ac:dyDescent="0.25">
      <c r="B18" s="2"/>
      <c r="C18" s="565"/>
      <c r="D18" s="105"/>
      <c r="E18" s="566"/>
      <c r="F18" s="92">
        <f t="shared" si="0"/>
        <v>0</v>
      </c>
      <c r="G18" s="567"/>
      <c r="H18" s="71"/>
      <c r="I18" s="47">
        <f t="shared" si="1"/>
        <v>0</v>
      </c>
    </row>
    <row r="19" spans="1:9" x14ac:dyDescent="0.25">
      <c r="B19" s="2"/>
      <c r="C19" s="565"/>
      <c r="D19" s="105"/>
      <c r="E19" s="566"/>
      <c r="F19" s="92">
        <f t="shared" si="0"/>
        <v>0</v>
      </c>
      <c r="G19" s="567"/>
      <c r="H19" s="71"/>
      <c r="I19" s="47">
        <f t="shared" si="1"/>
        <v>0</v>
      </c>
    </row>
    <row r="20" spans="1:9" x14ac:dyDescent="0.25">
      <c r="B20" s="2"/>
      <c r="C20" s="565"/>
      <c r="D20" s="105"/>
      <c r="E20" s="566"/>
      <c r="F20" s="92">
        <f t="shared" si="0"/>
        <v>0</v>
      </c>
      <c r="G20" s="567"/>
      <c r="H20" s="71"/>
      <c r="I20" s="47">
        <f t="shared" si="1"/>
        <v>0</v>
      </c>
    </row>
    <row r="21" spans="1:9" x14ac:dyDescent="0.25">
      <c r="B21" s="2"/>
      <c r="C21" s="565"/>
      <c r="D21" s="105"/>
      <c r="E21" s="566"/>
      <c r="F21" s="92">
        <f t="shared" si="0"/>
        <v>0</v>
      </c>
      <c r="G21" s="567"/>
      <c r="H21" s="71"/>
      <c r="I21" s="47">
        <f t="shared" si="1"/>
        <v>0</v>
      </c>
    </row>
    <row r="22" spans="1:9" x14ac:dyDescent="0.25">
      <c r="B22" s="2"/>
      <c r="C22" s="565"/>
      <c r="D22" s="105"/>
      <c r="E22" s="566"/>
      <c r="F22" s="92">
        <f t="shared" si="0"/>
        <v>0</v>
      </c>
      <c r="G22" s="567"/>
      <c r="H22" s="71"/>
      <c r="I22" s="47">
        <f t="shared" si="1"/>
        <v>0</v>
      </c>
    </row>
    <row r="23" spans="1:9" x14ac:dyDescent="0.25">
      <c r="B23" s="2"/>
      <c r="C23" s="565"/>
      <c r="D23" s="105"/>
      <c r="E23" s="566"/>
      <c r="F23" s="92">
        <f t="shared" si="0"/>
        <v>0</v>
      </c>
      <c r="G23" s="567"/>
      <c r="H23" s="71"/>
      <c r="I23" s="47">
        <f t="shared" si="1"/>
        <v>0</v>
      </c>
    </row>
    <row r="24" spans="1:9" x14ac:dyDescent="0.25">
      <c r="B24" s="2"/>
      <c r="C24" s="565"/>
      <c r="D24" s="105"/>
      <c r="E24" s="566"/>
      <c r="F24" s="92">
        <f t="shared" si="0"/>
        <v>0</v>
      </c>
      <c r="G24" s="567"/>
      <c r="H24" s="71"/>
      <c r="I24" s="47">
        <f t="shared" si="1"/>
        <v>0</v>
      </c>
    </row>
    <row r="25" spans="1:9" x14ac:dyDescent="0.25">
      <c r="B25" s="2"/>
      <c r="C25" s="565"/>
      <c r="D25" s="105"/>
      <c r="E25" s="566"/>
      <c r="F25" s="92">
        <f t="shared" si="0"/>
        <v>0</v>
      </c>
      <c r="G25" s="567"/>
      <c r="H25" s="71"/>
      <c r="I25" s="47">
        <f t="shared" si="1"/>
        <v>0</v>
      </c>
    </row>
    <row r="26" spans="1:9" x14ac:dyDescent="0.25">
      <c r="B26" s="109"/>
      <c r="C26" s="565"/>
      <c r="D26" s="105"/>
      <c r="E26" s="566"/>
      <c r="F26" s="92">
        <f t="shared" si="0"/>
        <v>0</v>
      </c>
      <c r="G26" s="568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58"/>
      <c r="B1" s="1058"/>
      <c r="C1" s="1058"/>
      <c r="D1" s="1058"/>
      <c r="E1" s="1058"/>
      <c r="F1" s="1058"/>
      <c r="G1" s="105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6" t="s">
        <v>106</v>
      </c>
      <c r="C4" s="102"/>
      <c r="D4" s="135"/>
      <c r="E4" s="86"/>
      <c r="F4" s="73"/>
      <c r="G4" s="239"/>
    </row>
    <row r="5" spans="1:9" x14ac:dyDescent="0.25">
      <c r="A5" s="1052"/>
      <c r="B5" s="1127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52"/>
      <c r="C6" s="40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58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58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58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58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58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58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58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58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58"/>
      <c r="E16" s="459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60"/>
      <c r="E17" s="459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58"/>
      <c r="E18" s="459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58"/>
      <c r="E19" s="459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58"/>
      <c r="E20" s="459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58"/>
      <c r="E21" s="459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58"/>
      <c r="E22" s="459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58"/>
      <c r="E23" s="459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58"/>
      <c r="E24" s="459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58"/>
      <c r="E25" s="459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58"/>
      <c r="E26" s="459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5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58"/>
      <c r="B1" s="1058"/>
      <c r="C1" s="1058"/>
      <c r="D1" s="1058"/>
      <c r="E1" s="1058"/>
      <c r="F1" s="1058"/>
      <c r="G1" s="105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30" t="s">
        <v>107</v>
      </c>
      <c r="C4" s="102"/>
      <c r="D4" s="135"/>
      <c r="E4" s="86"/>
      <c r="F4" s="73"/>
      <c r="G4" s="239"/>
    </row>
    <row r="5" spans="1:9" x14ac:dyDescent="0.25">
      <c r="A5" s="1052"/>
      <c r="B5" s="1131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52"/>
      <c r="C6" s="405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72"/>
      <c r="E9" s="671"/>
      <c r="F9" s="672">
        <f t="shared" si="0"/>
        <v>0</v>
      </c>
      <c r="G9" s="504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72"/>
      <c r="E10" s="671"/>
      <c r="F10" s="672">
        <f t="shared" si="0"/>
        <v>0</v>
      </c>
      <c r="G10" s="504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72"/>
      <c r="E11" s="671"/>
      <c r="F11" s="672">
        <f t="shared" si="0"/>
        <v>0</v>
      </c>
      <c r="G11" s="504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72"/>
      <c r="E12" s="671"/>
      <c r="F12" s="672">
        <f t="shared" si="0"/>
        <v>0</v>
      </c>
      <c r="G12" s="504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703"/>
      <c r="E13" s="697"/>
      <c r="F13" s="703">
        <f t="shared" si="0"/>
        <v>0</v>
      </c>
      <c r="G13" s="716"/>
      <c r="H13" s="388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703"/>
      <c r="E14" s="697"/>
      <c r="F14" s="703">
        <f t="shared" si="0"/>
        <v>0</v>
      </c>
      <c r="G14" s="716"/>
      <c r="H14" s="388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703"/>
      <c r="E15" s="697"/>
      <c r="F15" s="703">
        <f t="shared" si="0"/>
        <v>0</v>
      </c>
      <c r="G15" s="716"/>
      <c r="H15" s="388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703"/>
      <c r="E16" s="697"/>
      <c r="F16" s="703">
        <f t="shared" si="0"/>
        <v>0</v>
      </c>
      <c r="G16" s="716"/>
      <c r="H16" s="388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94"/>
      <c r="E17" s="697"/>
      <c r="F17" s="703">
        <f t="shared" si="0"/>
        <v>0</v>
      </c>
      <c r="G17" s="716"/>
      <c r="H17" s="388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703"/>
      <c r="E18" s="697"/>
      <c r="F18" s="703">
        <f t="shared" si="0"/>
        <v>0</v>
      </c>
      <c r="G18" s="716"/>
      <c r="H18" s="388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703"/>
      <c r="E19" s="697"/>
      <c r="F19" s="703">
        <f t="shared" si="0"/>
        <v>0</v>
      </c>
      <c r="G19" s="716"/>
      <c r="H19" s="388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703"/>
      <c r="E20" s="697"/>
      <c r="F20" s="703">
        <f t="shared" si="0"/>
        <v>0</v>
      </c>
      <c r="G20" s="716"/>
      <c r="H20" s="388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703"/>
      <c r="E21" s="697"/>
      <c r="F21" s="703">
        <f t="shared" si="0"/>
        <v>0</v>
      </c>
      <c r="G21" s="716"/>
      <c r="H21" s="388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719"/>
      <c r="E22" s="720"/>
      <c r="F22" s="703">
        <f t="shared" si="0"/>
        <v>0</v>
      </c>
      <c r="G22" s="716"/>
      <c r="H22" s="388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58"/>
      <c r="E23" s="459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58"/>
      <c r="E24" s="459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58"/>
      <c r="E25" s="459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58"/>
      <c r="E26" s="459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5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58"/>
      <c r="B1" s="1058"/>
      <c r="C1" s="1058"/>
      <c r="D1" s="1058"/>
      <c r="E1" s="1058"/>
      <c r="F1" s="1058"/>
      <c r="G1" s="105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59"/>
      <c r="C5" s="403"/>
      <c r="D5" s="134"/>
      <c r="E5" s="209"/>
      <c r="F5" s="62"/>
      <c r="G5" s="5"/>
    </row>
    <row r="6" spans="1:9" ht="20.25" x14ac:dyDescent="0.3">
      <c r="A6" s="620"/>
      <c r="B6" s="1059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8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56" t="s">
        <v>11</v>
      </c>
      <c r="D83" s="1057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J1" zoomScaleNormal="100" workbookViewId="0">
      <pane ySplit="8" topLeftCell="A9" activePane="bottomLeft" state="frozen"/>
      <selection pane="bottomLeft" activeCell="W27" sqref="W2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54" t="s">
        <v>279</v>
      </c>
      <c r="B1" s="1054"/>
      <c r="C1" s="1054"/>
      <c r="D1" s="1054"/>
      <c r="E1" s="1054"/>
      <c r="F1" s="1054"/>
      <c r="G1" s="1054"/>
      <c r="H1" s="11">
        <v>1</v>
      </c>
      <c r="K1" s="1058" t="s">
        <v>306</v>
      </c>
      <c r="L1" s="1058"/>
      <c r="M1" s="1058"/>
      <c r="N1" s="1058"/>
      <c r="O1" s="1058"/>
      <c r="P1" s="1058"/>
      <c r="Q1" s="105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1"/>
      <c r="D4" s="134"/>
      <c r="E4" s="78">
        <v>0.25</v>
      </c>
      <c r="F4" s="62">
        <v>0</v>
      </c>
      <c r="G4" s="155"/>
      <c r="H4" s="155"/>
      <c r="K4" s="12"/>
      <c r="L4" s="12"/>
      <c r="M4" s="231"/>
      <c r="N4" s="134"/>
      <c r="O4" s="78"/>
      <c r="P4" s="62"/>
      <c r="Q4" s="155"/>
      <c r="R4" s="155"/>
    </row>
    <row r="5" spans="1:19" ht="15" customHeight="1" x14ac:dyDescent="0.25">
      <c r="A5" s="227" t="s">
        <v>66</v>
      </c>
      <c r="B5" s="1060" t="s">
        <v>64</v>
      </c>
      <c r="C5" s="403">
        <v>95</v>
      </c>
      <c r="D5" s="134">
        <v>44751</v>
      </c>
      <c r="E5" s="209">
        <v>511.72</v>
      </c>
      <c r="F5" s="62">
        <v>43</v>
      </c>
      <c r="G5" s="5"/>
      <c r="K5" s="227" t="s">
        <v>66</v>
      </c>
      <c r="L5" s="1060" t="s">
        <v>64</v>
      </c>
      <c r="M5" s="403">
        <v>95</v>
      </c>
      <c r="N5" s="134">
        <v>44806</v>
      </c>
      <c r="O5" s="209">
        <v>500.75</v>
      </c>
      <c r="P5" s="62">
        <v>43</v>
      </c>
      <c r="Q5" s="5"/>
    </row>
    <row r="6" spans="1:19" x14ac:dyDescent="0.25">
      <c r="A6" s="416"/>
      <c r="B6" s="1060"/>
      <c r="C6" s="498">
        <v>95</v>
      </c>
      <c r="D6" s="134">
        <v>44768</v>
      </c>
      <c r="E6" s="69">
        <v>504.02</v>
      </c>
      <c r="F6" s="73">
        <v>42</v>
      </c>
      <c r="G6" s="47">
        <f>F48</f>
        <v>945.55</v>
      </c>
      <c r="H6" s="7">
        <f>E6-G6+E7+E5-G5</f>
        <v>70.190000000000055</v>
      </c>
      <c r="K6" s="416"/>
      <c r="L6" s="1060"/>
      <c r="M6" s="498"/>
      <c r="N6" s="134"/>
      <c r="O6" s="69"/>
      <c r="P6" s="73"/>
      <c r="Q6" s="47">
        <f>P48</f>
        <v>0</v>
      </c>
      <c r="R6" s="7">
        <f>O6-Q6+O7+O5-Q5</f>
        <v>500.75</v>
      </c>
    </row>
    <row r="7" spans="1:19" ht="15.75" thickBot="1" x14ac:dyDescent="0.3">
      <c r="B7" s="19"/>
      <c r="C7" s="231"/>
      <c r="D7" s="134"/>
      <c r="E7" s="78"/>
      <c r="F7" s="62"/>
      <c r="L7" s="19"/>
      <c r="M7" s="231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75</v>
      </c>
      <c r="C9" s="15">
        <v>10</v>
      </c>
      <c r="D9" s="69">
        <v>117.88</v>
      </c>
      <c r="E9" s="203">
        <v>44764</v>
      </c>
      <c r="F9" s="69">
        <f t="shared" ref="F9:F10" si="0">D9</f>
        <v>117.88</v>
      </c>
      <c r="G9" s="70" t="s">
        <v>164</v>
      </c>
      <c r="H9" s="71">
        <v>98</v>
      </c>
      <c r="I9" s="105">
        <f>E6-F9+E5+E7+E4</f>
        <v>898.11</v>
      </c>
      <c r="K9" s="80" t="s">
        <v>32</v>
      </c>
      <c r="L9" s="83">
        <f>P6-M9+P5+P7+P4</f>
        <v>43</v>
      </c>
      <c r="M9" s="15"/>
      <c r="N9" s="69"/>
      <c r="O9" s="203"/>
      <c r="P9" s="69">
        <f t="shared" ref="P9:P10" si="1">N9</f>
        <v>0</v>
      </c>
      <c r="Q9" s="70"/>
      <c r="R9" s="71"/>
      <c r="S9" s="105">
        <f>O6-P9+O5+O7+O4</f>
        <v>500.75</v>
      </c>
    </row>
    <row r="10" spans="1:19" x14ac:dyDescent="0.25">
      <c r="A10" s="195"/>
      <c r="B10" s="83">
        <f>B9-C10</f>
        <v>74</v>
      </c>
      <c r="C10" s="15">
        <v>1</v>
      </c>
      <c r="D10" s="69">
        <v>11.85</v>
      </c>
      <c r="E10" s="203">
        <v>44769</v>
      </c>
      <c r="F10" s="69">
        <f t="shared" si="0"/>
        <v>11.85</v>
      </c>
      <c r="G10" s="70" t="s">
        <v>169</v>
      </c>
      <c r="H10" s="71">
        <v>98</v>
      </c>
      <c r="I10" s="105">
        <f>I9-F10</f>
        <v>886.26</v>
      </c>
      <c r="K10" s="195"/>
      <c r="L10" s="83">
        <f>L9-M10</f>
        <v>43</v>
      </c>
      <c r="M10" s="15"/>
      <c r="N10" s="69"/>
      <c r="O10" s="203"/>
      <c r="P10" s="69">
        <f t="shared" si="1"/>
        <v>0</v>
      </c>
      <c r="Q10" s="70"/>
      <c r="R10" s="71"/>
      <c r="S10" s="105">
        <f>S9-P10</f>
        <v>500.75</v>
      </c>
    </row>
    <row r="11" spans="1:19" x14ac:dyDescent="0.25">
      <c r="A11" s="183"/>
      <c r="B11" s="83">
        <f t="shared" ref="B11:B45" si="2">B10-C11</f>
        <v>73</v>
      </c>
      <c r="C11" s="15">
        <v>1</v>
      </c>
      <c r="D11" s="59">
        <v>11.77</v>
      </c>
      <c r="E11" s="210">
        <v>44783</v>
      </c>
      <c r="F11" s="59">
        <f>D11</f>
        <v>11.77</v>
      </c>
      <c r="G11" s="602" t="s">
        <v>211</v>
      </c>
      <c r="H11" s="60">
        <v>98</v>
      </c>
      <c r="I11" s="105">
        <f t="shared" ref="I11:I45" si="3">I10-F11</f>
        <v>874.49</v>
      </c>
      <c r="K11" s="183"/>
      <c r="L11" s="83">
        <f t="shared" ref="L11:L45" si="4">L10-M11</f>
        <v>43</v>
      </c>
      <c r="M11" s="15"/>
      <c r="N11" s="69"/>
      <c r="O11" s="203"/>
      <c r="P11" s="69">
        <f>N11</f>
        <v>0</v>
      </c>
      <c r="Q11" s="70"/>
      <c r="R11" s="71"/>
      <c r="S11" s="105">
        <f t="shared" ref="S11:S45" si="5">S10-P11</f>
        <v>500.75</v>
      </c>
    </row>
    <row r="12" spans="1:19" x14ac:dyDescent="0.25">
      <c r="A12" s="183"/>
      <c r="B12" s="83">
        <f t="shared" si="2"/>
        <v>63</v>
      </c>
      <c r="C12" s="15">
        <v>10</v>
      </c>
      <c r="D12" s="59">
        <v>118.68</v>
      </c>
      <c r="E12" s="210">
        <v>44786</v>
      </c>
      <c r="F12" s="59">
        <f>D12</f>
        <v>118.68</v>
      </c>
      <c r="G12" s="602" t="s">
        <v>224</v>
      </c>
      <c r="H12" s="60">
        <v>98</v>
      </c>
      <c r="I12" s="105">
        <f t="shared" si="3"/>
        <v>755.81</v>
      </c>
      <c r="K12" s="183"/>
      <c r="L12" s="83">
        <f t="shared" si="4"/>
        <v>43</v>
      </c>
      <c r="M12" s="15"/>
      <c r="N12" s="69"/>
      <c r="O12" s="203"/>
      <c r="P12" s="69">
        <f>N12</f>
        <v>0</v>
      </c>
      <c r="Q12" s="70"/>
      <c r="R12" s="71"/>
      <c r="S12" s="105">
        <f t="shared" si="5"/>
        <v>500.75</v>
      </c>
    </row>
    <row r="13" spans="1:19" x14ac:dyDescent="0.25">
      <c r="A13" s="82" t="s">
        <v>33</v>
      </c>
      <c r="B13" s="83">
        <f t="shared" si="2"/>
        <v>58</v>
      </c>
      <c r="C13" s="15">
        <v>5</v>
      </c>
      <c r="D13" s="59">
        <v>59.67</v>
      </c>
      <c r="E13" s="210">
        <v>44791</v>
      </c>
      <c r="F13" s="59">
        <f t="shared" ref="F13:F45" si="6">D13</f>
        <v>59.67</v>
      </c>
      <c r="G13" s="602" t="s">
        <v>235</v>
      </c>
      <c r="H13" s="60">
        <v>98</v>
      </c>
      <c r="I13" s="105">
        <f t="shared" si="3"/>
        <v>696.14</v>
      </c>
      <c r="K13" s="82" t="s">
        <v>33</v>
      </c>
      <c r="L13" s="83">
        <f t="shared" si="4"/>
        <v>43</v>
      </c>
      <c r="M13" s="15"/>
      <c r="N13" s="69"/>
      <c r="O13" s="203"/>
      <c r="P13" s="69">
        <f t="shared" ref="P13:P45" si="7">N13</f>
        <v>0</v>
      </c>
      <c r="Q13" s="70"/>
      <c r="R13" s="71"/>
      <c r="S13" s="105">
        <f t="shared" si="5"/>
        <v>500.75</v>
      </c>
    </row>
    <row r="14" spans="1:19" x14ac:dyDescent="0.25">
      <c r="A14" s="73"/>
      <c r="B14" s="83">
        <f t="shared" si="2"/>
        <v>57</v>
      </c>
      <c r="C14" s="15">
        <v>1</v>
      </c>
      <c r="D14" s="59">
        <v>11.89</v>
      </c>
      <c r="E14" s="210">
        <v>44795</v>
      </c>
      <c r="F14" s="59">
        <f t="shared" si="6"/>
        <v>11.89</v>
      </c>
      <c r="G14" s="602" t="s">
        <v>252</v>
      </c>
      <c r="H14" s="60">
        <v>98</v>
      </c>
      <c r="I14" s="105">
        <f t="shared" si="3"/>
        <v>684.25</v>
      </c>
      <c r="K14" s="73"/>
      <c r="L14" s="83">
        <f t="shared" si="4"/>
        <v>43</v>
      </c>
      <c r="M14" s="15"/>
      <c r="N14" s="69"/>
      <c r="O14" s="203"/>
      <c r="P14" s="69">
        <f t="shared" si="7"/>
        <v>0</v>
      </c>
      <c r="Q14" s="70"/>
      <c r="R14" s="71"/>
      <c r="S14" s="105">
        <f t="shared" si="5"/>
        <v>500.75</v>
      </c>
    </row>
    <row r="15" spans="1:19" x14ac:dyDescent="0.25">
      <c r="A15" s="73"/>
      <c r="B15" s="83">
        <f t="shared" si="2"/>
        <v>47</v>
      </c>
      <c r="C15" s="15">
        <v>10</v>
      </c>
      <c r="D15" s="59">
        <v>120.29</v>
      </c>
      <c r="E15" s="210">
        <v>44795</v>
      </c>
      <c r="F15" s="59">
        <f t="shared" si="6"/>
        <v>120.29</v>
      </c>
      <c r="G15" s="602" t="s">
        <v>246</v>
      </c>
      <c r="H15" s="60">
        <v>98</v>
      </c>
      <c r="I15" s="105">
        <f t="shared" si="3"/>
        <v>563.96</v>
      </c>
      <c r="K15" s="73"/>
      <c r="L15" s="83">
        <f t="shared" si="4"/>
        <v>43</v>
      </c>
      <c r="M15" s="15"/>
      <c r="N15" s="69"/>
      <c r="O15" s="203"/>
      <c r="P15" s="69">
        <f t="shared" si="7"/>
        <v>0</v>
      </c>
      <c r="Q15" s="70"/>
      <c r="R15" s="71"/>
      <c r="S15" s="105">
        <f t="shared" si="5"/>
        <v>500.75</v>
      </c>
    </row>
    <row r="16" spans="1:19" x14ac:dyDescent="0.25">
      <c r="B16" s="83">
        <f t="shared" si="2"/>
        <v>37</v>
      </c>
      <c r="C16" s="15">
        <v>10</v>
      </c>
      <c r="D16" s="694">
        <v>119.52</v>
      </c>
      <c r="E16" s="695">
        <v>44807</v>
      </c>
      <c r="F16" s="694">
        <f t="shared" si="6"/>
        <v>119.52</v>
      </c>
      <c r="G16" s="696" t="s">
        <v>555</v>
      </c>
      <c r="H16" s="388">
        <v>98</v>
      </c>
      <c r="I16" s="105">
        <f t="shared" si="3"/>
        <v>444.44000000000005</v>
      </c>
      <c r="L16" s="83">
        <f t="shared" si="4"/>
        <v>43</v>
      </c>
      <c r="M16" s="15"/>
      <c r="N16" s="69"/>
      <c r="O16" s="203"/>
      <c r="P16" s="69">
        <f t="shared" si="7"/>
        <v>0</v>
      </c>
      <c r="Q16" s="70"/>
      <c r="R16" s="71"/>
      <c r="S16" s="105">
        <f t="shared" si="5"/>
        <v>500.75</v>
      </c>
    </row>
    <row r="17" spans="1:19" x14ac:dyDescent="0.25">
      <c r="B17" s="83">
        <f t="shared" si="2"/>
        <v>32</v>
      </c>
      <c r="C17" s="15">
        <v>5</v>
      </c>
      <c r="D17" s="694">
        <v>60.06</v>
      </c>
      <c r="E17" s="695">
        <v>44807</v>
      </c>
      <c r="F17" s="694">
        <f t="shared" si="6"/>
        <v>60.06</v>
      </c>
      <c r="G17" s="696" t="s">
        <v>556</v>
      </c>
      <c r="H17" s="388">
        <v>98</v>
      </c>
      <c r="I17" s="105">
        <f t="shared" si="3"/>
        <v>384.38000000000005</v>
      </c>
      <c r="L17" s="83">
        <f t="shared" si="4"/>
        <v>43</v>
      </c>
      <c r="M17" s="15"/>
      <c r="N17" s="69"/>
      <c r="O17" s="203"/>
      <c r="P17" s="69">
        <f t="shared" si="7"/>
        <v>0</v>
      </c>
      <c r="Q17" s="70"/>
      <c r="R17" s="71"/>
      <c r="S17" s="105">
        <f t="shared" si="5"/>
        <v>500.75</v>
      </c>
    </row>
    <row r="18" spans="1:19" x14ac:dyDescent="0.25">
      <c r="A18" s="122"/>
      <c r="B18" s="83">
        <f t="shared" si="2"/>
        <v>24</v>
      </c>
      <c r="C18" s="15">
        <v>8</v>
      </c>
      <c r="D18" s="694">
        <v>97.67</v>
      </c>
      <c r="E18" s="695">
        <v>44817</v>
      </c>
      <c r="F18" s="694">
        <f t="shared" si="6"/>
        <v>97.67</v>
      </c>
      <c r="G18" s="696" t="s">
        <v>623</v>
      </c>
      <c r="H18" s="388">
        <v>98</v>
      </c>
      <c r="I18" s="105">
        <f t="shared" si="3"/>
        <v>286.71000000000004</v>
      </c>
      <c r="K18" s="122"/>
      <c r="L18" s="83">
        <f t="shared" si="4"/>
        <v>43</v>
      </c>
      <c r="M18" s="15"/>
      <c r="N18" s="69"/>
      <c r="O18" s="203"/>
      <c r="P18" s="69">
        <f t="shared" si="7"/>
        <v>0</v>
      </c>
      <c r="Q18" s="70"/>
      <c r="R18" s="71"/>
      <c r="S18" s="105">
        <f t="shared" si="5"/>
        <v>500.75</v>
      </c>
    </row>
    <row r="19" spans="1:19" x14ac:dyDescent="0.25">
      <c r="A19" s="122"/>
      <c r="B19" s="83">
        <f t="shared" si="2"/>
        <v>23</v>
      </c>
      <c r="C19" s="15">
        <v>1</v>
      </c>
      <c r="D19" s="694">
        <v>12.3</v>
      </c>
      <c r="E19" s="695">
        <v>44817</v>
      </c>
      <c r="F19" s="694">
        <f t="shared" si="6"/>
        <v>12.3</v>
      </c>
      <c r="G19" s="696" t="s">
        <v>627</v>
      </c>
      <c r="H19" s="388">
        <v>98</v>
      </c>
      <c r="I19" s="105">
        <f t="shared" si="3"/>
        <v>274.41000000000003</v>
      </c>
      <c r="K19" s="122"/>
      <c r="L19" s="83">
        <f t="shared" si="4"/>
        <v>43</v>
      </c>
      <c r="M19" s="15"/>
      <c r="N19" s="69"/>
      <c r="O19" s="203"/>
      <c r="P19" s="69">
        <f t="shared" si="7"/>
        <v>0</v>
      </c>
      <c r="Q19" s="70"/>
      <c r="R19" s="71"/>
      <c r="S19" s="105">
        <f t="shared" si="5"/>
        <v>500.75</v>
      </c>
    </row>
    <row r="20" spans="1:19" x14ac:dyDescent="0.25">
      <c r="A20" s="122"/>
      <c r="B20" s="83">
        <f t="shared" si="2"/>
        <v>22</v>
      </c>
      <c r="C20" s="15">
        <v>1</v>
      </c>
      <c r="D20" s="694">
        <v>11.81</v>
      </c>
      <c r="E20" s="695">
        <v>44820</v>
      </c>
      <c r="F20" s="694">
        <f t="shared" si="6"/>
        <v>11.81</v>
      </c>
      <c r="G20" s="696" t="s">
        <v>652</v>
      </c>
      <c r="H20" s="388">
        <v>98</v>
      </c>
      <c r="I20" s="105">
        <f t="shared" si="3"/>
        <v>262.60000000000002</v>
      </c>
      <c r="K20" s="122"/>
      <c r="L20" s="83">
        <f t="shared" si="4"/>
        <v>43</v>
      </c>
      <c r="M20" s="15"/>
      <c r="N20" s="69"/>
      <c r="O20" s="203"/>
      <c r="P20" s="69">
        <f t="shared" si="7"/>
        <v>0</v>
      </c>
      <c r="Q20" s="70"/>
      <c r="R20" s="71"/>
      <c r="S20" s="105">
        <f t="shared" si="5"/>
        <v>500.75</v>
      </c>
    </row>
    <row r="21" spans="1:19" x14ac:dyDescent="0.25">
      <c r="A21" s="122"/>
      <c r="B21" s="83">
        <f t="shared" si="2"/>
        <v>17</v>
      </c>
      <c r="C21" s="15">
        <v>5</v>
      </c>
      <c r="D21" s="694">
        <v>60.29</v>
      </c>
      <c r="E21" s="695">
        <v>44821</v>
      </c>
      <c r="F21" s="694">
        <f t="shared" si="6"/>
        <v>60.29</v>
      </c>
      <c r="G21" s="696" t="s">
        <v>666</v>
      </c>
      <c r="H21" s="388">
        <v>98</v>
      </c>
      <c r="I21" s="105">
        <f t="shared" si="3"/>
        <v>202.31000000000003</v>
      </c>
      <c r="K21" s="122"/>
      <c r="L21" s="83">
        <f t="shared" si="4"/>
        <v>43</v>
      </c>
      <c r="M21" s="15"/>
      <c r="N21" s="69"/>
      <c r="O21" s="203"/>
      <c r="P21" s="69">
        <f t="shared" si="7"/>
        <v>0</v>
      </c>
      <c r="Q21" s="70"/>
      <c r="R21" s="71"/>
      <c r="S21" s="105">
        <f t="shared" si="5"/>
        <v>500.75</v>
      </c>
    </row>
    <row r="22" spans="1:19" x14ac:dyDescent="0.25">
      <c r="A22" s="122"/>
      <c r="B22" s="234">
        <f t="shared" si="2"/>
        <v>7</v>
      </c>
      <c r="C22" s="15">
        <v>10</v>
      </c>
      <c r="D22" s="694">
        <v>119.71</v>
      </c>
      <c r="E22" s="695">
        <v>44823</v>
      </c>
      <c r="F22" s="694">
        <f t="shared" si="6"/>
        <v>119.71</v>
      </c>
      <c r="G22" s="696" t="s">
        <v>677</v>
      </c>
      <c r="H22" s="388">
        <v>98</v>
      </c>
      <c r="I22" s="105">
        <f t="shared" si="3"/>
        <v>82.600000000000037</v>
      </c>
      <c r="K22" s="122"/>
      <c r="L22" s="234">
        <f t="shared" si="4"/>
        <v>43</v>
      </c>
      <c r="M22" s="15"/>
      <c r="N22" s="69"/>
      <c r="O22" s="203"/>
      <c r="P22" s="69">
        <f t="shared" si="7"/>
        <v>0</v>
      </c>
      <c r="Q22" s="70"/>
      <c r="R22" s="71"/>
      <c r="S22" s="105">
        <f t="shared" si="5"/>
        <v>500.75</v>
      </c>
    </row>
    <row r="23" spans="1:19" x14ac:dyDescent="0.25">
      <c r="A23" s="123"/>
      <c r="B23" s="234">
        <f t="shared" si="2"/>
        <v>6</v>
      </c>
      <c r="C23" s="15">
        <v>1</v>
      </c>
      <c r="D23" s="694">
        <v>12.16</v>
      </c>
      <c r="E23" s="695">
        <v>44827</v>
      </c>
      <c r="F23" s="694">
        <f t="shared" si="6"/>
        <v>12.16</v>
      </c>
      <c r="G23" s="696" t="s">
        <v>706</v>
      </c>
      <c r="H23" s="388">
        <v>98</v>
      </c>
      <c r="I23" s="105">
        <f t="shared" si="3"/>
        <v>70.44000000000004</v>
      </c>
      <c r="K23" s="123"/>
      <c r="L23" s="234">
        <f t="shared" si="4"/>
        <v>43</v>
      </c>
      <c r="M23" s="15"/>
      <c r="N23" s="69"/>
      <c r="O23" s="203"/>
      <c r="P23" s="69">
        <f t="shared" si="7"/>
        <v>0</v>
      </c>
      <c r="Q23" s="70"/>
      <c r="R23" s="71"/>
      <c r="S23" s="105">
        <f t="shared" si="5"/>
        <v>500.75</v>
      </c>
    </row>
    <row r="24" spans="1:19" x14ac:dyDescent="0.25">
      <c r="A24" s="122"/>
      <c r="B24" s="234">
        <f t="shared" si="2"/>
        <v>6</v>
      </c>
      <c r="C24" s="15"/>
      <c r="D24" s="694"/>
      <c r="E24" s="695"/>
      <c r="F24" s="694">
        <f t="shared" si="6"/>
        <v>0</v>
      </c>
      <c r="G24" s="696"/>
      <c r="H24" s="388"/>
      <c r="I24" s="105">
        <f t="shared" si="3"/>
        <v>70.44000000000004</v>
      </c>
      <c r="K24" s="122"/>
      <c r="L24" s="234">
        <f t="shared" si="4"/>
        <v>43</v>
      </c>
      <c r="M24" s="15"/>
      <c r="N24" s="69"/>
      <c r="O24" s="203"/>
      <c r="P24" s="69">
        <f t="shared" si="7"/>
        <v>0</v>
      </c>
      <c r="Q24" s="70"/>
      <c r="R24" s="71"/>
      <c r="S24" s="105">
        <f t="shared" si="5"/>
        <v>500.75</v>
      </c>
    </row>
    <row r="25" spans="1:19" x14ac:dyDescent="0.25">
      <c r="A25" s="122"/>
      <c r="B25" s="234">
        <f t="shared" si="2"/>
        <v>6</v>
      </c>
      <c r="C25" s="15"/>
      <c r="D25" s="694"/>
      <c r="E25" s="695"/>
      <c r="F25" s="694">
        <f t="shared" si="6"/>
        <v>0</v>
      </c>
      <c r="G25" s="696"/>
      <c r="H25" s="388"/>
      <c r="I25" s="105">
        <f t="shared" si="3"/>
        <v>70.44000000000004</v>
      </c>
      <c r="K25" s="122"/>
      <c r="L25" s="234">
        <f t="shared" si="4"/>
        <v>43</v>
      </c>
      <c r="M25" s="15"/>
      <c r="N25" s="69"/>
      <c r="O25" s="203"/>
      <c r="P25" s="69">
        <f t="shared" si="7"/>
        <v>0</v>
      </c>
      <c r="Q25" s="70"/>
      <c r="R25" s="71"/>
      <c r="S25" s="105">
        <f t="shared" si="5"/>
        <v>500.75</v>
      </c>
    </row>
    <row r="26" spans="1:19" x14ac:dyDescent="0.25">
      <c r="A26" s="122"/>
      <c r="B26" s="183">
        <f t="shared" si="2"/>
        <v>6</v>
      </c>
      <c r="C26" s="15"/>
      <c r="D26" s="694"/>
      <c r="E26" s="695"/>
      <c r="F26" s="694">
        <f t="shared" si="6"/>
        <v>0</v>
      </c>
      <c r="G26" s="696"/>
      <c r="H26" s="388"/>
      <c r="I26" s="105">
        <f t="shared" si="3"/>
        <v>70.44000000000004</v>
      </c>
      <c r="K26" s="122"/>
      <c r="L26" s="183">
        <f t="shared" si="4"/>
        <v>43</v>
      </c>
      <c r="M26" s="15"/>
      <c r="N26" s="69"/>
      <c r="O26" s="203"/>
      <c r="P26" s="69">
        <f t="shared" si="7"/>
        <v>0</v>
      </c>
      <c r="Q26" s="70"/>
      <c r="R26" s="71"/>
      <c r="S26" s="105">
        <f t="shared" si="5"/>
        <v>500.75</v>
      </c>
    </row>
    <row r="27" spans="1:19" x14ac:dyDescent="0.25">
      <c r="A27" s="122"/>
      <c r="B27" s="234">
        <f t="shared" si="2"/>
        <v>6</v>
      </c>
      <c r="C27" s="15"/>
      <c r="D27" s="694"/>
      <c r="E27" s="695"/>
      <c r="F27" s="694">
        <f t="shared" si="6"/>
        <v>0</v>
      </c>
      <c r="G27" s="696"/>
      <c r="H27" s="388"/>
      <c r="I27" s="105">
        <f t="shared" si="3"/>
        <v>70.44000000000004</v>
      </c>
      <c r="K27" s="122"/>
      <c r="L27" s="234">
        <f t="shared" si="4"/>
        <v>43</v>
      </c>
      <c r="M27" s="15"/>
      <c r="N27" s="69"/>
      <c r="O27" s="203"/>
      <c r="P27" s="69">
        <f t="shared" si="7"/>
        <v>0</v>
      </c>
      <c r="Q27" s="70"/>
      <c r="R27" s="71"/>
      <c r="S27" s="105">
        <f t="shared" si="5"/>
        <v>500.75</v>
      </c>
    </row>
    <row r="28" spans="1:19" x14ac:dyDescent="0.25">
      <c r="A28" s="122"/>
      <c r="B28" s="183">
        <f t="shared" si="2"/>
        <v>6</v>
      </c>
      <c r="C28" s="15"/>
      <c r="D28" s="694"/>
      <c r="E28" s="695"/>
      <c r="F28" s="694">
        <f t="shared" si="6"/>
        <v>0</v>
      </c>
      <c r="G28" s="696"/>
      <c r="H28" s="388"/>
      <c r="I28" s="105">
        <f t="shared" si="3"/>
        <v>70.44000000000004</v>
      </c>
      <c r="K28" s="122"/>
      <c r="L28" s="183">
        <f t="shared" si="4"/>
        <v>43</v>
      </c>
      <c r="M28" s="15"/>
      <c r="N28" s="69"/>
      <c r="O28" s="203"/>
      <c r="P28" s="69">
        <f t="shared" si="7"/>
        <v>0</v>
      </c>
      <c r="Q28" s="70"/>
      <c r="R28" s="71"/>
      <c r="S28" s="105">
        <f t="shared" si="5"/>
        <v>500.75</v>
      </c>
    </row>
    <row r="29" spans="1:19" x14ac:dyDescent="0.25">
      <c r="A29" s="122"/>
      <c r="B29" s="234">
        <f t="shared" si="2"/>
        <v>6</v>
      </c>
      <c r="C29" s="15"/>
      <c r="D29" s="694"/>
      <c r="E29" s="695"/>
      <c r="F29" s="694">
        <f t="shared" si="6"/>
        <v>0</v>
      </c>
      <c r="G29" s="696"/>
      <c r="H29" s="388"/>
      <c r="I29" s="105">
        <f t="shared" si="3"/>
        <v>70.44000000000004</v>
      </c>
      <c r="K29" s="122"/>
      <c r="L29" s="234">
        <f t="shared" si="4"/>
        <v>43</v>
      </c>
      <c r="M29" s="15"/>
      <c r="N29" s="69"/>
      <c r="O29" s="203"/>
      <c r="P29" s="69">
        <f t="shared" si="7"/>
        <v>0</v>
      </c>
      <c r="Q29" s="70"/>
      <c r="R29" s="71"/>
      <c r="S29" s="105">
        <f t="shared" si="5"/>
        <v>500.75</v>
      </c>
    </row>
    <row r="30" spans="1:19" x14ac:dyDescent="0.25">
      <c r="A30" s="122"/>
      <c r="B30" s="234">
        <f t="shared" si="2"/>
        <v>6</v>
      </c>
      <c r="C30" s="15"/>
      <c r="D30" s="59"/>
      <c r="E30" s="210"/>
      <c r="F30" s="59">
        <f t="shared" si="6"/>
        <v>0</v>
      </c>
      <c r="G30" s="602"/>
      <c r="H30" s="60"/>
      <c r="I30" s="105">
        <f t="shared" si="3"/>
        <v>70.44000000000004</v>
      </c>
      <c r="K30" s="122"/>
      <c r="L30" s="234">
        <f t="shared" si="4"/>
        <v>43</v>
      </c>
      <c r="M30" s="15"/>
      <c r="N30" s="69"/>
      <c r="O30" s="203"/>
      <c r="P30" s="69">
        <f t="shared" si="7"/>
        <v>0</v>
      </c>
      <c r="Q30" s="70"/>
      <c r="R30" s="71"/>
      <c r="S30" s="105">
        <f t="shared" si="5"/>
        <v>500.75</v>
      </c>
    </row>
    <row r="31" spans="1:19" x14ac:dyDescent="0.25">
      <c r="A31" s="122"/>
      <c r="B31" s="234">
        <f t="shared" si="2"/>
        <v>6</v>
      </c>
      <c r="C31" s="15"/>
      <c r="D31" s="59"/>
      <c r="E31" s="210"/>
      <c r="F31" s="59">
        <f t="shared" si="6"/>
        <v>0</v>
      </c>
      <c r="G31" s="602"/>
      <c r="H31" s="60"/>
      <c r="I31" s="105">
        <f t="shared" si="3"/>
        <v>70.44000000000004</v>
      </c>
      <c r="K31" s="122"/>
      <c r="L31" s="234">
        <f t="shared" si="4"/>
        <v>43</v>
      </c>
      <c r="M31" s="15"/>
      <c r="N31" s="69"/>
      <c r="O31" s="203"/>
      <c r="P31" s="69">
        <f t="shared" si="7"/>
        <v>0</v>
      </c>
      <c r="Q31" s="70"/>
      <c r="R31" s="71"/>
      <c r="S31" s="105">
        <f t="shared" si="5"/>
        <v>500.75</v>
      </c>
    </row>
    <row r="32" spans="1:19" x14ac:dyDescent="0.25">
      <c r="A32" s="122"/>
      <c r="B32" s="234">
        <f t="shared" si="2"/>
        <v>6</v>
      </c>
      <c r="C32" s="15"/>
      <c r="D32" s="59"/>
      <c r="E32" s="210"/>
      <c r="F32" s="59">
        <f t="shared" si="6"/>
        <v>0</v>
      </c>
      <c r="G32" s="602"/>
      <c r="H32" s="60"/>
      <c r="I32" s="105">
        <f t="shared" si="3"/>
        <v>70.44000000000004</v>
      </c>
      <c r="K32" s="122"/>
      <c r="L32" s="234">
        <f t="shared" si="4"/>
        <v>43</v>
      </c>
      <c r="M32" s="15"/>
      <c r="N32" s="69"/>
      <c r="O32" s="203"/>
      <c r="P32" s="69">
        <f t="shared" si="7"/>
        <v>0</v>
      </c>
      <c r="Q32" s="70"/>
      <c r="R32" s="71"/>
      <c r="S32" s="105">
        <f t="shared" si="5"/>
        <v>500.75</v>
      </c>
    </row>
    <row r="33" spans="1:19" x14ac:dyDescent="0.25">
      <c r="A33" s="122"/>
      <c r="B33" s="234">
        <f t="shared" si="2"/>
        <v>6</v>
      </c>
      <c r="C33" s="15"/>
      <c r="D33" s="59"/>
      <c r="E33" s="210"/>
      <c r="F33" s="59">
        <f t="shared" si="6"/>
        <v>0</v>
      </c>
      <c r="G33" s="602"/>
      <c r="H33" s="60"/>
      <c r="I33" s="105">
        <f t="shared" si="3"/>
        <v>70.44000000000004</v>
      </c>
      <c r="K33" s="122"/>
      <c r="L33" s="234">
        <f t="shared" si="4"/>
        <v>43</v>
      </c>
      <c r="M33" s="15"/>
      <c r="N33" s="69"/>
      <c r="O33" s="203"/>
      <c r="P33" s="69">
        <f t="shared" si="7"/>
        <v>0</v>
      </c>
      <c r="Q33" s="70"/>
      <c r="R33" s="71"/>
      <c r="S33" s="105">
        <f t="shared" si="5"/>
        <v>500.75</v>
      </c>
    </row>
    <row r="34" spans="1:19" x14ac:dyDescent="0.25">
      <c r="A34" s="122"/>
      <c r="B34" s="234">
        <f t="shared" si="2"/>
        <v>6</v>
      </c>
      <c r="C34" s="15"/>
      <c r="D34" s="69"/>
      <c r="E34" s="203"/>
      <c r="F34" s="69">
        <f t="shared" si="6"/>
        <v>0</v>
      </c>
      <c r="G34" s="70"/>
      <c r="H34" s="71"/>
      <c r="I34" s="105">
        <f t="shared" si="3"/>
        <v>70.44000000000004</v>
      </c>
      <c r="K34" s="122"/>
      <c r="L34" s="234">
        <f t="shared" si="4"/>
        <v>43</v>
      </c>
      <c r="M34" s="15"/>
      <c r="N34" s="69"/>
      <c r="O34" s="203"/>
      <c r="P34" s="69">
        <f t="shared" si="7"/>
        <v>0</v>
      </c>
      <c r="Q34" s="70"/>
      <c r="R34" s="71"/>
      <c r="S34" s="105">
        <f t="shared" si="5"/>
        <v>500.75</v>
      </c>
    </row>
    <row r="35" spans="1:19" x14ac:dyDescent="0.25">
      <c r="A35" s="122"/>
      <c r="B35" s="234">
        <f t="shared" si="2"/>
        <v>6</v>
      </c>
      <c r="C35" s="15"/>
      <c r="D35" s="69"/>
      <c r="E35" s="203"/>
      <c r="F35" s="69">
        <f t="shared" si="6"/>
        <v>0</v>
      </c>
      <c r="G35" s="70"/>
      <c r="H35" s="71"/>
      <c r="I35" s="105">
        <f t="shared" si="3"/>
        <v>70.44000000000004</v>
      </c>
      <c r="K35" s="122"/>
      <c r="L35" s="234">
        <f t="shared" si="4"/>
        <v>43</v>
      </c>
      <c r="M35" s="15"/>
      <c r="N35" s="69"/>
      <c r="O35" s="203"/>
      <c r="P35" s="69">
        <f t="shared" si="7"/>
        <v>0</v>
      </c>
      <c r="Q35" s="70"/>
      <c r="R35" s="71"/>
      <c r="S35" s="105">
        <f t="shared" si="5"/>
        <v>500.75</v>
      </c>
    </row>
    <row r="36" spans="1:19" x14ac:dyDescent="0.25">
      <c r="A36" s="122" t="s">
        <v>22</v>
      </c>
      <c r="B36" s="234">
        <f t="shared" si="2"/>
        <v>6</v>
      </c>
      <c r="C36" s="15"/>
      <c r="D36" s="69"/>
      <c r="E36" s="203"/>
      <c r="F36" s="69">
        <f t="shared" si="6"/>
        <v>0</v>
      </c>
      <c r="G36" s="70"/>
      <c r="H36" s="71"/>
      <c r="I36" s="105">
        <f t="shared" si="3"/>
        <v>70.44000000000004</v>
      </c>
      <c r="K36" s="122" t="s">
        <v>22</v>
      </c>
      <c r="L36" s="234">
        <f t="shared" si="4"/>
        <v>43</v>
      </c>
      <c r="M36" s="15"/>
      <c r="N36" s="69"/>
      <c r="O36" s="203"/>
      <c r="P36" s="69">
        <f t="shared" si="7"/>
        <v>0</v>
      </c>
      <c r="Q36" s="70"/>
      <c r="R36" s="71"/>
      <c r="S36" s="105">
        <f t="shared" si="5"/>
        <v>500.75</v>
      </c>
    </row>
    <row r="37" spans="1:19" x14ac:dyDescent="0.25">
      <c r="A37" s="123"/>
      <c r="B37" s="234">
        <f t="shared" si="2"/>
        <v>6</v>
      </c>
      <c r="C37" s="15"/>
      <c r="D37" s="69"/>
      <c r="E37" s="203"/>
      <c r="F37" s="69">
        <f t="shared" si="6"/>
        <v>0</v>
      </c>
      <c r="G37" s="70"/>
      <c r="H37" s="71"/>
      <c r="I37" s="105">
        <f t="shared" si="3"/>
        <v>70.44000000000004</v>
      </c>
      <c r="K37" s="123"/>
      <c r="L37" s="234">
        <f t="shared" si="4"/>
        <v>43</v>
      </c>
      <c r="M37" s="15"/>
      <c r="N37" s="69"/>
      <c r="O37" s="203"/>
      <c r="P37" s="69">
        <f t="shared" si="7"/>
        <v>0</v>
      </c>
      <c r="Q37" s="70"/>
      <c r="R37" s="71"/>
      <c r="S37" s="105">
        <f t="shared" si="5"/>
        <v>500.75</v>
      </c>
    </row>
    <row r="38" spans="1:19" x14ac:dyDescent="0.25">
      <c r="A38" s="122"/>
      <c r="B38" s="234">
        <f t="shared" si="2"/>
        <v>6</v>
      </c>
      <c r="C38" s="15"/>
      <c r="D38" s="69"/>
      <c r="E38" s="203"/>
      <c r="F38" s="69">
        <f t="shared" si="6"/>
        <v>0</v>
      </c>
      <c r="G38" s="70"/>
      <c r="H38" s="71"/>
      <c r="I38" s="105">
        <f t="shared" si="3"/>
        <v>70.44000000000004</v>
      </c>
      <c r="K38" s="122"/>
      <c r="L38" s="234">
        <f t="shared" si="4"/>
        <v>43</v>
      </c>
      <c r="M38" s="15"/>
      <c r="N38" s="69"/>
      <c r="O38" s="203"/>
      <c r="P38" s="69">
        <f t="shared" si="7"/>
        <v>0</v>
      </c>
      <c r="Q38" s="70"/>
      <c r="R38" s="71"/>
      <c r="S38" s="105">
        <f t="shared" si="5"/>
        <v>500.75</v>
      </c>
    </row>
    <row r="39" spans="1:19" x14ac:dyDescent="0.25">
      <c r="A39" s="122"/>
      <c r="B39" s="83">
        <f t="shared" si="2"/>
        <v>6</v>
      </c>
      <c r="C39" s="15"/>
      <c r="D39" s="69"/>
      <c r="E39" s="203"/>
      <c r="F39" s="69">
        <f t="shared" si="6"/>
        <v>0</v>
      </c>
      <c r="G39" s="70"/>
      <c r="H39" s="71"/>
      <c r="I39" s="105">
        <f t="shared" si="3"/>
        <v>70.44000000000004</v>
      </c>
      <c r="K39" s="122"/>
      <c r="L39" s="83">
        <f t="shared" si="4"/>
        <v>43</v>
      </c>
      <c r="M39" s="15"/>
      <c r="N39" s="69"/>
      <c r="O39" s="203"/>
      <c r="P39" s="69">
        <f t="shared" si="7"/>
        <v>0</v>
      </c>
      <c r="Q39" s="70"/>
      <c r="R39" s="71"/>
      <c r="S39" s="105">
        <f t="shared" si="5"/>
        <v>500.75</v>
      </c>
    </row>
    <row r="40" spans="1:19" x14ac:dyDescent="0.25">
      <c r="A40" s="122"/>
      <c r="B40" s="83">
        <f t="shared" si="2"/>
        <v>6</v>
      </c>
      <c r="C40" s="15"/>
      <c r="D40" s="69"/>
      <c r="E40" s="203"/>
      <c r="F40" s="69">
        <f t="shared" si="6"/>
        <v>0</v>
      </c>
      <c r="G40" s="70"/>
      <c r="H40" s="71"/>
      <c r="I40" s="105">
        <f t="shared" si="3"/>
        <v>70.44000000000004</v>
      </c>
      <c r="K40" s="122"/>
      <c r="L40" s="83">
        <f t="shared" si="4"/>
        <v>43</v>
      </c>
      <c r="M40" s="15"/>
      <c r="N40" s="69"/>
      <c r="O40" s="203"/>
      <c r="P40" s="69">
        <f t="shared" si="7"/>
        <v>0</v>
      </c>
      <c r="Q40" s="70"/>
      <c r="R40" s="71"/>
      <c r="S40" s="105">
        <f t="shared" si="5"/>
        <v>500.75</v>
      </c>
    </row>
    <row r="41" spans="1:19" x14ac:dyDescent="0.25">
      <c r="A41" s="122"/>
      <c r="B41" s="83">
        <f t="shared" si="2"/>
        <v>6</v>
      </c>
      <c r="C41" s="15"/>
      <c r="D41" s="69"/>
      <c r="E41" s="203"/>
      <c r="F41" s="69">
        <f t="shared" si="6"/>
        <v>0</v>
      </c>
      <c r="G41" s="70"/>
      <c r="H41" s="71"/>
      <c r="I41" s="105">
        <f t="shared" si="3"/>
        <v>70.44000000000004</v>
      </c>
      <c r="K41" s="122"/>
      <c r="L41" s="83">
        <f t="shared" si="4"/>
        <v>43</v>
      </c>
      <c r="M41" s="15"/>
      <c r="N41" s="69"/>
      <c r="O41" s="203"/>
      <c r="P41" s="69">
        <f t="shared" si="7"/>
        <v>0</v>
      </c>
      <c r="Q41" s="70"/>
      <c r="R41" s="71"/>
      <c r="S41" s="105">
        <f t="shared" si="5"/>
        <v>500.75</v>
      </c>
    </row>
    <row r="42" spans="1:19" x14ac:dyDescent="0.25">
      <c r="A42" s="122"/>
      <c r="B42" s="83">
        <f t="shared" si="2"/>
        <v>6</v>
      </c>
      <c r="C42" s="15"/>
      <c r="D42" s="69"/>
      <c r="E42" s="203"/>
      <c r="F42" s="69">
        <f t="shared" si="6"/>
        <v>0</v>
      </c>
      <c r="G42" s="70"/>
      <c r="H42" s="71"/>
      <c r="I42" s="105">
        <f t="shared" si="3"/>
        <v>70.44000000000004</v>
      </c>
      <c r="K42" s="122"/>
      <c r="L42" s="83">
        <f t="shared" si="4"/>
        <v>43</v>
      </c>
      <c r="M42" s="15"/>
      <c r="N42" s="69"/>
      <c r="O42" s="203"/>
      <c r="P42" s="69">
        <f t="shared" si="7"/>
        <v>0</v>
      </c>
      <c r="Q42" s="70"/>
      <c r="R42" s="71"/>
      <c r="S42" s="105">
        <f t="shared" si="5"/>
        <v>500.75</v>
      </c>
    </row>
    <row r="43" spans="1:19" x14ac:dyDescent="0.25">
      <c r="A43" s="122"/>
      <c r="B43" s="83">
        <f t="shared" si="2"/>
        <v>6</v>
      </c>
      <c r="C43" s="15"/>
      <c r="D43" s="69"/>
      <c r="E43" s="203"/>
      <c r="F43" s="69">
        <f t="shared" si="6"/>
        <v>0</v>
      </c>
      <c r="G43" s="70"/>
      <c r="H43" s="71"/>
      <c r="I43" s="105">
        <f t="shared" si="3"/>
        <v>70.44000000000004</v>
      </c>
      <c r="K43" s="122"/>
      <c r="L43" s="83">
        <f t="shared" si="4"/>
        <v>43</v>
      </c>
      <c r="M43" s="15"/>
      <c r="N43" s="69"/>
      <c r="O43" s="203"/>
      <c r="P43" s="69">
        <f t="shared" si="7"/>
        <v>0</v>
      </c>
      <c r="Q43" s="70"/>
      <c r="R43" s="71"/>
      <c r="S43" s="105">
        <f t="shared" si="5"/>
        <v>500.75</v>
      </c>
    </row>
    <row r="44" spans="1:19" x14ac:dyDescent="0.25">
      <c r="A44" s="122"/>
      <c r="B44" s="83">
        <f t="shared" si="2"/>
        <v>6</v>
      </c>
      <c r="C44" s="15"/>
      <c r="D44" s="69"/>
      <c r="E44" s="203"/>
      <c r="F44" s="69">
        <f t="shared" si="6"/>
        <v>0</v>
      </c>
      <c r="G44" s="70"/>
      <c r="H44" s="71"/>
      <c r="I44" s="105">
        <f t="shared" si="3"/>
        <v>70.44000000000004</v>
      </c>
      <c r="K44" s="122"/>
      <c r="L44" s="83">
        <f t="shared" si="4"/>
        <v>43</v>
      </c>
      <c r="M44" s="15"/>
      <c r="N44" s="69"/>
      <c r="O44" s="203"/>
      <c r="P44" s="69">
        <f t="shared" si="7"/>
        <v>0</v>
      </c>
      <c r="Q44" s="70"/>
      <c r="R44" s="71"/>
      <c r="S44" s="105">
        <f t="shared" si="5"/>
        <v>500.75</v>
      </c>
    </row>
    <row r="45" spans="1:19" ht="14.25" customHeight="1" x14ac:dyDescent="0.25">
      <c r="A45" s="122"/>
      <c r="B45" s="83">
        <f t="shared" si="2"/>
        <v>6</v>
      </c>
      <c r="C45" s="15"/>
      <c r="D45" s="69"/>
      <c r="E45" s="203"/>
      <c r="F45" s="69">
        <f t="shared" si="6"/>
        <v>0</v>
      </c>
      <c r="G45" s="70"/>
      <c r="H45" s="71"/>
      <c r="I45" s="105">
        <f t="shared" si="3"/>
        <v>70.44000000000004</v>
      </c>
      <c r="K45" s="122"/>
      <c r="L45" s="83">
        <f t="shared" si="4"/>
        <v>43</v>
      </c>
      <c r="M45" s="15"/>
      <c r="N45" s="69"/>
      <c r="O45" s="203"/>
      <c r="P45" s="69">
        <f t="shared" si="7"/>
        <v>0</v>
      </c>
      <c r="Q45" s="70"/>
      <c r="R45" s="71"/>
      <c r="S45" s="105">
        <f t="shared" si="5"/>
        <v>500.75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79</v>
      </c>
      <c r="D48" s="6">
        <f>SUM(D9:D47)</f>
        <v>945.55</v>
      </c>
      <c r="F48" s="6">
        <f>SUM(F9:F47)</f>
        <v>945.55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6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056" t="s">
        <v>11</v>
      </c>
      <c r="D53" s="1057"/>
      <c r="E53" s="57">
        <f>E5+E6-F48+E7</f>
        <v>70.190000000000055</v>
      </c>
      <c r="F53" s="73"/>
      <c r="M53" s="1056" t="s">
        <v>11</v>
      </c>
      <c r="N53" s="1057"/>
      <c r="O53" s="57">
        <f>O5+O6-P48+O7</f>
        <v>500.75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H1" workbookViewId="0">
      <selection activeCell="R10" sqref="R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54" t="s">
        <v>280</v>
      </c>
      <c r="B1" s="1054"/>
      <c r="C1" s="1054"/>
      <c r="D1" s="1054"/>
      <c r="E1" s="1054"/>
      <c r="F1" s="1054"/>
      <c r="G1" s="1054"/>
      <c r="H1" s="11">
        <v>1</v>
      </c>
      <c r="K1" s="1058" t="s">
        <v>306</v>
      </c>
      <c r="L1" s="1058"/>
      <c r="M1" s="1058"/>
      <c r="N1" s="1058"/>
      <c r="O1" s="1058"/>
      <c r="P1" s="1058"/>
      <c r="Q1" s="1058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5">
        <v>120</v>
      </c>
      <c r="D4" s="134"/>
      <c r="E4" s="780">
        <v>61.36</v>
      </c>
      <c r="F4" s="781">
        <v>5</v>
      </c>
      <c r="G4" s="155"/>
      <c r="H4" s="155"/>
      <c r="K4" s="12"/>
      <c r="L4" s="12"/>
      <c r="M4" s="505"/>
      <c r="N4" s="134"/>
      <c r="O4" s="78">
        <v>70.540000000000006</v>
      </c>
      <c r="P4" s="62">
        <v>6</v>
      </c>
      <c r="Q4" s="155"/>
      <c r="R4" s="155"/>
    </row>
    <row r="5" spans="1:19" ht="15.75" customHeight="1" x14ac:dyDescent="0.25">
      <c r="A5" s="227" t="s">
        <v>63</v>
      </c>
      <c r="B5" s="1061" t="s">
        <v>73</v>
      </c>
      <c r="C5" s="633">
        <v>85</v>
      </c>
      <c r="D5" s="233">
        <v>44791</v>
      </c>
      <c r="E5" s="78">
        <v>203.41</v>
      </c>
      <c r="F5" s="62">
        <v>18</v>
      </c>
      <c r="G5" s="5"/>
      <c r="K5" s="227" t="s">
        <v>63</v>
      </c>
      <c r="L5" s="1061" t="s">
        <v>73</v>
      </c>
      <c r="M5" s="633">
        <v>85</v>
      </c>
      <c r="N5" s="233">
        <v>44806</v>
      </c>
      <c r="O5" s="78">
        <v>121.18</v>
      </c>
      <c r="P5" s="62">
        <v>11</v>
      </c>
      <c r="Q5" s="5"/>
    </row>
    <row r="6" spans="1:19" x14ac:dyDescent="0.25">
      <c r="A6" s="227"/>
      <c r="B6" s="1061"/>
      <c r="C6" s="403"/>
      <c r="D6" s="134"/>
      <c r="E6" s="209">
        <v>95.36</v>
      </c>
      <c r="F6" s="62">
        <v>9</v>
      </c>
      <c r="G6" s="47">
        <f>F42</f>
        <v>360.13000000000005</v>
      </c>
      <c r="H6" s="7">
        <f>E6-G6+E7+E5-G5+E4</f>
        <v>0</v>
      </c>
      <c r="K6" s="227"/>
      <c r="L6" s="1061"/>
      <c r="M6" s="403"/>
      <c r="N6" s="134"/>
      <c r="O6" s="209"/>
      <c r="P6" s="62"/>
      <c r="Q6" s="47">
        <f>P42</f>
        <v>112.35</v>
      </c>
      <c r="R6" s="7">
        <f>O6-Q6+O7+O5-Q5+O4</f>
        <v>79.370000000000019</v>
      </c>
    </row>
    <row r="7" spans="1:19" ht="15.75" thickBot="1" x14ac:dyDescent="0.3">
      <c r="B7" s="19"/>
      <c r="C7" s="403"/>
      <c r="D7" s="134"/>
      <c r="E7" s="504"/>
      <c r="F7" s="62"/>
      <c r="L7" s="19"/>
      <c r="M7" s="403"/>
      <c r="N7" s="134"/>
      <c r="O7" s="504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22</v>
      </c>
      <c r="C9" s="15">
        <v>10</v>
      </c>
      <c r="D9" s="69">
        <v>110.37</v>
      </c>
      <c r="E9" s="203">
        <v>44788</v>
      </c>
      <c r="F9" s="69">
        <f t="shared" ref="F9:F40" si="0">D9</f>
        <v>110.37</v>
      </c>
      <c r="G9" s="70" t="s">
        <v>228</v>
      </c>
      <c r="H9" s="71">
        <v>90</v>
      </c>
      <c r="I9" s="105">
        <f>E6-F9+E5+E7+E4</f>
        <v>249.76</v>
      </c>
      <c r="K9" s="80" t="s">
        <v>32</v>
      </c>
      <c r="L9" s="83">
        <f>P6-M9+P5+P7+P4</f>
        <v>7</v>
      </c>
      <c r="M9" s="15">
        <v>10</v>
      </c>
      <c r="N9" s="69">
        <v>112.35</v>
      </c>
      <c r="O9" s="203">
        <v>44830</v>
      </c>
      <c r="P9" s="69">
        <f t="shared" ref="P9:P40" si="1">N9</f>
        <v>112.35</v>
      </c>
      <c r="Q9" s="70" t="s">
        <v>720</v>
      </c>
      <c r="R9" s="71">
        <v>90</v>
      </c>
      <c r="S9" s="105">
        <f>O6-P9+O5+O7+O4</f>
        <v>79.370000000000019</v>
      </c>
    </row>
    <row r="10" spans="1:19" x14ac:dyDescent="0.25">
      <c r="A10" s="195"/>
      <c r="B10" s="83">
        <f>B9-C10</f>
        <v>12</v>
      </c>
      <c r="C10" s="73">
        <v>10</v>
      </c>
      <c r="D10" s="69">
        <v>114.87</v>
      </c>
      <c r="E10" s="203">
        <v>44793</v>
      </c>
      <c r="F10" s="69">
        <f t="shared" si="0"/>
        <v>114.87</v>
      </c>
      <c r="G10" s="70" t="s">
        <v>245</v>
      </c>
      <c r="H10" s="71">
        <v>90</v>
      </c>
      <c r="I10" s="105">
        <f>I9-F10</f>
        <v>134.88999999999999</v>
      </c>
      <c r="K10" s="195"/>
      <c r="L10" s="83">
        <f>L9-M10</f>
        <v>7</v>
      </c>
      <c r="M10" s="73"/>
      <c r="N10" s="69"/>
      <c r="O10" s="203"/>
      <c r="P10" s="69">
        <f t="shared" si="1"/>
        <v>0</v>
      </c>
      <c r="Q10" s="70"/>
      <c r="R10" s="71"/>
      <c r="S10" s="105">
        <f>S9-P10</f>
        <v>79.370000000000019</v>
      </c>
    </row>
    <row r="11" spans="1:19" x14ac:dyDescent="0.25">
      <c r="A11" s="183"/>
      <c r="B11" s="83">
        <f t="shared" ref="B11:B40" si="2">B10-C11</f>
        <v>6</v>
      </c>
      <c r="C11" s="73">
        <v>6</v>
      </c>
      <c r="D11" s="59">
        <v>64.349999999999994</v>
      </c>
      <c r="E11" s="210">
        <v>44816</v>
      </c>
      <c r="F11" s="59">
        <f t="shared" si="0"/>
        <v>64.349999999999994</v>
      </c>
      <c r="G11" s="602" t="s">
        <v>616</v>
      </c>
      <c r="H11" s="60">
        <v>98</v>
      </c>
      <c r="I11" s="105">
        <f t="shared" ref="I11:I40" si="3">I10-F11</f>
        <v>70.539999999999992</v>
      </c>
      <c r="K11" s="183"/>
      <c r="L11" s="83">
        <f t="shared" ref="L11:L40" si="4">L10-M11</f>
        <v>7</v>
      </c>
      <c r="M11" s="73"/>
      <c r="N11" s="59"/>
      <c r="O11" s="210"/>
      <c r="P11" s="59">
        <f t="shared" si="1"/>
        <v>0</v>
      </c>
      <c r="Q11" s="602"/>
      <c r="R11" s="60"/>
      <c r="S11" s="105">
        <f t="shared" ref="S11:S40" si="5">S10-P11</f>
        <v>79.370000000000019</v>
      </c>
    </row>
    <row r="12" spans="1:19" x14ac:dyDescent="0.25">
      <c r="A12" s="183"/>
      <c r="B12" s="83">
        <f t="shared" si="2"/>
        <v>6</v>
      </c>
      <c r="C12" s="73"/>
      <c r="D12" s="59"/>
      <c r="E12" s="210"/>
      <c r="F12" s="59">
        <f t="shared" si="0"/>
        <v>0</v>
      </c>
      <c r="G12" s="602"/>
      <c r="H12" s="60"/>
      <c r="I12" s="105">
        <f t="shared" si="3"/>
        <v>70.539999999999992</v>
      </c>
      <c r="K12" s="183"/>
      <c r="L12" s="83">
        <f t="shared" si="4"/>
        <v>7</v>
      </c>
      <c r="M12" s="73"/>
      <c r="N12" s="59"/>
      <c r="O12" s="210"/>
      <c r="P12" s="59">
        <f t="shared" si="1"/>
        <v>0</v>
      </c>
      <c r="Q12" s="602"/>
      <c r="R12" s="60"/>
      <c r="S12" s="105">
        <f t="shared" si="5"/>
        <v>79.370000000000019</v>
      </c>
    </row>
    <row r="13" spans="1:19" x14ac:dyDescent="0.25">
      <c r="A13" s="82" t="s">
        <v>33</v>
      </c>
      <c r="B13" s="83">
        <f t="shared" si="2"/>
        <v>0</v>
      </c>
      <c r="C13" s="73">
        <v>6</v>
      </c>
      <c r="D13" s="59"/>
      <c r="E13" s="210"/>
      <c r="F13" s="59">
        <v>70.540000000000006</v>
      </c>
      <c r="G13" s="602"/>
      <c r="H13" s="60"/>
      <c r="I13" s="105">
        <f t="shared" si="3"/>
        <v>0</v>
      </c>
      <c r="K13" s="82" t="s">
        <v>33</v>
      </c>
      <c r="L13" s="83">
        <f t="shared" si="4"/>
        <v>7</v>
      </c>
      <c r="M13" s="73"/>
      <c r="N13" s="59"/>
      <c r="O13" s="210"/>
      <c r="P13" s="59">
        <f t="shared" si="1"/>
        <v>0</v>
      </c>
      <c r="Q13" s="602"/>
      <c r="R13" s="60"/>
      <c r="S13" s="105">
        <f t="shared" si="5"/>
        <v>79.370000000000019</v>
      </c>
    </row>
    <row r="14" spans="1:19" x14ac:dyDescent="0.25">
      <c r="A14" s="73"/>
      <c r="B14" s="83">
        <f t="shared" si="2"/>
        <v>0</v>
      </c>
      <c r="C14" s="73"/>
      <c r="D14" s="59"/>
      <c r="E14" s="210"/>
      <c r="F14" s="912">
        <f t="shared" si="0"/>
        <v>0</v>
      </c>
      <c r="G14" s="913"/>
      <c r="H14" s="898"/>
      <c r="I14" s="894">
        <f t="shared" si="3"/>
        <v>0</v>
      </c>
      <c r="K14" s="73"/>
      <c r="L14" s="83">
        <f t="shared" si="4"/>
        <v>7</v>
      </c>
      <c r="M14" s="73"/>
      <c r="N14" s="59"/>
      <c r="O14" s="210"/>
      <c r="P14" s="59">
        <f t="shared" si="1"/>
        <v>0</v>
      </c>
      <c r="Q14" s="602"/>
      <c r="R14" s="60"/>
      <c r="S14" s="105">
        <f t="shared" si="5"/>
        <v>79.370000000000019</v>
      </c>
    </row>
    <row r="15" spans="1:19" x14ac:dyDescent="0.25">
      <c r="A15" s="73"/>
      <c r="B15" s="83">
        <f t="shared" si="2"/>
        <v>0</v>
      </c>
      <c r="C15" s="73"/>
      <c r="D15" s="59"/>
      <c r="E15" s="210"/>
      <c r="F15" s="912">
        <f t="shared" si="0"/>
        <v>0</v>
      </c>
      <c r="G15" s="913"/>
      <c r="H15" s="898"/>
      <c r="I15" s="894">
        <f t="shared" si="3"/>
        <v>0</v>
      </c>
      <c r="K15" s="73"/>
      <c r="L15" s="83">
        <f t="shared" si="4"/>
        <v>7</v>
      </c>
      <c r="M15" s="73"/>
      <c r="N15" s="59"/>
      <c r="O15" s="210"/>
      <c r="P15" s="59">
        <f t="shared" si="1"/>
        <v>0</v>
      </c>
      <c r="Q15" s="602"/>
      <c r="R15" s="60"/>
      <c r="S15" s="105">
        <f t="shared" si="5"/>
        <v>79.370000000000019</v>
      </c>
    </row>
    <row r="16" spans="1:19" x14ac:dyDescent="0.25">
      <c r="B16" s="83">
        <f t="shared" si="2"/>
        <v>0</v>
      </c>
      <c r="C16" s="73"/>
      <c r="D16" s="59"/>
      <c r="E16" s="210"/>
      <c r="F16" s="912">
        <f t="shared" si="0"/>
        <v>0</v>
      </c>
      <c r="G16" s="913"/>
      <c r="H16" s="898"/>
      <c r="I16" s="894">
        <f t="shared" si="3"/>
        <v>0</v>
      </c>
      <c r="L16" s="83">
        <f t="shared" si="4"/>
        <v>7</v>
      </c>
      <c r="M16" s="73"/>
      <c r="N16" s="59"/>
      <c r="O16" s="210"/>
      <c r="P16" s="59">
        <f t="shared" si="1"/>
        <v>0</v>
      </c>
      <c r="Q16" s="602"/>
      <c r="R16" s="60"/>
      <c r="S16" s="105">
        <f t="shared" si="5"/>
        <v>79.370000000000019</v>
      </c>
    </row>
    <row r="17" spans="1:19" x14ac:dyDescent="0.25">
      <c r="B17" s="83">
        <f t="shared" si="2"/>
        <v>0</v>
      </c>
      <c r="C17" s="73"/>
      <c r="D17" s="59"/>
      <c r="E17" s="210"/>
      <c r="F17" s="912">
        <f t="shared" si="0"/>
        <v>0</v>
      </c>
      <c r="G17" s="913"/>
      <c r="H17" s="898"/>
      <c r="I17" s="894">
        <f t="shared" si="3"/>
        <v>0</v>
      </c>
      <c r="L17" s="83">
        <f t="shared" si="4"/>
        <v>7</v>
      </c>
      <c r="M17" s="73"/>
      <c r="N17" s="59"/>
      <c r="O17" s="210"/>
      <c r="P17" s="59">
        <f t="shared" si="1"/>
        <v>0</v>
      </c>
      <c r="Q17" s="602"/>
      <c r="R17" s="60"/>
      <c r="S17" s="105">
        <f t="shared" si="5"/>
        <v>79.370000000000019</v>
      </c>
    </row>
    <row r="18" spans="1:19" x14ac:dyDescent="0.25">
      <c r="A18" s="122"/>
      <c r="B18" s="83">
        <f t="shared" si="2"/>
        <v>0</v>
      </c>
      <c r="C18" s="73"/>
      <c r="D18" s="59"/>
      <c r="E18" s="210"/>
      <c r="F18" s="59">
        <f t="shared" si="0"/>
        <v>0</v>
      </c>
      <c r="G18" s="602"/>
      <c r="H18" s="60"/>
      <c r="I18" s="105">
        <f t="shared" si="3"/>
        <v>0</v>
      </c>
      <c r="K18" s="122"/>
      <c r="L18" s="83">
        <f t="shared" si="4"/>
        <v>7</v>
      </c>
      <c r="M18" s="73"/>
      <c r="N18" s="59"/>
      <c r="O18" s="210"/>
      <c r="P18" s="59">
        <f t="shared" si="1"/>
        <v>0</v>
      </c>
      <c r="Q18" s="602"/>
      <c r="R18" s="60"/>
      <c r="S18" s="105">
        <f t="shared" si="5"/>
        <v>79.370000000000019</v>
      </c>
    </row>
    <row r="19" spans="1:19" x14ac:dyDescent="0.25">
      <c r="A19" s="122"/>
      <c r="B19" s="83">
        <f t="shared" si="2"/>
        <v>0</v>
      </c>
      <c r="C19" s="15"/>
      <c r="D19" s="59"/>
      <c r="E19" s="210"/>
      <c r="F19" s="59">
        <f t="shared" si="0"/>
        <v>0</v>
      </c>
      <c r="G19" s="602"/>
      <c r="H19" s="60"/>
      <c r="I19" s="105">
        <f t="shared" si="3"/>
        <v>0</v>
      </c>
      <c r="K19" s="122"/>
      <c r="L19" s="83">
        <f t="shared" si="4"/>
        <v>7</v>
      </c>
      <c r="M19" s="15"/>
      <c r="N19" s="59"/>
      <c r="O19" s="210"/>
      <c r="P19" s="59">
        <f t="shared" si="1"/>
        <v>0</v>
      </c>
      <c r="Q19" s="602"/>
      <c r="R19" s="60"/>
      <c r="S19" s="105">
        <f t="shared" si="5"/>
        <v>79.370000000000019</v>
      </c>
    </row>
    <row r="20" spans="1:19" x14ac:dyDescent="0.25">
      <c r="A20" s="122"/>
      <c r="B20" s="83">
        <f t="shared" si="2"/>
        <v>0</v>
      </c>
      <c r="C20" s="15"/>
      <c r="D20" s="59"/>
      <c r="E20" s="210"/>
      <c r="F20" s="59">
        <f t="shared" si="0"/>
        <v>0</v>
      </c>
      <c r="G20" s="602"/>
      <c r="H20" s="60"/>
      <c r="I20" s="105">
        <f t="shared" si="3"/>
        <v>0</v>
      </c>
      <c r="K20" s="122"/>
      <c r="L20" s="83">
        <f t="shared" si="4"/>
        <v>7</v>
      </c>
      <c r="M20" s="15"/>
      <c r="N20" s="59"/>
      <c r="O20" s="210"/>
      <c r="P20" s="59">
        <f t="shared" si="1"/>
        <v>0</v>
      </c>
      <c r="Q20" s="602"/>
      <c r="R20" s="60"/>
      <c r="S20" s="105">
        <f t="shared" si="5"/>
        <v>79.370000000000019</v>
      </c>
    </row>
    <row r="21" spans="1:19" x14ac:dyDescent="0.25">
      <c r="A21" s="122"/>
      <c r="B21" s="83">
        <f t="shared" si="2"/>
        <v>0</v>
      </c>
      <c r="C21" s="15"/>
      <c r="D21" s="59"/>
      <c r="E21" s="210"/>
      <c r="F21" s="59">
        <f t="shared" si="0"/>
        <v>0</v>
      </c>
      <c r="G21" s="602"/>
      <c r="H21" s="60"/>
      <c r="I21" s="105">
        <f t="shared" si="3"/>
        <v>0</v>
      </c>
      <c r="K21" s="122"/>
      <c r="L21" s="83">
        <f t="shared" si="4"/>
        <v>7</v>
      </c>
      <c r="M21" s="15"/>
      <c r="N21" s="59"/>
      <c r="O21" s="210"/>
      <c r="P21" s="59">
        <f t="shared" si="1"/>
        <v>0</v>
      </c>
      <c r="Q21" s="602"/>
      <c r="R21" s="60"/>
      <c r="S21" s="105">
        <f t="shared" si="5"/>
        <v>79.370000000000019</v>
      </c>
    </row>
    <row r="22" spans="1:19" x14ac:dyDescent="0.25">
      <c r="A22" s="122"/>
      <c r="B22" s="234">
        <f t="shared" si="2"/>
        <v>0</v>
      </c>
      <c r="C22" s="15"/>
      <c r="D22" s="59"/>
      <c r="E22" s="210"/>
      <c r="F22" s="59">
        <f t="shared" si="0"/>
        <v>0</v>
      </c>
      <c r="G22" s="602"/>
      <c r="H22" s="60"/>
      <c r="I22" s="105">
        <f t="shared" si="3"/>
        <v>0</v>
      </c>
      <c r="K22" s="122"/>
      <c r="L22" s="234">
        <f t="shared" si="4"/>
        <v>7</v>
      </c>
      <c r="M22" s="15"/>
      <c r="N22" s="59"/>
      <c r="O22" s="210"/>
      <c r="P22" s="59">
        <f t="shared" si="1"/>
        <v>0</v>
      </c>
      <c r="Q22" s="602"/>
      <c r="R22" s="60"/>
      <c r="S22" s="105">
        <f t="shared" si="5"/>
        <v>79.370000000000019</v>
      </c>
    </row>
    <row r="23" spans="1:19" x14ac:dyDescent="0.25">
      <c r="A23" s="123"/>
      <c r="B23" s="234">
        <f t="shared" si="2"/>
        <v>0</v>
      </c>
      <c r="C23" s="15"/>
      <c r="D23" s="59"/>
      <c r="E23" s="210"/>
      <c r="F23" s="59">
        <f t="shared" si="0"/>
        <v>0</v>
      </c>
      <c r="G23" s="602"/>
      <c r="H23" s="60"/>
      <c r="I23" s="105">
        <f t="shared" si="3"/>
        <v>0</v>
      </c>
      <c r="K23" s="123"/>
      <c r="L23" s="234">
        <f t="shared" si="4"/>
        <v>7</v>
      </c>
      <c r="M23" s="15"/>
      <c r="N23" s="59"/>
      <c r="O23" s="210"/>
      <c r="P23" s="59">
        <f t="shared" si="1"/>
        <v>0</v>
      </c>
      <c r="Q23" s="602"/>
      <c r="R23" s="60"/>
      <c r="S23" s="105">
        <f t="shared" si="5"/>
        <v>79.370000000000019</v>
      </c>
    </row>
    <row r="24" spans="1:19" x14ac:dyDescent="0.25">
      <c r="A24" s="122"/>
      <c r="B24" s="234">
        <f t="shared" si="2"/>
        <v>0</v>
      </c>
      <c r="C24" s="15"/>
      <c r="D24" s="59"/>
      <c r="E24" s="210"/>
      <c r="F24" s="59">
        <f t="shared" si="0"/>
        <v>0</v>
      </c>
      <c r="G24" s="602"/>
      <c r="H24" s="60"/>
      <c r="I24" s="105">
        <f t="shared" si="3"/>
        <v>0</v>
      </c>
      <c r="K24" s="122"/>
      <c r="L24" s="234">
        <f t="shared" si="4"/>
        <v>7</v>
      </c>
      <c r="M24" s="15"/>
      <c r="N24" s="59"/>
      <c r="O24" s="210"/>
      <c r="P24" s="59">
        <f t="shared" si="1"/>
        <v>0</v>
      </c>
      <c r="Q24" s="602"/>
      <c r="R24" s="60"/>
      <c r="S24" s="105">
        <f t="shared" si="5"/>
        <v>79.370000000000019</v>
      </c>
    </row>
    <row r="25" spans="1:19" x14ac:dyDescent="0.25">
      <c r="A25" s="122"/>
      <c r="B25" s="234">
        <f t="shared" si="2"/>
        <v>0</v>
      </c>
      <c r="C25" s="15"/>
      <c r="D25" s="59"/>
      <c r="E25" s="210"/>
      <c r="F25" s="59">
        <f t="shared" si="0"/>
        <v>0</v>
      </c>
      <c r="G25" s="602"/>
      <c r="H25" s="60"/>
      <c r="I25" s="105">
        <f t="shared" si="3"/>
        <v>0</v>
      </c>
      <c r="K25" s="122"/>
      <c r="L25" s="234">
        <f t="shared" si="4"/>
        <v>7</v>
      </c>
      <c r="M25" s="15"/>
      <c r="N25" s="59"/>
      <c r="O25" s="210"/>
      <c r="P25" s="59">
        <f t="shared" si="1"/>
        <v>0</v>
      </c>
      <c r="Q25" s="602"/>
      <c r="R25" s="60"/>
      <c r="S25" s="105">
        <f t="shared" si="5"/>
        <v>79.370000000000019</v>
      </c>
    </row>
    <row r="26" spans="1:19" x14ac:dyDescent="0.25">
      <c r="A26" s="122"/>
      <c r="B26" s="183">
        <f t="shared" si="2"/>
        <v>0</v>
      </c>
      <c r="C26" s="15"/>
      <c r="D26" s="59"/>
      <c r="E26" s="210"/>
      <c r="F26" s="59">
        <f t="shared" si="0"/>
        <v>0</v>
      </c>
      <c r="G26" s="602"/>
      <c r="H26" s="60"/>
      <c r="I26" s="105">
        <f t="shared" si="3"/>
        <v>0</v>
      </c>
      <c r="K26" s="122"/>
      <c r="L26" s="183">
        <f t="shared" si="4"/>
        <v>7</v>
      </c>
      <c r="M26" s="15"/>
      <c r="N26" s="59"/>
      <c r="O26" s="210"/>
      <c r="P26" s="59">
        <f t="shared" si="1"/>
        <v>0</v>
      </c>
      <c r="Q26" s="602"/>
      <c r="R26" s="60"/>
      <c r="S26" s="105">
        <f t="shared" si="5"/>
        <v>79.370000000000019</v>
      </c>
    </row>
    <row r="27" spans="1:19" x14ac:dyDescent="0.25">
      <c r="A27" s="122"/>
      <c r="B27" s="234">
        <f t="shared" si="2"/>
        <v>0</v>
      </c>
      <c r="C27" s="15"/>
      <c r="D27" s="59"/>
      <c r="E27" s="210"/>
      <c r="F27" s="59">
        <f t="shared" si="0"/>
        <v>0</v>
      </c>
      <c r="G27" s="602"/>
      <c r="H27" s="60"/>
      <c r="I27" s="105">
        <f t="shared" si="3"/>
        <v>0</v>
      </c>
      <c r="K27" s="122"/>
      <c r="L27" s="234">
        <f t="shared" si="4"/>
        <v>7</v>
      </c>
      <c r="M27" s="15"/>
      <c r="N27" s="59"/>
      <c r="O27" s="210"/>
      <c r="P27" s="59">
        <f t="shared" si="1"/>
        <v>0</v>
      </c>
      <c r="Q27" s="602"/>
      <c r="R27" s="60"/>
      <c r="S27" s="105">
        <f t="shared" si="5"/>
        <v>79.370000000000019</v>
      </c>
    </row>
    <row r="28" spans="1:19" x14ac:dyDescent="0.25">
      <c r="A28" s="122"/>
      <c r="B28" s="183">
        <f t="shared" si="2"/>
        <v>0</v>
      </c>
      <c r="C28" s="15"/>
      <c r="D28" s="59"/>
      <c r="E28" s="210"/>
      <c r="F28" s="59">
        <f t="shared" si="0"/>
        <v>0</v>
      </c>
      <c r="G28" s="602"/>
      <c r="H28" s="60"/>
      <c r="I28" s="105">
        <f t="shared" si="3"/>
        <v>0</v>
      </c>
      <c r="K28" s="122"/>
      <c r="L28" s="183">
        <f t="shared" si="4"/>
        <v>7</v>
      </c>
      <c r="M28" s="15"/>
      <c r="N28" s="59"/>
      <c r="O28" s="210"/>
      <c r="P28" s="59">
        <f t="shared" si="1"/>
        <v>0</v>
      </c>
      <c r="Q28" s="602"/>
      <c r="R28" s="60"/>
      <c r="S28" s="105">
        <f t="shared" si="5"/>
        <v>79.370000000000019</v>
      </c>
    </row>
    <row r="29" spans="1:19" x14ac:dyDescent="0.25">
      <c r="A29" s="122"/>
      <c r="B29" s="234">
        <f t="shared" si="2"/>
        <v>0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3"/>
        <v>0</v>
      </c>
      <c r="K29" s="122"/>
      <c r="L29" s="234">
        <f t="shared" si="4"/>
        <v>7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79.370000000000019</v>
      </c>
    </row>
    <row r="30" spans="1:19" x14ac:dyDescent="0.25">
      <c r="A30" s="122"/>
      <c r="B30" s="234">
        <f t="shared" si="2"/>
        <v>0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3"/>
        <v>0</v>
      </c>
      <c r="K30" s="122"/>
      <c r="L30" s="234">
        <f t="shared" si="4"/>
        <v>7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79.370000000000019</v>
      </c>
    </row>
    <row r="31" spans="1:19" x14ac:dyDescent="0.25">
      <c r="A31" s="122"/>
      <c r="B31" s="234">
        <f t="shared" si="2"/>
        <v>0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3"/>
        <v>0</v>
      </c>
      <c r="K31" s="122"/>
      <c r="L31" s="234">
        <f t="shared" si="4"/>
        <v>7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79.370000000000019</v>
      </c>
    </row>
    <row r="32" spans="1:19" x14ac:dyDescent="0.25">
      <c r="A32" s="122"/>
      <c r="B32" s="234">
        <f t="shared" si="2"/>
        <v>0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3"/>
        <v>0</v>
      </c>
      <c r="K32" s="122"/>
      <c r="L32" s="234">
        <f t="shared" si="4"/>
        <v>7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79.370000000000019</v>
      </c>
    </row>
    <row r="33" spans="1:19" x14ac:dyDescent="0.25">
      <c r="A33" s="122"/>
      <c r="B33" s="234">
        <f t="shared" si="2"/>
        <v>0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3"/>
        <v>0</v>
      </c>
      <c r="K33" s="122"/>
      <c r="L33" s="234">
        <f t="shared" si="4"/>
        <v>7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79.370000000000019</v>
      </c>
    </row>
    <row r="34" spans="1:19" x14ac:dyDescent="0.25">
      <c r="A34" s="122"/>
      <c r="B34" s="234">
        <f t="shared" si="2"/>
        <v>0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3"/>
        <v>0</v>
      </c>
      <c r="K34" s="122"/>
      <c r="L34" s="234">
        <f t="shared" si="4"/>
        <v>7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79.370000000000019</v>
      </c>
    </row>
    <row r="35" spans="1:19" x14ac:dyDescent="0.25">
      <c r="A35" s="122"/>
      <c r="B35" s="234">
        <f t="shared" si="2"/>
        <v>0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3"/>
        <v>0</v>
      </c>
      <c r="K35" s="122"/>
      <c r="L35" s="234">
        <f t="shared" si="4"/>
        <v>7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79.370000000000019</v>
      </c>
    </row>
    <row r="36" spans="1:19" x14ac:dyDescent="0.25">
      <c r="A36" s="122" t="s">
        <v>22</v>
      </c>
      <c r="B36" s="234">
        <f t="shared" si="2"/>
        <v>0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3"/>
        <v>0</v>
      </c>
      <c r="K36" s="122" t="s">
        <v>22</v>
      </c>
      <c r="L36" s="234">
        <f t="shared" si="4"/>
        <v>7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79.370000000000019</v>
      </c>
    </row>
    <row r="37" spans="1:19" x14ac:dyDescent="0.25">
      <c r="A37" s="123"/>
      <c r="B37" s="234">
        <f t="shared" si="2"/>
        <v>0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3"/>
        <v>0</v>
      </c>
      <c r="K37" s="123"/>
      <c r="L37" s="234">
        <f t="shared" si="4"/>
        <v>7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79.370000000000019</v>
      </c>
    </row>
    <row r="38" spans="1:19" x14ac:dyDescent="0.25">
      <c r="A38" s="122"/>
      <c r="B38" s="234">
        <f t="shared" si="2"/>
        <v>0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3"/>
        <v>0</v>
      </c>
      <c r="K38" s="122"/>
      <c r="L38" s="234">
        <f t="shared" si="4"/>
        <v>7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79.370000000000019</v>
      </c>
    </row>
    <row r="39" spans="1:19" x14ac:dyDescent="0.25">
      <c r="A39" s="122"/>
      <c r="B39" s="83">
        <f t="shared" si="2"/>
        <v>0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3"/>
        <v>0</v>
      </c>
      <c r="K39" s="122"/>
      <c r="L39" s="83">
        <f t="shared" si="4"/>
        <v>7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79.370000000000019</v>
      </c>
    </row>
    <row r="40" spans="1:19" x14ac:dyDescent="0.25">
      <c r="A40" s="122"/>
      <c r="B40" s="83">
        <f t="shared" si="2"/>
        <v>0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3"/>
        <v>0</v>
      </c>
      <c r="K40" s="122"/>
      <c r="L40" s="83">
        <f t="shared" si="4"/>
        <v>7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79.370000000000019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32</v>
      </c>
      <c r="D42" s="6">
        <f>SUM(D9:D41)</f>
        <v>289.59000000000003</v>
      </c>
      <c r="F42" s="6">
        <f>SUM(F9:F41)</f>
        <v>360.13000000000005</v>
      </c>
      <c r="M42" s="53">
        <f>SUM(M9:M41)</f>
        <v>10</v>
      </c>
      <c r="N42" s="6">
        <f>SUM(N9:N41)</f>
        <v>112.35</v>
      </c>
      <c r="P42" s="6">
        <f>SUM(P9:P41)</f>
        <v>112.35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-5</v>
      </c>
      <c r="N45" s="45" t="s">
        <v>4</v>
      </c>
      <c r="O45" s="56">
        <f>P5+P6-M42+P7</f>
        <v>1</v>
      </c>
    </row>
    <row r="46" spans="1:19" ht="15.75" thickBot="1" x14ac:dyDescent="0.3"/>
    <row r="47" spans="1:19" ht="15.75" thickBot="1" x14ac:dyDescent="0.3">
      <c r="C47" s="1056" t="s">
        <v>11</v>
      </c>
      <c r="D47" s="1057"/>
      <c r="E47" s="57">
        <f>E5+E6-F42+E7</f>
        <v>-61.36000000000007</v>
      </c>
      <c r="F47" s="73"/>
      <c r="M47" s="1056" t="s">
        <v>11</v>
      </c>
      <c r="N47" s="1057"/>
      <c r="O47" s="57">
        <f>O5+O6-P42+O7</f>
        <v>8.8300000000000125</v>
      </c>
      <c r="P47" s="73"/>
    </row>
    <row r="50" spans="1:17" x14ac:dyDescent="0.25">
      <c r="A50" s="227"/>
      <c r="B50" s="1052"/>
      <c r="C50" s="497"/>
      <c r="D50" s="233"/>
      <c r="E50" s="78"/>
      <c r="F50" s="62"/>
      <c r="G50" s="5"/>
      <c r="K50" s="227"/>
      <c r="L50" s="1052"/>
      <c r="M50" s="497"/>
      <c r="N50" s="233"/>
      <c r="O50" s="78"/>
      <c r="P50" s="62"/>
      <c r="Q50" s="5"/>
    </row>
    <row r="51" spans="1:17" x14ac:dyDescent="0.25">
      <c r="A51" s="227"/>
      <c r="B51" s="1052"/>
      <c r="C51" s="403"/>
      <c r="D51" s="134"/>
      <c r="E51" s="209"/>
      <c r="F51" s="62"/>
      <c r="G51" s="47"/>
      <c r="K51" s="227"/>
      <c r="L51" s="1052"/>
      <c r="M51" s="403"/>
      <c r="N51" s="134"/>
      <c r="O51" s="209"/>
      <c r="P51" s="62"/>
      <c r="Q51" s="47"/>
    </row>
    <row r="52" spans="1:17" x14ac:dyDescent="0.25">
      <c r="B52" s="19"/>
      <c r="C52" s="497"/>
      <c r="D52" s="134"/>
      <c r="E52" s="504"/>
      <c r="F52" s="12"/>
      <c r="L52" s="19"/>
      <c r="M52" s="497"/>
      <c r="N52" s="134"/>
      <c r="O52" s="504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selection activeCell="M20" sqref="M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54" t="s">
        <v>281</v>
      </c>
      <c r="B1" s="1054"/>
      <c r="C1" s="1054"/>
      <c r="D1" s="1054"/>
      <c r="E1" s="1054"/>
      <c r="F1" s="1054"/>
      <c r="G1" s="1054"/>
      <c r="H1" s="11">
        <v>1</v>
      </c>
      <c r="K1" s="1058" t="s">
        <v>281</v>
      </c>
      <c r="L1" s="1058"/>
      <c r="M1" s="1058"/>
      <c r="N1" s="1058"/>
      <c r="O1" s="1058"/>
      <c r="P1" s="1058"/>
      <c r="Q1" s="1058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5"/>
      <c r="D4" s="134"/>
      <c r="E4" s="78"/>
      <c r="F4" s="62"/>
      <c r="G4" s="155"/>
      <c r="H4" s="155"/>
      <c r="K4" s="12"/>
      <c r="L4" s="12"/>
      <c r="M4" s="505"/>
      <c r="N4" s="134"/>
      <c r="O4" s="78">
        <v>82.53</v>
      </c>
      <c r="P4" s="62">
        <v>7</v>
      </c>
      <c r="Q4" s="155"/>
      <c r="R4" s="155"/>
    </row>
    <row r="5" spans="1:19" ht="15" customHeight="1" x14ac:dyDescent="0.25">
      <c r="A5" s="227" t="s">
        <v>63</v>
      </c>
      <c r="B5" s="1059" t="s">
        <v>92</v>
      </c>
      <c r="C5" s="497">
        <v>99</v>
      </c>
      <c r="D5" s="233">
        <v>44791</v>
      </c>
      <c r="E5" s="78">
        <v>1005.97</v>
      </c>
      <c r="F5" s="62">
        <v>87</v>
      </c>
      <c r="G5" s="5"/>
      <c r="K5" s="227" t="s">
        <v>63</v>
      </c>
      <c r="L5" s="1059" t="s">
        <v>92</v>
      </c>
      <c r="M5" s="497">
        <v>99</v>
      </c>
      <c r="N5" s="233">
        <v>44807</v>
      </c>
      <c r="O5" s="78">
        <v>910.21</v>
      </c>
      <c r="P5" s="62">
        <v>79</v>
      </c>
      <c r="Q5" s="5"/>
    </row>
    <row r="6" spans="1:19" x14ac:dyDescent="0.25">
      <c r="A6" s="227"/>
      <c r="B6" s="1059"/>
      <c r="C6" s="403"/>
      <c r="D6" s="134"/>
      <c r="E6" s="209"/>
      <c r="F6" s="62"/>
      <c r="G6" s="47">
        <f>F78</f>
        <v>1005.9699999999999</v>
      </c>
      <c r="H6" s="7">
        <f>E6-G6+E7+E5-G5+E4</f>
        <v>1.1368683772161603E-13</v>
      </c>
      <c r="K6" s="227"/>
      <c r="L6" s="1059"/>
      <c r="M6" s="403">
        <v>99</v>
      </c>
      <c r="N6" s="134">
        <v>44833</v>
      </c>
      <c r="O6" s="209">
        <v>1008.02</v>
      </c>
      <c r="P6" s="62">
        <v>83</v>
      </c>
      <c r="Q6" s="47">
        <f>P78</f>
        <v>1142.6199999999999</v>
      </c>
      <c r="R6" s="7">
        <f>O6-Q6+O7+O5-Q5+O4</f>
        <v>858.1400000000001</v>
      </c>
    </row>
    <row r="7" spans="1:19" ht="15.75" thickBot="1" x14ac:dyDescent="0.3">
      <c r="B7" s="19"/>
      <c r="C7" s="497"/>
      <c r="D7" s="134"/>
      <c r="E7" s="504"/>
      <c r="F7" s="73"/>
      <c r="L7" s="19"/>
      <c r="M7" s="497"/>
      <c r="N7" s="134"/>
      <c r="O7" s="504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77</v>
      </c>
      <c r="C9" s="15">
        <v>10</v>
      </c>
      <c r="D9" s="69">
        <v>119.44</v>
      </c>
      <c r="E9" s="203">
        <v>44792</v>
      </c>
      <c r="F9" s="69">
        <f t="shared" ref="F9:F72" si="0">D9</f>
        <v>119.44</v>
      </c>
      <c r="G9" s="70" t="s">
        <v>241</v>
      </c>
      <c r="H9" s="71">
        <v>101</v>
      </c>
      <c r="I9" s="105">
        <f>E6-F9+E5+E7+E4</f>
        <v>886.53</v>
      </c>
      <c r="K9" s="80" t="s">
        <v>32</v>
      </c>
      <c r="L9" s="183">
        <f>P6-M9+P5+P7+P4</f>
        <v>159</v>
      </c>
      <c r="M9" s="15">
        <v>10</v>
      </c>
      <c r="N9" s="69">
        <v>117.57</v>
      </c>
      <c r="O9" s="203">
        <v>44816</v>
      </c>
      <c r="P9" s="69">
        <f t="shared" ref="P9:P72" si="1">N9</f>
        <v>117.57</v>
      </c>
      <c r="Q9" s="70" t="s">
        <v>612</v>
      </c>
      <c r="R9" s="71">
        <v>101</v>
      </c>
      <c r="S9" s="105">
        <f>O6-P9+O5+O7+O4</f>
        <v>1883.19</v>
      </c>
    </row>
    <row r="10" spans="1:19" x14ac:dyDescent="0.25">
      <c r="A10" s="195"/>
      <c r="B10" s="183">
        <f>B9-C10</f>
        <v>67</v>
      </c>
      <c r="C10" s="73">
        <v>10</v>
      </c>
      <c r="D10" s="69">
        <v>114.66</v>
      </c>
      <c r="E10" s="203">
        <v>44793</v>
      </c>
      <c r="F10" s="69">
        <f t="shared" si="0"/>
        <v>114.66</v>
      </c>
      <c r="G10" s="70" t="s">
        <v>245</v>
      </c>
      <c r="H10" s="71">
        <v>101</v>
      </c>
      <c r="I10" s="105">
        <f>I9-F10</f>
        <v>771.87</v>
      </c>
      <c r="K10" s="195"/>
      <c r="L10" s="183">
        <f>L9-M10</f>
        <v>144</v>
      </c>
      <c r="M10" s="73">
        <v>15</v>
      </c>
      <c r="N10" s="69">
        <v>171.2</v>
      </c>
      <c r="O10" s="203">
        <v>44817</v>
      </c>
      <c r="P10" s="69">
        <f t="shared" si="1"/>
        <v>171.2</v>
      </c>
      <c r="Q10" s="70" t="s">
        <v>623</v>
      </c>
      <c r="R10" s="71">
        <v>101</v>
      </c>
      <c r="S10" s="105">
        <f>S9-P10</f>
        <v>1711.99</v>
      </c>
    </row>
    <row r="11" spans="1:19" x14ac:dyDescent="0.25">
      <c r="A11" s="183"/>
      <c r="B11" s="183">
        <f t="shared" ref="B11:B74" si="2">B10-C11</f>
        <v>66</v>
      </c>
      <c r="C11" s="73">
        <v>1</v>
      </c>
      <c r="D11" s="69">
        <v>11.32</v>
      </c>
      <c r="E11" s="203">
        <v>44795</v>
      </c>
      <c r="F11" s="69">
        <f t="shared" si="0"/>
        <v>11.32</v>
      </c>
      <c r="G11" s="70" t="s">
        <v>252</v>
      </c>
      <c r="H11" s="71">
        <v>101</v>
      </c>
      <c r="I11" s="105">
        <f t="shared" ref="I11:I74" si="3">I10-F11</f>
        <v>760.55</v>
      </c>
      <c r="K11" s="183"/>
      <c r="L11" s="183">
        <f t="shared" ref="L11:L74" si="4">L10-M11</f>
        <v>143</v>
      </c>
      <c r="M11" s="73">
        <v>1</v>
      </c>
      <c r="N11" s="69">
        <v>11.33</v>
      </c>
      <c r="O11" s="203">
        <v>44817</v>
      </c>
      <c r="P11" s="69">
        <f t="shared" si="1"/>
        <v>11.33</v>
      </c>
      <c r="Q11" s="70" t="s">
        <v>627</v>
      </c>
      <c r="R11" s="71">
        <v>101</v>
      </c>
      <c r="S11" s="105">
        <f t="shared" ref="S11:S74" si="5">S10-P11</f>
        <v>1700.66</v>
      </c>
    </row>
    <row r="12" spans="1:19" x14ac:dyDescent="0.25">
      <c r="A12" s="183"/>
      <c r="B12" s="183">
        <f t="shared" si="2"/>
        <v>57</v>
      </c>
      <c r="C12" s="73">
        <v>9</v>
      </c>
      <c r="D12" s="69">
        <v>102.38</v>
      </c>
      <c r="E12" s="203">
        <v>44797</v>
      </c>
      <c r="F12" s="69">
        <f t="shared" si="0"/>
        <v>102.38</v>
      </c>
      <c r="G12" s="70" t="s">
        <v>260</v>
      </c>
      <c r="H12" s="71">
        <v>101</v>
      </c>
      <c r="I12" s="105">
        <f t="shared" si="3"/>
        <v>658.17</v>
      </c>
      <c r="K12" s="183"/>
      <c r="L12" s="183">
        <f t="shared" si="4"/>
        <v>133</v>
      </c>
      <c r="M12" s="73">
        <v>10</v>
      </c>
      <c r="N12" s="69">
        <v>113.36</v>
      </c>
      <c r="O12" s="203">
        <v>44820</v>
      </c>
      <c r="P12" s="69">
        <f t="shared" si="1"/>
        <v>113.36</v>
      </c>
      <c r="Q12" s="70" t="s">
        <v>655</v>
      </c>
      <c r="R12" s="71">
        <v>101</v>
      </c>
      <c r="S12" s="105">
        <f t="shared" si="5"/>
        <v>1587.3000000000002</v>
      </c>
    </row>
    <row r="13" spans="1:19" x14ac:dyDescent="0.25">
      <c r="A13" s="82" t="s">
        <v>33</v>
      </c>
      <c r="B13" s="183">
        <f t="shared" si="2"/>
        <v>47</v>
      </c>
      <c r="C13" s="73">
        <v>10</v>
      </c>
      <c r="D13" s="69">
        <v>116.89</v>
      </c>
      <c r="E13" s="203">
        <v>44799</v>
      </c>
      <c r="F13" s="69">
        <f t="shared" si="0"/>
        <v>116.89</v>
      </c>
      <c r="G13" s="70" t="s">
        <v>266</v>
      </c>
      <c r="H13" s="71">
        <v>101</v>
      </c>
      <c r="I13" s="105">
        <f t="shared" si="3"/>
        <v>541.28</v>
      </c>
      <c r="K13" s="82" t="s">
        <v>33</v>
      </c>
      <c r="L13" s="183">
        <f t="shared" si="4"/>
        <v>132</v>
      </c>
      <c r="M13" s="73">
        <v>1</v>
      </c>
      <c r="N13" s="69">
        <v>11.53</v>
      </c>
      <c r="O13" s="203">
        <v>44823</v>
      </c>
      <c r="P13" s="69">
        <f t="shared" si="1"/>
        <v>11.53</v>
      </c>
      <c r="Q13" s="70" t="s">
        <v>676</v>
      </c>
      <c r="R13" s="71">
        <v>101</v>
      </c>
      <c r="S13" s="105">
        <f t="shared" si="5"/>
        <v>1575.7700000000002</v>
      </c>
    </row>
    <row r="14" spans="1:19" x14ac:dyDescent="0.25">
      <c r="A14" s="73"/>
      <c r="B14" s="183">
        <f t="shared" si="2"/>
        <v>37</v>
      </c>
      <c r="C14" s="73">
        <v>10</v>
      </c>
      <c r="D14" s="694">
        <v>111.66</v>
      </c>
      <c r="E14" s="695">
        <v>44803</v>
      </c>
      <c r="F14" s="694">
        <f t="shared" si="0"/>
        <v>111.66</v>
      </c>
      <c r="G14" s="696" t="s">
        <v>512</v>
      </c>
      <c r="H14" s="388">
        <v>101</v>
      </c>
      <c r="I14" s="105">
        <f t="shared" si="3"/>
        <v>429.62</v>
      </c>
      <c r="K14" s="73"/>
      <c r="L14" s="183">
        <f t="shared" si="4"/>
        <v>122</v>
      </c>
      <c r="M14" s="73">
        <v>10</v>
      </c>
      <c r="N14" s="69">
        <v>119.01</v>
      </c>
      <c r="O14" s="203">
        <v>44823</v>
      </c>
      <c r="P14" s="69">
        <f t="shared" si="1"/>
        <v>119.01</v>
      </c>
      <c r="Q14" s="70" t="s">
        <v>677</v>
      </c>
      <c r="R14" s="71">
        <v>101</v>
      </c>
      <c r="S14" s="105">
        <f t="shared" si="5"/>
        <v>1456.7600000000002</v>
      </c>
    </row>
    <row r="15" spans="1:19" x14ac:dyDescent="0.25">
      <c r="A15" s="73"/>
      <c r="B15" s="183">
        <f t="shared" si="2"/>
        <v>27</v>
      </c>
      <c r="C15" s="73">
        <v>10</v>
      </c>
      <c r="D15" s="694">
        <v>115.55</v>
      </c>
      <c r="E15" s="695">
        <v>44806</v>
      </c>
      <c r="F15" s="694">
        <f t="shared" si="0"/>
        <v>115.55</v>
      </c>
      <c r="G15" s="696" t="s">
        <v>536</v>
      </c>
      <c r="H15" s="388">
        <v>101</v>
      </c>
      <c r="I15" s="105">
        <f t="shared" si="3"/>
        <v>314.07</v>
      </c>
      <c r="K15" s="73"/>
      <c r="L15" s="183">
        <f t="shared" si="4"/>
        <v>120</v>
      </c>
      <c r="M15" s="930">
        <v>2</v>
      </c>
      <c r="N15" s="680">
        <v>112.97</v>
      </c>
      <c r="O15" s="681">
        <v>44826</v>
      </c>
      <c r="P15" s="680">
        <f t="shared" si="1"/>
        <v>112.97</v>
      </c>
      <c r="Q15" s="682" t="s">
        <v>700</v>
      </c>
      <c r="R15" s="71">
        <v>101</v>
      </c>
      <c r="S15" s="105">
        <f t="shared" si="5"/>
        <v>1343.7900000000002</v>
      </c>
    </row>
    <row r="16" spans="1:19" x14ac:dyDescent="0.25">
      <c r="B16" s="183">
        <f t="shared" si="2"/>
        <v>17</v>
      </c>
      <c r="C16" s="73">
        <v>10</v>
      </c>
      <c r="D16" s="694">
        <v>114.33</v>
      </c>
      <c r="E16" s="695">
        <v>44807</v>
      </c>
      <c r="F16" s="694">
        <f t="shared" si="0"/>
        <v>114.33</v>
      </c>
      <c r="G16" s="696" t="s">
        <v>555</v>
      </c>
      <c r="H16" s="388">
        <v>101</v>
      </c>
      <c r="I16" s="105">
        <f t="shared" si="3"/>
        <v>199.74</v>
      </c>
      <c r="L16" s="183">
        <f t="shared" si="4"/>
        <v>119</v>
      </c>
      <c r="M16" s="73">
        <v>1</v>
      </c>
      <c r="N16" s="69">
        <v>12.03</v>
      </c>
      <c r="O16" s="203">
        <v>44827</v>
      </c>
      <c r="P16" s="69">
        <f t="shared" si="1"/>
        <v>12.03</v>
      </c>
      <c r="Q16" s="70" t="s">
        <v>706</v>
      </c>
      <c r="R16" s="71">
        <v>101</v>
      </c>
      <c r="S16" s="105">
        <f t="shared" si="5"/>
        <v>1331.7600000000002</v>
      </c>
    </row>
    <row r="17" spans="1:19" x14ac:dyDescent="0.25">
      <c r="B17" s="183">
        <f t="shared" si="2"/>
        <v>7</v>
      </c>
      <c r="C17" s="73">
        <v>10</v>
      </c>
      <c r="D17" s="694">
        <v>117.21</v>
      </c>
      <c r="E17" s="695">
        <v>44812</v>
      </c>
      <c r="F17" s="694">
        <f t="shared" si="0"/>
        <v>117.21</v>
      </c>
      <c r="G17" s="696" t="s">
        <v>561</v>
      </c>
      <c r="H17" s="388">
        <v>101</v>
      </c>
      <c r="I17" s="105">
        <f t="shared" si="3"/>
        <v>82.530000000000015</v>
      </c>
      <c r="L17" s="183">
        <f t="shared" si="4"/>
        <v>109</v>
      </c>
      <c r="M17" s="73">
        <v>10</v>
      </c>
      <c r="N17" s="69">
        <v>112</v>
      </c>
      <c r="O17" s="203">
        <v>44828</v>
      </c>
      <c r="P17" s="69">
        <f t="shared" si="1"/>
        <v>112</v>
      </c>
      <c r="Q17" s="70" t="s">
        <v>711</v>
      </c>
      <c r="R17" s="71">
        <v>101</v>
      </c>
      <c r="S17" s="105">
        <f t="shared" si="5"/>
        <v>1219.7600000000002</v>
      </c>
    </row>
    <row r="18" spans="1:19" x14ac:dyDescent="0.25">
      <c r="A18" s="122"/>
      <c r="B18" s="183">
        <f t="shared" si="2"/>
        <v>7</v>
      </c>
      <c r="C18" s="73"/>
      <c r="D18" s="694">
        <v>0</v>
      </c>
      <c r="E18" s="695"/>
      <c r="F18" s="694">
        <f t="shared" si="0"/>
        <v>0</v>
      </c>
      <c r="G18" s="696"/>
      <c r="H18" s="388"/>
      <c r="I18" s="105">
        <f t="shared" si="3"/>
        <v>82.530000000000015</v>
      </c>
      <c r="K18" s="122"/>
      <c r="L18" s="183">
        <f t="shared" si="4"/>
        <v>99</v>
      </c>
      <c r="M18" s="73">
        <v>10</v>
      </c>
      <c r="N18" s="69">
        <v>115.99</v>
      </c>
      <c r="O18" s="203">
        <v>44833</v>
      </c>
      <c r="P18" s="69">
        <f t="shared" si="1"/>
        <v>115.99</v>
      </c>
      <c r="Q18" s="70" t="s">
        <v>736</v>
      </c>
      <c r="R18" s="71">
        <v>101</v>
      </c>
      <c r="S18" s="105">
        <f t="shared" si="5"/>
        <v>1103.7700000000002</v>
      </c>
    </row>
    <row r="19" spans="1:19" x14ac:dyDescent="0.25">
      <c r="A19" s="122"/>
      <c r="B19" s="183">
        <f t="shared" si="2"/>
        <v>7</v>
      </c>
      <c r="C19" s="15"/>
      <c r="D19" s="694"/>
      <c r="E19" s="695"/>
      <c r="F19" s="694">
        <f t="shared" si="0"/>
        <v>0</v>
      </c>
      <c r="G19" s="696"/>
      <c r="H19" s="388"/>
      <c r="I19" s="105">
        <f t="shared" si="3"/>
        <v>82.530000000000015</v>
      </c>
      <c r="K19" s="122"/>
      <c r="L19" s="183">
        <f t="shared" si="4"/>
        <v>89</v>
      </c>
      <c r="M19" s="15">
        <v>10</v>
      </c>
      <c r="N19" s="69">
        <v>121.05</v>
      </c>
      <c r="O19" s="203">
        <v>44835</v>
      </c>
      <c r="P19" s="69">
        <f t="shared" si="1"/>
        <v>121.05</v>
      </c>
      <c r="Q19" s="70" t="s">
        <v>748</v>
      </c>
      <c r="R19" s="71">
        <v>101</v>
      </c>
      <c r="S19" s="105">
        <f t="shared" si="5"/>
        <v>982.72000000000025</v>
      </c>
    </row>
    <row r="20" spans="1:19" x14ac:dyDescent="0.25">
      <c r="A20" s="122"/>
      <c r="B20" s="183">
        <f t="shared" si="2"/>
        <v>7</v>
      </c>
      <c r="C20" s="15"/>
      <c r="D20" s="694"/>
      <c r="E20" s="695"/>
      <c r="F20" s="911">
        <f t="shared" si="0"/>
        <v>0</v>
      </c>
      <c r="G20" s="893"/>
      <c r="H20" s="892"/>
      <c r="I20" s="894">
        <f t="shared" si="3"/>
        <v>82.530000000000015</v>
      </c>
      <c r="K20" s="122"/>
      <c r="L20" s="183">
        <f t="shared" si="4"/>
        <v>79</v>
      </c>
      <c r="M20" s="15">
        <v>10</v>
      </c>
      <c r="N20" s="69">
        <v>124.58</v>
      </c>
      <c r="O20" s="203">
        <v>44836</v>
      </c>
      <c r="P20" s="69">
        <f t="shared" si="1"/>
        <v>124.58</v>
      </c>
      <c r="Q20" s="70" t="s">
        <v>754</v>
      </c>
      <c r="R20" s="71">
        <v>101</v>
      </c>
      <c r="S20" s="105">
        <f t="shared" si="5"/>
        <v>858.14000000000021</v>
      </c>
    </row>
    <row r="21" spans="1:19" x14ac:dyDescent="0.25">
      <c r="A21" s="122"/>
      <c r="B21" s="183">
        <f t="shared" si="2"/>
        <v>0</v>
      </c>
      <c r="C21" s="15">
        <v>7</v>
      </c>
      <c r="D21" s="59"/>
      <c r="E21" s="210"/>
      <c r="F21" s="912">
        <v>82.53</v>
      </c>
      <c r="G21" s="913"/>
      <c r="H21" s="898"/>
      <c r="I21" s="894">
        <f t="shared" si="3"/>
        <v>0</v>
      </c>
      <c r="K21" s="122"/>
      <c r="L21" s="183">
        <f t="shared" si="4"/>
        <v>79</v>
      </c>
      <c r="M21" s="15"/>
      <c r="N21" s="69"/>
      <c r="O21" s="203"/>
      <c r="P21" s="69">
        <f t="shared" si="1"/>
        <v>0</v>
      </c>
      <c r="Q21" s="70"/>
      <c r="R21" s="71"/>
      <c r="S21" s="105">
        <f t="shared" si="5"/>
        <v>858.14000000000021</v>
      </c>
    </row>
    <row r="22" spans="1:19" x14ac:dyDescent="0.25">
      <c r="A22" s="122"/>
      <c r="B22" s="183">
        <f t="shared" si="2"/>
        <v>0</v>
      </c>
      <c r="C22" s="15"/>
      <c r="D22" s="59"/>
      <c r="E22" s="210"/>
      <c r="F22" s="912">
        <f t="shared" si="0"/>
        <v>0</v>
      </c>
      <c r="G22" s="913"/>
      <c r="H22" s="898"/>
      <c r="I22" s="894">
        <f t="shared" si="3"/>
        <v>0</v>
      </c>
      <c r="K22" s="122"/>
      <c r="L22" s="183">
        <f t="shared" si="4"/>
        <v>79</v>
      </c>
      <c r="M22" s="15"/>
      <c r="N22" s="69"/>
      <c r="O22" s="203"/>
      <c r="P22" s="69">
        <f t="shared" si="1"/>
        <v>0</v>
      </c>
      <c r="Q22" s="70"/>
      <c r="R22" s="71"/>
      <c r="S22" s="105">
        <f t="shared" si="5"/>
        <v>858.14000000000021</v>
      </c>
    </row>
    <row r="23" spans="1:19" x14ac:dyDescent="0.25">
      <c r="A23" s="123"/>
      <c r="B23" s="183">
        <f t="shared" si="2"/>
        <v>0</v>
      </c>
      <c r="C23" s="15"/>
      <c r="D23" s="59"/>
      <c r="E23" s="210"/>
      <c r="F23" s="912">
        <f t="shared" si="0"/>
        <v>0</v>
      </c>
      <c r="G23" s="913"/>
      <c r="H23" s="898"/>
      <c r="I23" s="894">
        <f t="shared" si="3"/>
        <v>0</v>
      </c>
      <c r="K23" s="123"/>
      <c r="L23" s="183">
        <f t="shared" si="4"/>
        <v>79</v>
      </c>
      <c r="M23" s="15"/>
      <c r="N23" s="69"/>
      <c r="O23" s="203"/>
      <c r="P23" s="69">
        <f t="shared" si="1"/>
        <v>0</v>
      </c>
      <c r="Q23" s="70"/>
      <c r="R23" s="71"/>
      <c r="S23" s="105">
        <f t="shared" si="5"/>
        <v>858.14000000000021</v>
      </c>
    </row>
    <row r="24" spans="1:19" x14ac:dyDescent="0.25">
      <c r="A24" s="122"/>
      <c r="B24" s="183">
        <f t="shared" si="2"/>
        <v>0</v>
      </c>
      <c r="C24" s="15"/>
      <c r="D24" s="59"/>
      <c r="E24" s="210"/>
      <c r="F24" s="59">
        <f t="shared" si="0"/>
        <v>0</v>
      </c>
      <c r="G24" s="602"/>
      <c r="H24" s="60"/>
      <c r="I24" s="105">
        <f t="shared" si="3"/>
        <v>0</v>
      </c>
      <c r="K24" s="122"/>
      <c r="L24" s="183">
        <f t="shared" si="4"/>
        <v>79</v>
      </c>
      <c r="M24" s="15"/>
      <c r="N24" s="69"/>
      <c r="O24" s="203"/>
      <c r="P24" s="69">
        <f t="shared" si="1"/>
        <v>0</v>
      </c>
      <c r="Q24" s="70"/>
      <c r="R24" s="71"/>
      <c r="S24" s="105">
        <f t="shared" si="5"/>
        <v>858.14000000000021</v>
      </c>
    </row>
    <row r="25" spans="1:19" x14ac:dyDescent="0.25">
      <c r="A25" s="122"/>
      <c r="B25" s="183">
        <f t="shared" si="2"/>
        <v>0</v>
      </c>
      <c r="C25" s="15"/>
      <c r="D25" s="59"/>
      <c r="E25" s="210"/>
      <c r="F25" s="59">
        <f t="shared" si="0"/>
        <v>0</v>
      </c>
      <c r="G25" s="602"/>
      <c r="H25" s="60"/>
      <c r="I25" s="105">
        <f t="shared" si="3"/>
        <v>0</v>
      </c>
      <c r="K25" s="122"/>
      <c r="L25" s="183">
        <f t="shared" si="4"/>
        <v>79</v>
      </c>
      <c r="M25" s="15"/>
      <c r="N25" s="69"/>
      <c r="O25" s="203"/>
      <c r="P25" s="69">
        <f t="shared" si="1"/>
        <v>0</v>
      </c>
      <c r="Q25" s="70"/>
      <c r="R25" s="71"/>
      <c r="S25" s="105">
        <f t="shared" si="5"/>
        <v>858.14000000000021</v>
      </c>
    </row>
    <row r="26" spans="1:19" x14ac:dyDescent="0.25">
      <c r="A26" s="122"/>
      <c r="B26" s="183">
        <f t="shared" si="2"/>
        <v>0</v>
      </c>
      <c r="C26" s="15"/>
      <c r="D26" s="59"/>
      <c r="E26" s="210"/>
      <c r="F26" s="59">
        <f t="shared" si="0"/>
        <v>0</v>
      </c>
      <c r="G26" s="602"/>
      <c r="H26" s="60"/>
      <c r="I26" s="105">
        <f t="shared" si="3"/>
        <v>0</v>
      </c>
      <c r="K26" s="122"/>
      <c r="L26" s="183">
        <f t="shared" si="4"/>
        <v>79</v>
      </c>
      <c r="M26" s="15"/>
      <c r="N26" s="69"/>
      <c r="O26" s="203"/>
      <c r="P26" s="69">
        <f t="shared" si="1"/>
        <v>0</v>
      </c>
      <c r="Q26" s="70"/>
      <c r="R26" s="71"/>
      <c r="S26" s="105">
        <f t="shared" si="5"/>
        <v>858.14000000000021</v>
      </c>
    </row>
    <row r="27" spans="1:19" x14ac:dyDescent="0.25">
      <c r="A27" s="122"/>
      <c r="B27" s="183">
        <f t="shared" si="2"/>
        <v>0</v>
      </c>
      <c r="C27" s="15"/>
      <c r="D27" s="59"/>
      <c r="E27" s="210"/>
      <c r="F27" s="59">
        <f t="shared" si="0"/>
        <v>0</v>
      </c>
      <c r="G27" s="602"/>
      <c r="H27" s="60"/>
      <c r="I27" s="105">
        <f t="shared" si="3"/>
        <v>0</v>
      </c>
      <c r="K27" s="122"/>
      <c r="L27" s="183">
        <f t="shared" si="4"/>
        <v>79</v>
      </c>
      <c r="M27" s="15"/>
      <c r="N27" s="69"/>
      <c r="O27" s="203"/>
      <c r="P27" s="69">
        <f t="shared" si="1"/>
        <v>0</v>
      </c>
      <c r="Q27" s="70"/>
      <c r="R27" s="71"/>
      <c r="S27" s="105">
        <f t="shared" si="5"/>
        <v>858.14000000000021</v>
      </c>
    </row>
    <row r="28" spans="1:19" x14ac:dyDescent="0.25">
      <c r="A28" s="122"/>
      <c r="B28" s="183">
        <f t="shared" si="2"/>
        <v>0</v>
      </c>
      <c r="C28" s="15"/>
      <c r="D28" s="59"/>
      <c r="E28" s="210"/>
      <c r="F28" s="59">
        <f t="shared" si="0"/>
        <v>0</v>
      </c>
      <c r="G28" s="602"/>
      <c r="H28" s="60"/>
      <c r="I28" s="105">
        <f t="shared" si="3"/>
        <v>0</v>
      </c>
      <c r="K28" s="122"/>
      <c r="L28" s="183">
        <f t="shared" si="4"/>
        <v>79</v>
      </c>
      <c r="M28" s="15"/>
      <c r="N28" s="69"/>
      <c r="O28" s="203"/>
      <c r="P28" s="69">
        <f t="shared" si="1"/>
        <v>0</v>
      </c>
      <c r="Q28" s="70"/>
      <c r="R28" s="71"/>
      <c r="S28" s="105">
        <f t="shared" si="5"/>
        <v>858.14000000000021</v>
      </c>
    </row>
    <row r="29" spans="1:19" x14ac:dyDescent="0.25">
      <c r="A29" s="122"/>
      <c r="B29" s="183">
        <f t="shared" si="2"/>
        <v>0</v>
      </c>
      <c r="C29" s="15"/>
      <c r="D29" s="59"/>
      <c r="E29" s="210"/>
      <c r="F29" s="59">
        <f t="shared" si="0"/>
        <v>0</v>
      </c>
      <c r="G29" s="602"/>
      <c r="H29" s="60"/>
      <c r="I29" s="105">
        <f t="shared" si="3"/>
        <v>0</v>
      </c>
      <c r="K29" s="122"/>
      <c r="L29" s="183">
        <f t="shared" si="4"/>
        <v>79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858.14000000000021</v>
      </c>
    </row>
    <row r="30" spans="1:19" x14ac:dyDescent="0.25">
      <c r="A30" s="122"/>
      <c r="B30" s="183">
        <f t="shared" si="2"/>
        <v>0</v>
      </c>
      <c r="C30" s="15"/>
      <c r="D30" s="59"/>
      <c r="E30" s="210"/>
      <c r="F30" s="59">
        <f t="shared" si="0"/>
        <v>0</v>
      </c>
      <c r="G30" s="602"/>
      <c r="H30" s="60"/>
      <c r="I30" s="105">
        <f t="shared" si="3"/>
        <v>0</v>
      </c>
      <c r="K30" s="122"/>
      <c r="L30" s="183">
        <f t="shared" si="4"/>
        <v>79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858.14000000000021</v>
      </c>
    </row>
    <row r="31" spans="1:19" x14ac:dyDescent="0.25">
      <c r="A31" s="122"/>
      <c r="B31" s="183">
        <f t="shared" si="2"/>
        <v>0</v>
      </c>
      <c r="C31" s="15"/>
      <c r="D31" s="59"/>
      <c r="E31" s="210"/>
      <c r="F31" s="59">
        <f t="shared" si="0"/>
        <v>0</v>
      </c>
      <c r="G31" s="602"/>
      <c r="H31" s="60"/>
      <c r="I31" s="105">
        <f t="shared" si="3"/>
        <v>0</v>
      </c>
      <c r="K31" s="122"/>
      <c r="L31" s="183">
        <f t="shared" si="4"/>
        <v>79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858.14000000000021</v>
      </c>
    </row>
    <row r="32" spans="1:19" x14ac:dyDescent="0.25">
      <c r="A32" s="122"/>
      <c r="B32" s="183">
        <f t="shared" si="2"/>
        <v>0</v>
      </c>
      <c r="C32" s="15"/>
      <c r="D32" s="59"/>
      <c r="E32" s="210"/>
      <c r="F32" s="59">
        <f t="shared" si="0"/>
        <v>0</v>
      </c>
      <c r="G32" s="602"/>
      <c r="H32" s="60"/>
      <c r="I32" s="105">
        <f t="shared" si="3"/>
        <v>0</v>
      </c>
      <c r="K32" s="122"/>
      <c r="L32" s="183">
        <f t="shared" si="4"/>
        <v>79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858.14000000000021</v>
      </c>
    </row>
    <row r="33" spans="1:19" x14ac:dyDescent="0.25">
      <c r="A33" s="122"/>
      <c r="B33" s="183">
        <f t="shared" si="2"/>
        <v>0</v>
      </c>
      <c r="C33" s="15"/>
      <c r="D33" s="59"/>
      <c r="E33" s="210"/>
      <c r="F33" s="59">
        <f t="shared" si="0"/>
        <v>0</v>
      </c>
      <c r="G33" s="602"/>
      <c r="H33" s="60"/>
      <c r="I33" s="105">
        <f t="shared" si="3"/>
        <v>0</v>
      </c>
      <c r="K33" s="122"/>
      <c r="L33" s="183">
        <f t="shared" si="4"/>
        <v>79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858.14000000000021</v>
      </c>
    </row>
    <row r="34" spans="1:19" x14ac:dyDescent="0.25">
      <c r="A34" s="122"/>
      <c r="B34" s="183">
        <f t="shared" si="2"/>
        <v>0</v>
      </c>
      <c r="C34" s="15"/>
      <c r="D34" s="59"/>
      <c r="E34" s="210"/>
      <c r="F34" s="59">
        <f t="shared" si="0"/>
        <v>0</v>
      </c>
      <c r="G34" s="602"/>
      <c r="H34" s="60"/>
      <c r="I34" s="105">
        <f t="shared" si="3"/>
        <v>0</v>
      </c>
      <c r="K34" s="122"/>
      <c r="L34" s="183">
        <f t="shared" si="4"/>
        <v>79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858.14000000000021</v>
      </c>
    </row>
    <row r="35" spans="1:19" x14ac:dyDescent="0.25">
      <c r="A35" s="122"/>
      <c r="B35" s="183">
        <f t="shared" si="2"/>
        <v>0</v>
      </c>
      <c r="C35" s="15"/>
      <c r="D35" s="59"/>
      <c r="E35" s="210"/>
      <c r="F35" s="59">
        <f t="shared" si="0"/>
        <v>0</v>
      </c>
      <c r="G35" s="602"/>
      <c r="H35" s="60"/>
      <c r="I35" s="105">
        <f t="shared" si="3"/>
        <v>0</v>
      </c>
      <c r="K35" s="122"/>
      <c r="L35" s="183">
        <f t="shared" si="4"/>
        <v>79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858.14000000000021</v>
      </c>
    </row>
    <row r="36" spans="1:19" x14ac:dyDescent="0.25">
      <c r="A36" s="122" t="s">
        <v>22</v>
      </c>
      <c r="B36" s="183">
        <f t="shared" si="2"/>
        <v>0</v>
      </c>
      <c r="C36" s="15"/>
      <c r="D36" s="59"/>
      <c r="E36" s="210"/>
      <c r="F36" s="59">
        <f t="shared" si="0"/>
        <v>0</v>
      </c>
      <c r="G36" s="602"/>
      <c r="H36" s="60"/>
      <c r="I36" s="105">
        <f t="shared" si="3"/>
        <v>0</v>
      </c>
      <c r="K36" s="122" t="s">
        <v>22</v>
      </c>
      <c r="L36" s="183">
        <f t="shared" si="4"/>
        <v>79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858.14000000000021</v>
      </c>
    </row>
    <row r="37" spans="1:19" x14ac:dyDescent="0.25">
      <c r="A37" s="123"/>
      <c r="B37" s="183">
        <f t="shared" si="2"/>
        <v>0</v>
      </c>
      <c r="C37" s="15"/>
      <c r="D37" s="59"/>
      <c r="E37" s="210"/>
      <c r="F37" s="59">
        <f t="shared" si="0"/>
        <v>0</v>
      </c>
      <c r="G37" s="602"/>
      <c r="H37" s="60"/>
      <c r="I37" s="105">
        <f t="shared" si="3"/>
        <v>0</v>
      </c>
      <c r="K37" s="123"/>
      <c r="L37" s="183">
        <f t="shared" si="4"/>
        <v>79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858.14000000000021</v>
      </c>
    </row>
    <row r="38" spans="1:19" x14ac:dyDescent="0.25">
      <c r="A38" s="122"/>
      <c r="B38" s="183">
        <f t="shared" si="2"/>
        <v>0</v>
      </c>
      <c r="C38" s="15"/>
      <c r="D38" s="59"/>
      <c r="E38" s="210"/>
      <c r="F38" s="59">
        <f t="shared" si="0"/>
        <v>0</v>
      </c>
      <c r="G38" s="602"/>
      <c r="H38" s="60"/>
      <c r="I38" s="105">
        <f t="shared" si="3"/>
        <v>0</v>
      </c>
      <c r="K38" s="122"/>
      <c r="L38" s="183">
        <f t="shared" si="4"/>
        <v>79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858.14000000000021</v>
      </c>
    </row>
    <row r="39" spans="1:19" x14ac:dyDescent="0.25">
      <c r="A39" s="122"/>
      <c r="B39" s="183">
        <f t="shared" si="2"/>
        <v>0</v>
      </c>
      <c r="C39" s="15"/>
      <c r="D39" s="59"/>
      <c r="E39" s="210"/>
      <c r="F39" s="59">
        <f t="shared" si="0"/>
        <v>0</v>
      </c>
      <c r="G39" s="602"/>
      <c r="H39" s="60"/>
      <c r="I39" s="105">
        <f t="shared" si="3"/>
        <v>0</v>
      </c>
      <c r="K39" s="122"/>
      <c r="L39" s="183">
        <f t="shared" si="4"/>
        <v>79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858.14000000000021</v>
      </c>
    </row>
    <row r="40" spans="1:19" x14ac:dyDescent="0.25">
      <c r="A40" s="122"/>
      <c r="B40" s="183">
        <f t="shared" si="2"/>
        <v>0</v>
      </c>
      <c r="C40" s="15"/>
      <c r="D40" s="59"/>
      <c r="E40" s="210"/>
      <c r="F40" s="59">
        <f t="shared" si="0"/>
        <v>0</v>
      </c>
      <c r="G40" s="602"/>
      <c r="H40" s="60"/>
      <c r="I40" s="105">
        <f t="shared" si="3"/>
        <v>0</v>
      </c>
      <c r="K40" s="122"/>
      <c r="L40" s="183">
        <f t="shared" si="4"/>
        <v>79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858.14000000000021</v>
      </c>
    </row>
    <row r="41" spans="1:19" x14ac:dyDescent="0.25">
      <c r="A41" s="122"/>
      <c r="B41" s="183">
        <f t="shared" si="2"/>
        <v>0</v>
      </c>
      <c r="C41" s="15"/>
      <c r="D41" s="59"/>
      <c r="E41" s="210"/>
      <c r="F41" s="59">
        <f t="shared" si="0"/>
        <v>0</v>
      </c>
      <c r="G41" s="602"/>
      <c r="H41" s="60"/>
      <c r="I41" s="105">
        <f t="shared" si="3"/>
        <v>0</v>
      </c>
      <c r="K41" s="122"/>
      <c r="L41" s="183">
        <f t="shared" si="4"/>
        <v>79</v>
      </c>
      <c r="M41" s="15"/>
      <c r="N41" s="69"/>
      <c r="O41" s="203"/>
      <c r="P41" s="69">
        <f t="shared" si="1"/>
        <v>0</v>
      </c>
      <c r="Q41" s="70"/>
      <c r="R41" s="71"/>
      <c r="S41" s="105">
        <f t="shared" si="5"/>
        <v>858.14000000000021</v>
      </c>
    </row>
    <row r="42" spans="1:19" x14ac:dyDescent="0.25">
      <c r="A42" s="122"/>
      <c r="B42" s="183">
        <f t="shared" si="2"/>
        <v>0</v>
      </c>
      <c r="C42" s="15"/>
      <c r="D42" s="59"/>
      <c r="E42" s="210"/>
      <c r="F42" s="59">
        <f t="shared" si="0"/>
        <v>0</v>
      </c>
      <c r="G42" s="602"/>
      <c r="H42" s="60"/>
      <c r="I42" s="105">
        <f t="shared" si="3"/>
        <v>0</v>
      </c>
      <c r="K42" s="122"/>
      <c r="L42" s="183">
        <f t="shared" si="4"/>
        <v>79</v>
      </c>
      <c r="M42" s="15"/>
      <c r="N42" s="69"/>
      <c r="O42" s="203"/>
      <c r="P42" s="69">
        <f t="shared" si="1"/>
        <v>0</v>
      </c>
      <c r="Q42" s="70"/>
      <c r="R42" s="71"/>
      <c r="S42" s="105">
        <f t="shared" si="5"/>
        <v>858.14000000000021</v>
      </c>
    </row>
    <row r="43" spans="1:19" x14ac:dyDescent="0.25">
      <c r="A43" s="122"/>
      <c r="B43" s="183">
        <f t="shared" si="2"/>
        <v>0</v>
      </c>
      <c r="C43" s="15"/>
      <c r="D43" s="69"/>
      <c r="E43" s="203"/>
      <c r="F43" s="69">
        <f t="shared" si="0"/>
        <v>0</v>
      </c>
      <c r="G43" s="70"/>
      <c r="H43" s="71"/>
      <c r="I43" s="105">
        <f t="shared" si="3"/>
        <v>0</v>
      </c>
      <c r="K43" s="122"/>
      <c r="L43" s="183">
        <f t="shared" si="4"/>
        <v>79</v>
      </c>
      <c r="M43" s="15"/>
      <c r="N43" s="69"/>
      <c r="O43" s="203"/>
      <c r="P43" s="69">
        <f t="shared" si="1"/>
        <v>0</v>
      </c>
      <c r="Q43" s="70"/>
      <c r="R43" s="71"/>
      <c r="S43" s="105">
        <f t="shared" si="5"/>
        <v>858.14000000000021</v>
      </c>
    </row>
    <row r="44" spans="1:19" x14ac:dyDescent="0.25">
      <c r="A44" s="122"/>
      <c r="B44" s="183">
        <f t="shared" si="2"/>
        <v>0</v>
      </c>
      <c r="C44" s="15"/>
      <c r="D44" s="69"/>
      <c r="E44" s="203"/>
      <c r="F44" s="69">
        <f t="shared" si="0"/>
        <v>0</v>
      </c>
      <c r="G44" s="70"/>
      <c r="H44" s="71"/>
      <c r="I44" s="105">
        <f t="shared" si="3"/>
        <v>0</v>
      </c>
      <c r="K44" s="122"/>
      <c r="L44" s="183">
        <f t="shared" si="4"/>
        <v>79</v>
      </c>
      <c r="M44" s="15"/>
      <c r="N44" s="69"/>
      <c r="O44" s="203"/>
      <c r="P44" s="69">
        <f t="shared" si="1"/>
        <v>0</v>
      </c>
      <c r="Q44" s="70"/>
      <c r="R44" s="71"/>
      <c r="S44" s="105">
        <f t="shared" si="5"/>
        <v>858.14000000000021</v>
      </c>
    </row>
    <row r="45" spans="1:19" x14ac:dyDescent="0.25">
      <c r="A45" s="122"/>
      <c r="B45" s="183">
        <f t="shared" si="2"/>
        <v>0</v>
      </c>
      <c r="C45" s="15"/>
      <c r="D45" s="69"/>
      <c r="E45" s="203"/>
      <c r="F45" s="69">
        <f t="shared" si="0"/>
        <v>0</v>
      </c>
      <c r="G45" s="70"/>
      <c r="H45" s="71"/>
      <c r="I45" s="105">
        <f t="shared" si="3"/>
        <v>0</v>
      </c>
      <c r="K45" s="122"/>
      <c r="L45" s="183">
        <f t="shared" si="4"/>
        <v>79</v>
      </c>
      <c r="M45" s="15"/>
      <c r="N45" s="69"/>
      <c r="O45" s="203"/>
      <c r="P45" s="69">
        <f t="shared" si="1"/>
        <v>0</v>
      </c>
      <c r="Q45" s="70"/>
      <c r="R45" s="71"/>
      <c r="S45" s="105">
        <f t="shared" si="5"/>
        <v>858.14000000000021</v>
      </c>
    </row>
    <row r="46" spans="1:19" x14ac:dyDescent="0.25">
      <c r="A46" s="122"/>
      <c r="B46" s="183">
        <f t="shared" si="2"/>
        <v>0</v>
      </c>
      <c r="C46" s="15"/>
      <c r="D46" s="69"/>
      <c r="E46" s="203"/>
      <c r="F46" s="69">
        <f t="shared" si="0"/>
        <v>0</v>
      </c>
      <c r="G46" s="70"/>
      <c r="H46" s="71"/>
      <c r="I46" s="105">
        <f t="shared" si="3"/>
        <v>0</v>
      </c>
      <c r="K46" s="122"/>
      <c r="L46" s="183">
        <f t="shared" si="4"/>
        <v>79</v>
      </c>
      <c r="M46" s="15"/>
      <c r="N46" s="69"/>
      <c r="O46" s="203"/>
      <c r="P46" s="69">
        <f t="shared" si="1"/>
        <v>0</v>
      </c>
      <c r="Q46" s="70"/>
      <c r="R46" s="71"/>
      <c r="S46" s="105">
        <f t="shared" si="5"/>
        <v>858.14000000000021</v>
      </c>
    </row>
    <row r="47" spans="1:19" x14ac:dyDescent="0.25">
      <c r="A47" s="122"/>
      <c r="B47" s="183">
        <f t="shared" si="2"/>
        <v>0</v>
      </c>
      <c r="C47" s="15"/>
      <c r="D47" s="69"/>
      <c r="E47" s="203"/>
      <c r="F47" s="69">
        <f t="shared" si="0"/>
        <v>0</v>
      </c>
      <c r="G47" s="70"/>
      <c r="H47" s="71"/>
      <c r="I47" s="105">
        <f t="shared" si="3"/>
        <v>0</v>
      </c>
      <c r="K47" s="122"/>
      <c r="L47" s="183">
        <f t="shared" si="4"/>
        <v>79</v>
      </c>
      <c r="M47" s="15"/>
      <c r="N47" s="69"/>
      <c r="O47" s="203"/>
      <c r="P47" s="69">
        <f t="shared" si="1"/>
        <v>0</v>
      </c>
      <c r="Q47" s="70"/>
      <c r="R47" s="71"/>
      <c r="S47" s="105">
        <f t="shared" si="5"/>
        <v>858.14000000000021</v>
      </c>
    </row>
    <row r="48" spans="1:19" x14ac:dyDescent="0.25">
      <c r="A48" s="122"/>
      <c r="B48" s="183">
        <f t="shared" si="2"/>
        <v>0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3"/>
        <v>0</v>
      </c>
      <c r="K48" s="122"/>
      <c r="L48" s="183">
        <f t="shared" si="4"/>
        <v>79</v>
      </c>
      <c r="M48" s="15"/>
      <c r="N48" s="69"/>
      <c r="O48" s="203"/>
      <c r="P48" s="69">
        <f t="shared" si="1"/>
        <v>0</v>
      </c>
      <c r="Q48" s="70"/>
      <c r="R48" s="71"/>
      <c r="S48" s="105">
        <f t="shared" si="5"/>
        <v>858.14000000000021</v>
      </c>
    </row>
    <row r="49" spans="1:19" x14ac:dyDescent="0.25">
      <c r="A49" s="122"/>
      <c r="B49" s="183">
        <f t="shared" si="2"/>
        <v>0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3"/>
        <v>0</v>
      </c>
      <c r="K49" s="122"/>
      <c r="L49" s="183">
        <f t="shared" si="4"/>
        <v>79</v>
      </c>
      <c r="M49" s="15"/>
      <c r="N49" s="69"/>
      <c r="O49" s="203"/>
      <c r="P49" s="69">
        <f t="shared" si="1"/>
        <v>0</v>
      </c>
      <c r="Q49" s="70"/>
      <c r="R49" s="71"/>
      <c r="S49" s="105">
        <f t="shared" si="5"/>
        <v>858.14000000000021</v>
      </c>
    </row>
    <row r="50" spans="1:19" x14ac:dyDescent="0.25">
      <c r="A50" s="122"/>
      <c r="B50" s="183">
        <f t="shared" si="2"/>
        <v>0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3"/>
        <v>0</v>
      </c>
      <c r="K50" s="122"/>
      <c r="L50" s="183">
        <f t="shared" si="4"/>
        <v>79</v>
      </c>
      <c r="M50" s="15"/>
      <c r="N50" s="69"/>
      <c r="O50" s="203"/>
      <c r="P50" s="69">
        <f t="shared" si="1"/>
        <v>0</v>
      </c>
      <c r="Q50" s="70"/>
      <c r="R50" s="71"/>
      <c r="S50" s="105">
        <f t="shared" si="5"/>
        <v>858.14000000000021</v>
      </c>
    </row>
    <row r="51" spans="1:19" x14ac:dyDescent="0.25">
      <c r="A51" s="122"/>
      <c r="B51" s="183">
        <f t="shared" si="2"/>
        <v>0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3"/>
        <v>0</v>
      </c>
      <c r="K51" s="122"/>
      <c r="L51" s="183">
        <f t="shared" si="4"/>
        <v>79</v>
      </c>
      <c r="M51" s="15"/>
      <c r="N51" s="69"/>
      <c r="O51" s="203"/>
      <c r="P51" s="69">
        <f t="shared" si="1"/>
        <v>0</v>
      </c>
      <c r="Q51" s="70"/>
      <c r="R51" s="71"/>
      <c r="S51" s="105">
        <f t="shared" si="5"/>
        <v>858.14000000000021</v>
      </c>
    </row>
    <row r="52" spans="1:19" x14ac:dyDescent="0.25">
      <c r="A52" s="122"/>
      <c r="B52" s="183">
        <f t="shared" si="2"/>
        <v>0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3"/>
        <v>0</v>
      </c>
      <c r="K52" s="122"/>
      <c r="L52" s="183">
        <f t="shared" si="4"/>
        <v>79</v>
      </c>
      <c r="M52" s="15"/>
      <c r="N52" s="69"/>
      <c r="O52" s="203"/>
      <c r="P52" s="69">
        <f t="shared" si="1"/>
        <v>0</v>
      </c>
      <c r="Q52" s="70"/>
      <c r="R52" s="71"/>
      <c r="S52" s="105">
        <f t="shared" si="5"/>
        <v>858.14000000000021</v>
      </c>
    </row>
    <row r="53" spans="1:19" x14ac:dyDescent="0.25">
      <c r="A53" s="122"/>
      <c r="B53" s="183">
        <f t="shared" si="2"/>
        <v>0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3"/>
        <v>0</v>
      </c>
      <c r="K53" s="122"/>
      <c r="L53" s="183">
        <f t="shared" si="4"/>
        <v>79</v>
      </c>
      <c r="M53" s="15"/>
      <c r="N53" s="69"/>
      <c r="O53" s="203"/>
      <c r="P53" s="69">
        <f t="shared" si="1"/>
        <v>0</v>
      </c>
      <c r="Q53" s="70"/>
      <c r="R53" s="71"/>
      <c r="S53" s="105">
        <f t="shared" si="5"/>
        <v>858.14000000000021</v>
      </c>
    </row>
    <row r="54" spans="1:19" x14ac:dyDescent="0.25">
      <c r="A54" s="122"/>
      <c r="B54" s="183">
        <f t="shared" si="2"/>
        <v>0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3"/>
        <v>0</v>
      </c>
      <c r="K54" s="122"/>
      <c r="L54" s="183">
        <f t="shared" si="4"/>
        <v>79</v>
      </c>
      <c r="M54" s="15"/>
      <c r="N54" s="69"/>
      <c r="O54" s="203"/>
      <c r="P54" s="69">
        <f t="shared" si="1"/>
        <v>0</v>
      </c>
      <c r="Q54" s="70"/>
      <c r="R54" s="71"/>
      <c r="S54" s="105">
        <f t="shared" si="5"/>
        <v>858.14000000000021</v>
      </c>
    </row>
    <row r="55" spans="1:19" x14ac:dyDescent="0.25">
      <c r="A55" s="122"/>
      <c r="B55" s="183">
        <f t="shared" si="2"/>
        <v>0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3"/>
        <v>0</v>
      </c>
      <c r="K55" s="122"/>
      <c r="L55" s="183">
        <f t="shared" si="4"/>
        <v>79</v>
      </c>
      <c r="M55" s="15"/>
      <c r="N55" s="69"/>
      <c r="O55" s="203"/>
      <c r="P55" s="69">
        <f t="shared" si="1"/>
        <v>0</v>
      </c>
      <c r="Q55" s="70"/>
      <c r="R55" s="71"/>
      <c r="S55" s="105">
        <f t="shared" si="5"/>
        <v>858.14000000000021</v>
      </c>
    </row>
    <row r="56" spans="1:19" x14ac:dyDescent="0.25">
      <c r="A56" s="122"/>
      <c r="B56" s="183">
        <f t="shared" si="2"/>
        <v>0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3"/>
        <v>0</v>
      </c>
      <c r="K56" s="122"/>
      <c r="L56" s="183">
        <f t="shared" si="4"/>
        <v>79</v>
      </c>
      <c r="M56" s="15"/>
      <c r="N56" s="69"/>
      <c r="O56" s="203"/>
      <c r="P56" s="69">
        <f t="shared" si="1"/>
        <v>0</v>
      </c>
      <c r="Q56" s="70"/>
      <c r="R56" s="71"/>
      <c r="S56" s="105">
        <f t="shared" si="5"/>
        <v>858.14000000000021</v>
      </c>
    </row>
    <row r="57" spans="1:19" x14ac:dyDescent="0.25">
      <c r="A57" s="122"/>
      <c r="B57" s="183">
        <f t="shared" si="2"/>
        <v>0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3"/>
        <v>0</v>
      </c>
      <c r="K57" s="122"/>
      <c r="L57" s="183">
        <f t="shared" si="4"/>
        <v>79</v>
      </c>
      <c r="M57" s="15"/>
      <c r="N57" s="69"/>
      <c r="O57" s="203"/>
      <c r="P57" s="69">
        <f t="shared" si="1"/>
        <v>0</v>
      </c>
      <c r="Q57" s="70"/>
      <c r="R57" s="71"/>
      <c r="S57" s="105">
        <f t="shared" si="5"/>
        <v>858.14000000000021</v>
      </c>
    </row>
    <row r="58" spans="1:19" x14ac:dyDescent="0.25">
      <c r="A58" s="122"/>
      <c r="B58" s="183">
        <f t="shared" si="2"/>
        <v>0</v>
      </c>
      <c r="C58" s="15"/>
      <c r="D58" s="69"/>
      <c r="E58" s="203"/>
      <c r="F58" s="69">
        <f t="shared" si="0"/>
        <v>0</v>
      </c>
      <c r="G58" s="70"/>
      <c r="H58" s="71"/>
      <c r="I58" s="105">
        <f t="shared" si="3"/>
        <v>0</v>
      </c>
      <c r="K58" s="122"/>
      <c r="L58" s="183">
        <f t="shared" si="4"/>
        <v>79</v>
      </c>
      <c r="M58" s="15"/>
      <c r="N58" s="69"/>
      <c r="O58" s="203"/>
      <c r="P58" s="69">
        <f t="shared" si="1"/>
        <v>0</v>
      </c>
      <c r="Q58" s="70"/>
      <c r="R58" s="71"/>
      <c r="S58" s="105">
        <f t="shared" si="5"/>
        <v>858.14000000000021</v>
      </c>
    </row>
    <row r="59" spans="1:19" x14ac:dyDescent="0.25">
      <c r="A59" s="122"/>
      <c r="B59" s="183">
        <f t="shared" si="2"/>
        <v>0</v>
      </c>
      <c r="C59" s="15"/>
      <c r="D59" s="69"/>
      <c r="E59" s="203"/>
      <c r="F59" s="69">
        <f t="shared" si="0"/>
        <v>0</v>
      </c>
      <c r="G59" s="70"/>
      <c r="H59" s="71"/>
      <c r="I59" s="105">
        <f t="shared" si="3"/>
        <v>0</v>
      </c>
      <c r="K59" s="122"/>
      <c r="L59" s="183">
        <f t="shared" si="4"/>
        <v>79</v>
      </c>
      <c r="M59" s="15"/>
      <c r="N59" s="69"/>
      <c r="O59" s="203"/>
      <c r="P59" s="69">
        <f t="shared" si="1"/>
        <v>0</v>
      </c>
      <c r="Q59" s="70"/>
      <c r="R59" s="71"/>
      <c r="S59" s="105">
        <f t="shared" si="5"/>
        <v>858.14000000000021</v>
      </c>
    </row>
    <row r="60" spans="1:19" x14ac:dyDescent="0.25">
      <c r="A60" s="122"/>
      <c r="B60" s="183">
        <f t="shared" si="2"/>
        <v>0</v>
      </c>
      <c r="C60" s="15"/>
      <c r="D60" s="69"/>
      <c r="E60" s="203"/>
      <c r="F60" s="69">
        <f t="shared" si="0"/>
        <v>0</v>
      </c>
      <c r="G60" s="70"/>
      <c r="H60" s="71"/>
      <c r="I60" s="105">
        <f t="shared" si="3"/>
        <v>0</v>
      </c>
      <c r="K60" s="122"/>
      <c r="L60" s="183">
        <f t="shared" si="4"/>
        <v>79</v>
      </c>
      <c r="M60" s="15"/>
      <c r="N60" s="69"/>
      <c r="O60" s="203"/>
      <c r="P60" s="69">
        <f t="shared" si="1"/>
        <v>0</v>
      </c>
      <c r="Q60" s="70"/>
      <c r="R60" s="71"/>
      <c r="S60" s="105">
        <f t="shared" si="5"/>
        <v>858.14000000000021</v>
      </c>
    </row>
    <row r="61" spans="1:19" x14ac:dyDescent="0.25">
      <c r="A61" s="122"/>
      <c r="B61" s="183">
        <f t="shared" si="2"/>
        <v>0</v>
      </c>
      <c r="C61" s="15"/>
      <c r="D61" s="69"/>
      <c r="E61" s="203"/>
      <c r="F61" s="69">
        <f t="shared" si="0"/>
        <v>0</v>
      </c>
      <c r="G61" s="70"/>
      <c r="H61" s="71"/>
      <c r="I61" s="105">
        <f t="shared" si="3"/>
        <v>0</v>
      </c>
      <c r="K61" s="122"/>
      <c r="L61" s="183">
        <f t="shared" si="4"/>
        <v>79</v>
      </c>
      <c r="M61" s="15"/>
      <c r="N61" s="69"/>
      <c r="O61" s="203"/>
      <c r="P61" s="69">
        <f t="shared" si="1"/>
        <v>0</v>
      </c>
      <c r="Q61" s="70"/>
      <c r="R61" s="71"/>
      <c r="S61" s="105">
        <f t="shared" si="5"/>
        <v>858.14000000000021</v>
      </c>
    </row>
    <row r="62" spans="1:19" x14ac:dyDescent="0.25">
      <c r="A62" s="122"/>
      <c r="B62" s="183">
        <f t="shared" si="2"/>
        <v>0</v>
      </c>
      <c r="C62" s="15"/>
      <c r="D62" s="69"/>
      <c r="E62" s="203"/>
      <c r="F62" s="69">
        <f t="shared" si="0"/>
        <v>0</v>
      </c>
      <c r="G62" s="70"/>
      <c r="H62" s="71"/>
      <c r="I62" s="105">
        <f t="shared" si="3"/>
        <v>0</v>
      </c>
      <c r="K62" s="122"/>
      <c r="L62" s="183">
        <f t="shared" si="4"/>
        <v>79</v>
      </c>
      <c r="M62" s="15"/>
      <c r="N62" s="69"/>
      <c r="O62" s="203"/>
      <c r="P62" s="69">
        <f t="shared" si="1"/>
        <v>0</v>
      </c>
      <c r="Q62" s="70"/>
      <c r="R62" s="71"/>
      <c r="S62" s="105">
        <f t="shared" si="5"/>
        <v>858.14000000000021</v>
      </c>
    </row>
    <row r="63" spans="1:19" x14ac:dyDescent="0.25">
      <c r="A63" s="122"/>
      <c r="B63" s="183">
        <f t="shared" si="2"/>
        <v>0</v>
      </c>
      <c r="C63" s="15"/>
      <c r="D63" s="69"/>
      <c r="E63" s="203"/>
      <c r="F63" s="69">
        <f t="shared" si="0"/>
        <v>0</v>
      </c>
      <c r="G63" s="70"/>
      <c r="H63" s="71"/>
      <c r="I63" s="105">
        <f t="shared" si="3"/>
        <v>0</v>
      </c>
      <c r="K63" s="122"/>
      <c r="L63" s="183">
        <f t="shared" si="4"/>
        <v>79</v>
      </c>
      <c r="M63" s="15"/>
      <c r="N63" s="69"/>
      <c r="O63" s="203"/>
      <c r="P63" s="69">
        <f t="shared" si="1"/>
        <v>0</v>
      </c>
      <c r="Q63" s="70"/>
      <c r="R63" s="71"/>
      <c r="S63" s="105">
        <f t="shared" si="5"/>
        <v>858.14000000000021</v>
      </c>
    </row>
    <row r="64" spans="1:19" x14ac:dyDescent="0.25">
      <c r="A64" s="122"/>
      <c r="B64" s="183">
        <f t="shared" si="2"/>
        <v>0</v>
      </c>
      <c r="C64" s="15"/>
      <c r="D64" s="69"/>
      <c r="E64" s="203"/>
      <c r="F64" s="69">
        <f t="shared" si="0"/>
        <v>0</v>
      </c>
      <c r="G64" s="70"/>
      <c r="H64" s="71"/>
      <c r="I64" s="105">
        <f t="shared" si="3"/>
        <v>0</v>
      </c>
      <c r="K64" s="122"/>
      <c r="L64" s="183">
        <f t="shared" si="4"/>
        <v>79</v>
      </c>
      <c r="M64" s="15"/>
      <c r="N64" s="69"/>
      <c r="O64" s="203"/>
      <c r="P64" s="69">
        <f t="shared" si="1"/>
        <v>0</v>
      </c>
      <c r="Q64" s="70"/>
      <c r="R64" s="71"/>
      <c r="S64" s="105">
        <f t="shared" si="5"/>
        <v>858.14000000000021</v>
      </c>
    </row>
    <row r="65" spans="1:19" x14ac:dyDescent="0.25">
      <c r="A65" s="122"/>
      <c r="B65" s="183">
        <f t="shared" si="2"/>
        <v>0</v>
      </c>
      <c r="C65" s="15"/>
      <c r="D65" s="69"/>
      <c r="E65" s="203"/>
      <c r="F65" s="69">
        <f t="shared" si="0"/>
        <v>0</v>
      </c>
      <c r="G65" s="70"/>
      <c r="H65" s="71"/>
      <c r="I65" s="105">
        <f t="shared" si="3"/>
        <v>0</v>
      </c>
      <c r="K65" s="122"/>
      <c r="L65" s="183">
        <f t="shared" si="4"/>
        <v>79</v>
      </c>
      <c r="M65" s="15"/>
      <c r="N65" s="69"/>
      <c r="O65" s="203"/>
      <c r="P65" s="69">
        <f t="shared" si="1"/>
        <v>0</v>
      </c>
      <c r="Q65" s="70"/>
      <c r="R65" s="71"/>
      <c r="S65" s="105">
        <f t="shared" si="5"/>
        <v>858.14000000000021</v>
      </c>
    </row>
    <row r="66" spans="1:19" x14ac:dyDescent="0.25">
      <c r="A66" s="122"/>
      <c r="B66" s="183">
        <f t="shared" si="2"/>
        <v>0</v>
      </c>
      <c r="C66" s="15"/>
      <c r="D66" s="69"/>
      <c r="E66" s="203"/>
      <c r="F66" s="69">
        <f t="shared" si="0"/>
        <v>0</v>
      </c>
      <c r="G66" s="70"/>
      <c r="H66" s="71"/>
      <c r="I66" s="105">
        <f t="shared" si="3"/>
        <v>0</v>
      </c>
      <c r="K66" s="122"/>
      <c r="L66" s="183">
        <f t="shared" si="4"/>
        <v>79</v>
      </c>
      <c r="M66" s="15"/>
      <c r="N66" s="69"/>
      <c r="O66" s="203"/>
      <c r="P66" s="69">
        <f t="shared" si="1"/>
        <v>0</v>
      </c>
      <c r="Q66" s="70"/>
      <c r="R66" s="71"/>
      <c r="S66" s="105">
        <f t="shared" si="5"/>
        <v>858.14000000000021</v>
      </c>
    </row>
    <row r="67" spans="1:19" x14ac:dyDescent="0.25">
      <c r="A67" s="122"/>
      <c r="B67" s="183">
        <f t="shared" si="2"/>
        <v>0</v>
      </c>
      <c r="C67" s="15"/>
      <c r="D67" s="69"/>
      <c r="E67" s="203"/>
      <c r="F67" s="69">
        <f t="shared" si="0"/>
        <v>0</v>
      </c>
      <c r="G67" s="70"/>
      <c r="H67" s="71"/>
      <c r="I67" s="105">
        <f t="shared" si="3"/>
        <v>0</v>
      </c>
      <c r="K67" s="122"/>
      <c r="L67" s="183">
        <f t="shared" si="4"/>
        <v>79</v>
      </c>
      <c r="M67" s="15"/>
      <c r="N67" s="69"/>
      <c r="O67" s="203"/>
      <c r="P67" s="69">
        <f t="shared" si="1"/>
        <v>0</v>
      </c>
      <c r="Q67" s="70"/>
      <c r="R67" s="71"/>
      <c r="S67" s="105">
        <f t="shared" si="5"/>
        <v>858.14000000000021</v>
      </c>
    </row>
    <row r="68" spans="1:19" x14ac:dyDescent="0.25">
      <c r="A68" s="122"/>
      <c r="B68" s="183">
        <f t="shared" si="2"/>
        <v>0</v>
      </c>
      <c r="C68" s="15"/>
      <c r="D68" s="59"/>
      <c r="E68" s="210"/>
      <c r="F68" s="69">
        <f t="shared" si="0"/>
        <v>0</v>
      </c>
      <c r="G68" s="70"/>
      <c r="H68" s="71"/>
      <c r="I68" s="105">
        <f t="shared" si="3"/>
        <v>0</v>
      </c>
      <c r="K68" s="122"/>
      <c r="L68" s="183">
        <f t="shared" si="4"/>
        <v>79</v>
      </c>
      <c r="M68" s="15"/>
      <c r="N68" s="59"/>
      <c r="O68" s="210"/>
      <c r="P68" s="69">
        <f t="shared" si="1"/>
        <v>0</v>
      </c>
      <c r="Q68" s="70"/>
      <c r="R68" s="71"/>
      <c r="S68" s="105">
        <f t="shared" si="5"/>
        <v>858.14000000000021</v>
      </c>
    </row>
    <row r="69" spans="1:19" x14ac:dyDescent="0.25">
      <c r="A69" s="122"/>
      <c r="B69" s="183">
        <f t="shared" si="2"/>
        <v>0</v>
      </c>
      <c r="C69" s="15"/>
      <c r="D69" s="59"/>
      <c r="E69" s="210"/>
      <c r="F69" s="69">
        <f t="shared" si="0"/>
        <v>0</v>
      </c>
      <c r="G69" s="70"/>
      <c r="H69" s="71"/>
      <c r="I69" s="105">
        <f t="shared" si="3"/>
        <v>0</v>
      </c>
      <c r="K69" s="122"/>
      <c r="L69" s="183">
        <f t="shared" si="4"/>
        <v>79</v>
      </c>
      <c r="M69" s="15"/>
      <c r="N69" s="59"/>
      <c r="O69" s="210"/>
      <c r="P69" s="69">
        <f t="shared" si="1"/>
        <v>0</v>
      </c>
      <c r="Q69" s="70"/>
      <c r="R69" s="71"/>
      <c r="S69" s="105">
        <f t="shared" si="5"/>
        <v>858.14000000000021</v>
      </c>
    </row>
    <row r="70" spans="1:19" x14ac:dyDescent="0.25">
      <c r="A70" s="122"/>
      <c r="B70" s="183">
        <f t="shared" si="2"/>
        <v>0</v>
      </c>
      <c r="C70" s="15"/>
      <c r="D70" s="59"/>
      <c r="E70" s="210"/>
      <c r="F70" s="69">
        <f t="shared" si="0"/>
        <v>0</v>
      </c>
      <c r="G70" s="70"/>
      <c r="H70" s="71"/>
      <c r="I70" s="105">
        <f t="shared" si="3"/>
        <v>0</v>
      </c>
      <c r="K70" s="122"/>
      <c r="L70" s="183">
        <f t="shared" si="4"/>
        <v>79</v>
      </c>
      <c r="M70" s="15"/>
      <c r="N70" s="59"/>
      <c r="O70" s="210"/>
      <c r="P70" s="69">
        <f t="shared" si="1"/>
        <v>0</v>
      </c>
      <c r="Q70" s="70"/>
      <c r="R70" s="71"/>
      <c r="S70" s="105">
        <f t="shared" si="5"/>
        <v>858.14000000000021</v>
      </c>
    </row>
    <row r="71" spans="1:19" x14ac:dyDescent="0.25">
      <c r="A71" s="122"/>
      <c r="B71" s="183">
        <f t="shared" si="2"/>
        <v>0</v>
      </c>
      <c r="C71" s="15"/>
      <c r="D71" s="59"/>
      <c r="E71" s="210"/>
      <c r="F71" s="69">
        <f t="shared" si="0"/>
        <v>0</v>
      </c>
      <c r="G71" s="70"/>
      <c r="H71" s="71"/>
      <c r="I71" s="105">
        <f t="shared" si="3"/>
        <v>0</v>
      </c>
      <c r="K71" s="122"/>
      <c r="L71" s="183">
        <f t="shared" si="4"/>
        <v>79</v>
      </c>
      <c r="M71" s="15"/>
      <c r="N71" s="59"/>
      <c r="O71" s="210"/>
      <c r="P71" s="69">
        <f t="shared" si="1"/>
        <v>0</v>
      </c>
      <c r="Q71" s="70"/>
      <c r="R71" s="71"/>
      <c r="S71" s="105">
        <f t="shared" si="5"/>
        <v>858.14000000000021</v>
      </c>
    </row>
    <row r="72" spans="1:19" x14ac:dyDescent="0.25">
      <c r="A72" s="122"/>
      <c r="B72" s="183">
        <f t="shared" si="2"/>
        <v>0</v>
      </c>
      <c r="C72" s="15"/>
      <c r="D72" s="59"/>
      <c r="E72" s="210"/>
      <c r="F72" s="69">
        <f t="shared" si="0"/>
        <v>0</v>
      </c>
      <c r="G72" s="70"/>
      <c r="H72" s="71"/>
      <c r="I72" s="105">
        <f t="shared" si="3"/>
        <v>0</v>
      </c>
      <c r="K72" s="122"/>
      <c r="L72" s="183">
        <f t="shared" si="4"/>
        <v>79</v>
      </c>
      <c r="M72" s="15"/>
      <c r="N72" s="59"/>
      <c r="O72" s="210"/>
      <c r="P72" s="69">
        <f t="shared" si="1"/>
        <v>0</v>
      </c>
      <c r="Q72" s="70"/>
      <c r="R72" s="71"/>
      <c r="S72" s="105">
        <f t="shared" si="5"/>
        <v>858.14000000000021</v>
      </c>
    </row>
    <row r="73" spans="1:19" x14ac:dyDescent="0.25">
      <c r="A73" s="122"/>
      <c r="B73" s="183">
        <f t="shared" si="2"/>
        <v>0</v>
      </c>
      <c r="C73" s="15"/>
      <c r="D73" s="59"/>
      <c r="E73" s="210"/>
      <c r="F73" s="69">
        <f t="shared" ref="F73" si="6">D73</f>
        <v>0</v>
      </c>
      <c r="G73" s="70"/>
      <c r="H73" s="71"/>
      <c r="I73" s="105">
        <f t="shared" si="3"/>
        <v>0</v>
      </c>
      <c r="K73" s="122"/>
      <c r="L73" s="183">
        <f t="shared" si="4"/>
        <v>79</v>
      </c>
      <c r="M73" s="15"/>
      <c r="N73" s="59"/>
      <c r="O73" s="210"/>
      <c r="P73" s="69">
        <f t="shared" ref="P73" si="7">N73</f>
        <v>0</v>
      </c>
      <c r="Q73" s="70"/>
      <c r="R73" s="71"/>
      <c r="S73" s="105">
        <f t="shared" si="5"/>
        <v>858.14000000000021</v>
      </c>
    </row>
    <row r="74" spans="1:19" x14ac:dyDescent="0.25">
      <c r="A74" s="122"/>
      <c r="B74" s="183">
        <f t="shared" si="2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3"/>
        <v>0</v>
      </c>
      <c r="K74" s="122"/>
      <c r="L74" s="183">
        <f t="shared" si="4"/>
        <v>79</v>
      </c>
      <c r="M74" s="15"/>
      <c r="N74" s="59"/>
      <c r="O74" s="210"/>
      <c r="P74" s="69">
        <f>N74</f>
        <v>0</v>
      </c>
      <c r="Q74" s="70"/>
      <c r="R74" s="71"/>
      <c r="S74" s="105">
        <f t="shared" si="5"/>
        <v>858.14000000000021</v>
      </c>
    </row>
    <row r="75" spans="1:19" x14ac:dyDescent="0.25">
      <c r="A75" s="122"/>
      <c r="B75" s="183">
        <f t="shared" ref="B75" si="8">B74-C75</f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9">I74-F75</f>
        <v>0</v>
      </c>
      <c r="K75" s="122"/>
      <c r="L75" s="183">
        <f t="shared" ref="L75" si="10">L74-M75</f>
        <v>79</v>
      </c>
      <c r="M75" s="15"/>
      <c r="N75" s="59"/>
      <c r="O75" s="210"/>
      <c r="P75" s="69">
        <f>N75</f>
        <v>0</v>
      </c>
      <c r="Q75" s="70"/>
      <c r="R75" s="71"/>
      <c r="S75" s="105">
        <f t="shared" ref="S75:S76" si="11">S74-P75</f>
        <v>858.14000000000021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9"/>
        <v>0</v>
      </c>
      <c r="K76" s="122"/>
      <c r="M76" s="15"/>
      <c r="N76" s="59"/>
      <c r="O76" s="210"/>
      <c r="P76" s="69">
        <f>N76</f>
        <v>0</v>
      </c>
      <c r="Q76" s="70"/>
      <c r="R76" s="71"/>
      <c r="S76" s="105">
        <f t="shared" si="11"/>
        <v>858.14000000000021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87</v>
      </c>
      <c r="D78" s="6">
        <f>SUM(D9:D77)</f>
        <v>923.43999999999994</v>
      </c>
      <c r="F78" s="6">
        <f>SUM(F9:F77)</f>
        <v>1005.9699999999999</v>
      </c>
      <c r="M78" s="53">
        <f>SUM(M9:M77)</f>
        <v>90</v>
      </c>
      <c r="N78" s="6">
        <f>SUM(N9:N77)</f>
        <v>1142.6199999999999</v>
      </c>
      <c r="P78" s="6">
        <f>SUM(P9:P77)</f>
        <v>1142.6199999999999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72</v>
      </c>
    </row>
    <row r="82" spans="3:16" ht="15.75" thickBot="1" x14ac:dyDescent="0.3"/>
    <row r="83" spans="3:16" ht="15.75" thickBot="1" x14ac:dyDescent="0.3">
      <c r="C83" s="1056" t="s">
        <v>11</v>
      </c>
      <c r="D83" s="1057"/>
      <c r="E83" s="57">
        <f>E5+E6-F78+E7</f>
        <v>1.1368683772161603E-13</v>
      </c>
      <c r="F83" s="73"/>
      <c r="M83" s="1056" t="s">
        <v>11</v>
      </c>
      <c r="N83" s="1057"/>
      <c r="O83" s="57">
        <f>O5+O6-P78+O7</f>
        <v>775.61000000000013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V1" zoomScaleNormal="100" workbookViewId="0">
      <pane ySplit="9" topLeftCell="A10" activePane="bottomLeft" state="frozen"/>
      <selection pane="bottomLeft" activeCell="Z21" sqref="Z2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054" t="s">
        <v>282</v>
      </c>
      <c r="B1" s="1054"/>
      <c r="C1" s="1054"/>
      <c r="D1" s="1054"/>
      <c r="E1" s="1054"/>
      <c r="F1" s="1054"/>
      <c r="G1" s="1054"/>
      <c r="H1" s="11">
        <v>1</v>
      </c>
      <c r="L1" s="1058" t="s">
        <v>306</v>
      </c>
      <c r="M1" s="1058"/>
      <c r="N1" s="1058"/>
      <c r="O1" s="1058"/>
      <c r="P1" s="1058"/>
      <c r="Q1" s="1058"/>
      <c r="R1" s="1058"/>
      <c r="S1" s="11">
        <v>2</v>
      </c>
      <c r="W1" s="1058" t="s">
        <v>306</v>
      </c>
      <c r="X1" s="1058"/>
      <c r="Y1" s="1058"/>
      <c r="Z1" s="1058"/>
      <c r="AA1" s="1058"/>
      <c r="AB1" s="1058"/>
      <c r="AC1" s="1058"/>
      <c r="AD1" s="11">
        <v>2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62"/>
      <c r="B4" s="1065" t="s">
        <v>74</v>
      </c>
      <c r="C4" s="245"/>
      <c r="D4" s="134"/>
      <c r="E4" s="491"/>
      <c r="F4" s="73"/>
      <c r="G4" s="155"/>
      <c r="H4" s="155"/>
      <c r="L4" s="462"/>
      <c r="M4" s="1062" t="s">
        <v>74</v>
      </c>
      <c r="N4" s="245"/>
      <c r="O4" s="134"/>
      <c r="P4" s="491"/>
      <c r="Q4" s="73"/>
      <c r="R4" s="155"/>
      <c r="S4" s="155"/>
      <c r="W4" s="462"/>
      <c r="X4" s="1062" t="s">
        <v>74</v>
      </c>
      <c r="Y4" s="245"/>
      <c r="Z4" s="134"/>
      <c r="AA4" s="491"/>
      <c r="AB4" s="73"/>
      <c r="AC4" s="155"/>
      <c r="AD4" s="155"/>
    </row>
    <row r="5" spans="1:32" ht="15" customHeight="1" x14ac:dyDescent="0.25">
      <c r="A5" s="1064" t="s">
        <v>134</v>
      </c>
      <c r="B5" s="1059"/>
      <c r="C5" s="245"/>
      <c r="D5" s="134">
        <v>44772</v>
      </c>
      <c r="E5" s="491">
        <v>18309.66</v>
      </c>
      <c r="F5" s="73">
        <v>623</v>
      </c>
      <c r="G5" s="5"/>
      <c r="L5" s="1064" t="s">
        <v>344</v>
      </c>
      <c r="M5" s="1063"/>
      <c r="N5" s="245">
        <v>126</v>
      </c>
      <c r="O5" s="134">
        <v>44810</v>
      </c>
      <c r="P5" s="491">
        <v>2003.28</v>
      </c>
      <c r="Q5" s="73">
        <v>68</v>
      </c>
      <c r="R5" s="5"/>
      <c r="W5" s="1064" t="s">
        <v>461</v>
      </c>
      <c r="X5" s="1063"/>
      <c r="Y5" s="245"/>
      <c r="Z5" s="134">
        <v>44826</v>
      </c>
      <c r="AA5" s="491">
        <v>15231.71</v>
      </c>
      <c r="AB5" s="73">
        <v>490</v>
      </c>
      <c r="AC5" s="5"/>
    </row>
    <row r="6" spans="1:32" ht="15" customHeight="1" x14ac:dyDescent="0.25">
      <c r="A6" s="1064"/>
      <c r="B6" s="1059"/>
      <c r="C6" s="413"/>
      <c r="D6" s="134"/>
      <c r="E6" s="492">
        <v>383.13</v>
      </c>
      <c r="F6" s="73">
        <v>13</v>
      </c>
      <c r="G6" s="47">
        <f>F79</f>
        <v>18697.59</v>
      </c>
      <c r="H6" s="7">
        <f>E6-G6+E7+E5-G5+E4</f>
        <v>3.0000000002473826E-2</v>
      </c>
      <c r="L6" s="1064"/>
      <c r="M6" s="1063"/>
      <c r="N6" s="413">
        <v>126</v>
      </c>
      <c r="O6" s="134">
        <v>44816</v>
      </c>
      <c r="P6" s="492">
        <v>1972.5</v>
      </c>
      <c r="Q6" s="73">
        <v>63</v>
      </c>
      <c r="R6" s="47">
        <f>Q79</f>
        <v>5979.8200000000006</v>
      </c>
      <c r="S6" s="7">
        <f>P6-R6+P7+P5-R5+P4</f>
        <v>-6.8212102632969618E-13</v>
      </c>
      <c r="W6" s="1064"/>
      <c r="X6" s="1063"/>
      <c r="Y6" s="413"/>
      <c r="Z6" s="134"/>
      <c r="AA6" s="492"/>
      <c r="AB6" s="73"/>
      <c r="AC6" s="47">
        <f>AB79</f>
        <v>3146.5899999999997</v>
      </c>
      <c r="AD6" s="7">
        <f>AA6-AC6+AA7+AA5-AC5+AA4</f>
        <v>12085.119999999999</v>
      </c>
    </row>
    <row r="7" spans="1:32" ht="15.75" x14ac:dyDescent="0.25">
      <c r="A7" s="555"/>
      <c r="B7" s="19">
        <v>0</v>
      </c>
      <c r="C7" s="235"/>
      <c r="D7" s="233" t="s">
        <v>180</v>
      </c>
      <c r="E7" s="491">
        <v>4.83</v>
      </c>
      <c r="F7" s="73"/>
      <c r="L7" s="821" t="s">
        <v>356</v>
      </c>
      <c r="M7" s="1063"/>
      <c r="N7" s="829">
        <v>126</v>
      </c>
      <c r="O7" s="830">
        <v>44787</v>
      </c>
      <c r="P7" s="831">
        <v>2004.04</v>
      </c>
      <c r="Q7" s="717">
        <v>60</v>
      </c>
      <c r="W7" s="821"/>
      <c r="X7" s="1063"/>
      <c r="Y7" s="235"/>
      <c r="Z7" s="233"/>
      <c r="AA7" s="491"/>
      <c r="AB7" s="73"/>
    </row>
    <row r="8" spans="1:32" ht="15.75" thickBot="1" x14ac:dyDescent="0.3">
      <c r="A8" s="462"/>
      <c r="B8" s="19"/>
      <c r="C8" s="235"/>
      <c r="D8" s="233"/>
      <c r="E8" s="491"/>
      <c r="F8" s="73"/>
      <c r="L8" s="462"/>
      <c r="M8" s="19"/>
      <c r="N8" s="235"/>
      <c r="O8" s="233"/>
      <c r="P8" s="491"/>
      <c r="Q8" s="73"/>
      <c r="W8" s="462"/>
      <c r="X8" s="19"/>
      <c r="Y8" s="235"/>
      <c r="Z8" s="233"/>
      <c r="AA8" s="491"/>
      <c r="AB8" s="73"/>
    </row>
    <row r="9" spans="1:32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20"/>
      <c r="M9" s="6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W9" s="120"/>
      <c r="X9" s="64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</row>
    <row r="10" spans="1:32" ht="15.75" thickTop="1" x14ac:dyDescent="0.25">
      <c r="A10" s="80" t="s">
        <v>32</v>
      </c>
      <c r="B10" s="83">
        <f>F6-C10+F5+F4+F7+F8</f>
        <v>623</v>
      </c>
      <c r="C10" s="15">
        <v>13</v>
      </c>
      <c r="D10" s="69">
        <v>387.96</v>
      </c>
      <c r="E10" s="203">
        <v>44770</v>
      </c>
      <c r="F10" s="69">
        <f>D10</f>
        <v>387.96</v>
      </c>
      <c r="G10" s="70" t="s">
        <v>173</v>
      </c>
      <c r="H10" s="71">
        <v>133</v>
      </c>
      <c r="I10" s="105">
        <f>E6-F10+E5+E4+E7+E8</f>
        <v>18309.66</v>
      </c>
      <c r="J10" s="17">
        <f>F10*H10</f>
        <v>51598.68</v>
      </c>
      <c r="L10" s="80" t="s">
        <v>32</v>
      </c>
      <c r="M10" s="83">
        <f>Q6-N10+Q5+Q4+Q7+Q8</f>
        <v>181</v>
      </c>
      <c r="N10" s="15">
        <v>10</v>
      </c>
      <c r="O10" s="69">
        <v>299.89999999999998</v>
      </c>
      <c r="P10" s="203">
        <v>44811</v>
      </c>
      <c r="Q10" s="69">
        <f>O10</f>
        <v>299.89999999999998</v>
      </c>
      <c r="R10" s="70" t="s">
        <v>574</v>
      </c>
      <c r="S10" s="71">
        <v>137</v>
      </c>
      <c r="T10" s="105">
        <f>P6-Q10+P5+P4+P7+P8</f>
        <v>5679.92</v>
      </c>
      <c r="U10" s="17">
        <f>Q10*S10</f>
        <v>41086.299999999996</v>
      </c>
      <c r="W10" s="80" t="s">
        <v>32</v>
      </c>
      <c r="X10" s="83">
        <f>AB6-Y10+AB5+AB4+AB7+AB8</f>
        <v>487</v>
      </c>
      <c r="Y10" s="15">
        <v>3</v>
      </c>
      <c r="Z10" s="69">
        <v>85.81</v>
      </c>
      <c r="AA10" s="203">
        <v>44828</v>
      </c>
      <c r="AB10" s="69">
        <f t="shared" ref="AB10:AB11" si="0">Z10</f>
        <v>85.81</v>
      </c>
      <c r="AC10" s="70" t="s">
        <v>711</v>
      </c>
      <c r="AD10" s="71">
        <v>132</v>
      </c>
      <c r="AE10" s="105">
        <f>AA6-AB10+AA5+AA4+AA7+AA8</f>
        <v>15145.9</v>
      </c>
      <c r="AF10" s="17">
        <f>AB10*AD10</f>
        <v>11326.92</v>
      </c>
    </row>
    <row r="11" spans="1:32" x14ac:dyDescent="0.25">
      <c r="A11" s="195"/>
      <c r="B11" s="83">
        <f>B10-C11</f>
        <v>613</v>
      </c>
      <c r="C11" s="15">
        <v>10</v>
      </c>
      <c r="D11" s="69">
        <v>308.52999999999997</v>
      </c>
      <c r="E11" s="203">
        <v>44773</v>
      </c>
      <c r="F11" s="69">
        <f t="shared" ref="F11:F74" si="1">D11</f>
        <v>308.52999999999997</v>
      </c>
      <c r="G11" s="70" t="s">
        <v>178</v>
      </c>
      <c r="H11" s="71">
        <v>133</v>
      </c>
      <c r="I11" s="105">
        <f>I10-F11</f>
        <v>18001.13</v>
      </c>
      <c r="J11" s="17">
        <f t="shared" ref="J11:J74" si="2">F11*H11</f>
        <v>41034.49</v>
      </c>
      <c r="L11" s="195"/>
      <c r="M11" s="83">
        <f>M10-N11</f>
        <v>176</v>
      </c>
      <c r="N11" s="15">
        <v>5</v>
      </c>
      <c r="O11" s="69">
        <v>138.26</v>
      </c>
      <c r="P11" s="203">
        <v>44812</v>
      </c>
      <c r="Q11" s="69">
        <f t="shared" ref="Q11:Q57" si="3">O11</f>
        <v>138.26</v>
      </c>
      <c r="R11" s="70" t="s">
        <v>578</v>
      </c>
      <c r="S11" s="71">
        <v>132</v>
      </c>
      <c r="T11" s="105">
        <f>T10-Q11</f>
        <v>5541.66</v>
      </c>
      <c r="U11" s="17">
        <f t="shared" ref="U11:U74" si="4">Q11*S11</f>
        <v>18250.32</v>
      </c>
      <c r="W11" s="195"/>
      <c r="X11" s="83">
        <f>X10-Y11</f>
        <v>485</v>
      </c>
      <c r="Y11" s="15">
        <v>2</v>
      </c>
      <c r="Z11" s="69">
        <v>64.73</v>
      </c>
      <c r="AA11" s="203">
        <v>44828</v>
      </c>
      <c r="AB11" s="69">
        <f t="shared" si="0"/>
        <v>64.73</v>
      </c>
      <c r="AC11" s="70" t="s">
        <v>712</v>
      </c>
      <c r="AD11" s="71">
        <v>137</v>
      </c>
      <c r="AE11" s="105">
        <f>AE10-AB11</f>
        <v>15081.17</v>
      </c>
      <c r="AF11" s="17">
        <f t="shared" ref="AF11:AF74" si="5">AB11*AD11</f>
        <v>8868.01</v>
      </c>
    </row>
    <row r="12" spans="1:32" x14ac:dyDescent="0.25">
      <c r="A12" s="183"/>
      <c r="B12" s="83">
        <f t="shared" ref="B12:B75" si="6">B11-C12</f>
        <v>607</v>
      </c>
      <c r="C12" s="15">
        <v>6</v>
      </c>
      <c r="D12" s="59">
        <v>179.61</v>
      </c>
      <c r="E12" s="210">
        <v>44774</v>
      </c>
      <c r="F12" s="59">
        <f t="shared" si="1"/>
        <v>179.61</v>
      </c>
      <c r="G12" s="602" t="s">
        <v>183</v>
      </c>
      <c r="H12" s="60">
        <v>133</v>
      </c>
      <c r="I12" s="105">
        <f t="shared" ref="I12:I75" si="7">I11-F12</f>
        <v>17821.52</v>
      </c>
      <c r="J12" s="17">
        <f t="shared" si="2"/>
        <v>23888.13</v>
      </c>
      <c r="L12" s="183"/>
      <c r="M12" s="83">
        <f t="shared" ref="M12:M75" si="8">M11-N12</f>
        <v>154</v>
      </c>
      <c r="N12" s="15">
        <v>22</v>
      </c>
      <c r="O12" s="69">
        <v>646.48</v>
      </c>
      <c r="P12" s="203">
        <v>44812</v>
      </c>
      <c r="Q12" s="69">
        <f t="shared" si="3"/>
        <v>646.48</v>
      </c>
      <c r="R12" s="70" t="s">
        <v>581</v>
      </c>
      <c r="S12" s="71">
        <v>137</v>
      </c>
      <c r="T12" s="105">
        <f t="shared" ref="T12:T75" si="9">T11-Q12</f>
        <v>4895.18</v>
      </c>
      <c r="U12" s="17">
        <f t="shared" si="4"/>
        <v>88567.760000000009</v>
      </c>
      <c r="W12" s="183"/>
      <c r="X12" s="83">
        <f t="shared" ref="X12:X75" si="10">X11-Y12</f>
        <v>460</v>
      </c>
      <c r="Y12" s="15">
        <v>25</v>
      </c>
      <c r="Z12" s="69">
        <v>772.08</v>
      </c>
      <c r="AA12" s="203">
        <v>44828</v>
      </c>
      <c r="AB12" s="69">
        <f t="shared" ref="AB12:AB18" si="11">Z12</f>
        <v>772.08</v>
      </c>
      <c r="AC12" s="70" t="s">
        <v>713</v>
      </c>
      <c r="AD12" s="71">
        <v>137</v>
      </c>
      <c r="AE12" s="105">
        <f t="shared" ref="AE12:AE75" si="12">AE11-AB12</f>
        <v>14309.09</v>
      </c>
      <c r="AF12" s="17">
        <f t="shared" si="5"/>
        <v>105774.96</v>
      </c>
    </row>
    <row r="13" spans="1:32" x14ac:dyDescent="0.25">
      <c r="A13" s="183"/>
      <c r="B13" s="83">
        <f t="shared" si="6"/>
        <v>605</v>
      </c>
      <c r="C13" s="15">
        <v>2</v>
      </c>
      <c r="D13" s="59">
        <v>58.11</v>
      </c>
      <c r="E13" s="210">
        <v>44774</v>
      </c>
      <c r="F13" s="59">
        <f t="shared" si="1"/>
        <v>58.11</v>
      </c>
      <c r="G13" s="602" t="s">
        <v>184</v>
      </c>
      <c r="H13" s="60">
        <v>133</v>
      </c>
      <c r="I13" s="105">
        <f t="shared" si="7"/>
        <v>17763.41</v>
      </c>
      <c r="J13" s="17">
        <f t="shared" si="2"/>
        <v>7728.63</v>
      </c>
      <c r="L13" s="183"/>
      <c r="M13" s="83">
        <f t="shared" si="8"/>
        <v>134</v>
      </c>
      <c r="N13" s="15">
        <v>20</v>
      </c>
      <c r="O13" s="69">
        <v>594.96</v>
      </c>
      <c r="P13" s="203">
        <v>44813</v>
      </c>
      <c r="Q13" s="69">
        <f t="shared" si="3"/>
        <v>594.96</v>
      </c>
      <c r="R13" s="70" t="s">
        <v>586</v>
      </c>
      <c r="S13" s="71">
        <v>137</v>
      </c>
      <c r="T13" s="105">
        <f t="shared" si="9"/>
        <v>4300.22</v>
      </c>
      <c r="U13" s="17">
        <f t="shared" si="4"/>
        <v>81509.52</v>
      </c>
      <c r="W13" s="183"/>
      <c r="X13" s="83">
        <f t="shared" si="10"/>
        <v>430</v>
      </c>
      <c r="Y13" s="15">
        <v>30</v>
      </c>
      <c r="Z13" s="69">
        <v>946.27</v>
      </c>
      <c r="AA13" s="203">
        <v>44830</v>
      </c>
      <c r="AB13" s="69">
        <f t="shared" si="11"/>
        <v>946.27</v>
      </c>
      <c r="AC13" s="70" t="s">
        <v>720</v>
      </c>
      <c r="AD13" s="71">
        <v>137</v>
      </c>
      <c r="AE13" s="105">
        <f t="shared" si="12"/>
        <v>13362.82</v>
      </c>
      <c r="AF13" s="17">
        <f t="shared" si="5"/>
        <v>129638.98999999999</v>
      </c>
    </row>
    <row r="14" spans="1:32" x14ac:dyDescent="0.25">
      <c r="A14" s="82" t="s">
        <v>33</v>
      </c>
      <c r="B14" s="83">
        <f t="shared" si="6"/>
        <v>595</v>
      </c>
      <c r="C14" s="15">
        <v>10</v>
      </c>
      <c r="D14" s="59">
        <v>301.55</v>
      </c>
      <c r="E14" s="210">
        <v>44774</v>
      </c>
      <c r="F14" s="59">
        <f t="shared" si="1"/>
        <v>301.55</v>
      </c>
      <c r="G14" s="602" t="s">
        <v>185</v>
      </c>
      <c r="H14" s="60">
        <v>133</v>
      </c>
      <c r="I14" s="105">
        <f t="shared" si="7"/>
        <v>17461.86</v>
      </c>
      <c r="J14" s="17">
        <f t="shared" si="2"/>
        <v>40106.15</v>
      </c>
      <c r="L14" s="82" t="s">
        <v>33</v>
      </c>
      <c r="M14" s="83">
        <f t="shared" si="8"/>
        <v>129</v>
      </c>
      <c r="N14" s="15">
        <v>5</v>
      </c>
      <c r="O14" s="69">
        <v>150.12</v>
      </c>
      <c r="P14" s="203">
        <v>44813</v>
      </c>
      <c r="Q14" s="69">
        <f t="shared" si="3"/>
        <v>150.12</v>
      </c>
      <c r="R14" s="70" t="s">
        <v>587</v>
      </c>
      <c r="S14" s="71">
        <v>132</v>
      </c>
      <c r="T14" s="105">
        <f t="shared" si="9"/>
        <v>4150.1000000000004</v>
      </c>
      <c r="U14" s="17">
        <f t="shared" si="4"/>
        <v>19815.84</v>
      </c>
      <c r="W14" s="82" t="s">
        <v>33</v>
      </c>
      <c r="X14" s="83">
        <f t="shared" si="10"/>
        <v>423</v>
      </c>
      <c r="Y14" s="15">
        <v>7</v>
      </c>
      <c r="Z14" s="69">
        <v>219.17</v>
      </c>
      <c r="AA14" s="203">
        <v>44832</v>
      </c>
      <c r="AB14" s="69">
        <f t="shared" si="11"/>
        <v>219.17</v>
      </c>
      <c r="AC14" s="70" t="s">
        <v>729</v>
      </c>
      <c r="AD14" s="71">
        <v>137</v>
      </c>
      <c r="AE14" s="105">
        <f t="shared" si="12"/>
        <v>13143.65</v>
      </c>
      <c r="AF14" s="17">
        <f t="shared" si="5"/>
        <v>30026.289999999997</v>
      </c>
    </row>
    <row r="15" spans="1:32" x14ac:dyDescent="0.25">
      <c r="A15" s="73"/>
      <c r="B15" s="83">
        <f t="shared" si="6"/>
        <v>580</v>
      </c>
      <c r="C15" s="15">
        <v>15</v>
      </c>
      <c r="D15" s="59">
        <v>459.59</v>
      </c>
      <c r="E15" s="210">
        <v>44774</v>
      </c>
      <c r="F15" s="59">
        <f t="shared" si="1"/>
        <v>459.59</v>
      </c>
      <c r="G15" s="602" t="s">
        <v>186</v>
      </c>
      <c r="H15" s="60">
        <v>133</v>
      </c>
      <c r="I15" s="105">
        <f t="shared" si="7"/>
        <v>17002.27</v>
      </c>
      <c r="J15" s="17">
        <f t="shared" si="2"/>
        <v>61125.469999999994</v>
      </c>
      <c r="L15" s="73"/>
      <c r="M15" s="83">
        <f t="shared" si="8"/>
        <v>124</v>
      </c>
      <c r="N15" s="15">
        <v>5</v>
      </c>
      <c r="O15" s="69">
        <v>141.9</v>
      </c>
      <c r="P15" s="203">
        <v>44814</v>
      </c>
      <c r="Q15" s="69">
        <f t="shared" si="3"/>
        <v>141.9</v>
      </c>
      <c r="R15" s="70" t="s">
        <v>597</v>
      </c>
      <c r="S15" s="71">
        <v>137</v>
      </c>
      <c r="T15" s="105">
        <f t="shared" si="9"/>
        <v>4008.2000000000003</v>
      </c>
      <c r="U15" s="17">
        <f t="shared" si="4"/>
        <v>19440.3</v>
      </c>
      <c r="W15" s="73"/>
      <c r="X15" s="83">
        <f t="shared" si="10"/>
        <v>393</v>
      </c>
      <c r="Y15" s="15">
        <v>30</v>
      </c>
      <c r="Z15" s="69">
        <v>958.38</v>
      </c>
      <c r="AA15" s="203">
        <v>44833</v>
      </c>
      <c r="AB15" s="69">
        <f t="shared" si="11"/>
        <v>958.38</v>
      </c>
      <c r="AC15" s="70" t="s">
        <v>736</v>
      </c>
      <c r="AD15" s="71">
        <v>137</v>
      </c>
      <c r="AE15" s="105">
        <f t="shared" si="12"/>
        <v>12185.27</v>
      </c>
      <c r="AF15" s="17">
        <f t="shared" si="5"/>
        <v>131298.06</v>
      </c>
    </row>
    <row r="16" spans="1:32" x14ac:dyDescent="0.25">
      <c r="A16" s="73"/>
      <c r="B16" s="83">
        <f t="shared" si="6"/>
        <v>575</v>
      </c>
      <c r="C16" s="15">
        <v>5</v>
      </c>
      <c r="D16" s="59">
        <v>154.08000000000001</v>
      </c>
      <c r="E16" s="210">
        <v>44775</v>
      </c>
      <c r="F16" s="59">
        <f t="shared" si="1"/>
        <v>154.08000000000001</v>
      </c>
      <c r="G16" s="602" t="s">
        <v>187</v>
      </c>
      <c r="H16" s="60">
        <v>133</v>
      </c>
      <c r="I16" s="105">
        <f t="shared" si="7"/>
        <v>16848.189999999999</v>
      </c>
      <c r="J16" s="17">
        <f t="shared" si="2"/>
        <v>20492.640000000003</v>
      </c>
      <c r="L16" s="73"/>
      <c r="M16" s="83">
        <f t="shared" si="8"/>
        <v>123</v>
      </c>
      <c r="N16" s="15">
        <v>1</v>
      </c>
      <c r="O16" s="69">
        <v>31.46</v>
      </c>
      <c r="P16" s="203">
        <v>44814</v>
      </c>
      <c r="Q16" s="69">
        <f t="shared" si="3"/>
        <v>31.46</v>
      </c>
      <c r="R16" s="70" t="s">
        <v>598</v>
      </c>
      <c r="S16" s="71">
        <v>137</v>
      </c>
      <c r="T16" s="105">
        <f t="shared" si="9"/>
        <v>3976.7400000000002</v>
      </c>
      <c r="U16" s="17">
        <f t="shared" si="4"/>
        <v>4310.0200000000004</v>
      </c>
      <c r="W16" s="73"/>
      <c r="X16" s="83">
        <f t="shared" si="10"/>
        <v>392</v>
      </c>
      <c r="Y16" s="15">
        <v>1</v>
      </c>
      <c r="Z16" s="69">
        <v>33.020000000000003</v>
      </c>
      <c r="AA16" s="203">
        <v>44833</v>
      </c>
      <c r="AB16" s="69">
        <f t="shared" si="11"/>
        <v>33.020000000000003</v>
      </c>
      <c r="AC16" s="70" t="s">
        <v>736</v>
      </c>
      <c r="AD16" s="71">
        <v>137</v>
      </c>
      <c r="AE16" s="105">
        <f t="shared" si="12"/>
        <v>12152.25</v>
      </c>
      <c r="AF16" s="17">
        <f t="shared" si="5"/>
        <v>4523.7400000000007</v>
      </c>
    </row>
    <row r="17" spans="1:32" x14ac:dyDescent="0.25">
      <c r="B17" s="83">
        <f t="shared" si="6"/>
        <v>550</v>
      </c>
      <c r="C17" s="15">
        <v>25</v>
      </c>
      <c r="D17" s="59">
        <v>758.02</v>
      </c>
      <c r="E17" s="210">
        <v>44775</v>
      </c>
      <c r="F17" s="59">
        <f t="shared" si="1"/>
        <v>758.02</v>
      </c>
      <c r="G17" s="602" t="s">
        <v>188</v>
      </c>
      <c r="H17" s="60">
        <v>133</v>
      </c>
      <c r="I17" s="105">
        <f t="shared" si="7"/>
        <v>16090.169999999998</v>
      </c>
      <c r="J17" s="17">
        <f t="shared" si="2"/>
        <v>100816.66</v>
      </c>
      <c r="L17" s="5">
        <v>999.8</v>
      </c>
      <c r="M17" s="83">
        <f t="shared" si="8"/>
        <v>91</v>
      </c>
      <c r="N17" s="15">
        <v>32</v>
      </c>
      <c r="O17" s="680">
        <v>999.3</v>
      </c>
      <c r="P17" s="203">
        <v>44816</v>
      </c>
      <c r="Q17" s="69">
        <f t="shared" si="3"/>
        <v>999.3</v>
      </c>
      <c r="R17" s="70" t="s">
        <v>618</v>
      </c>
      <c r="S17" s="71">
        <v>137</v>
      </c>
      <c r="T17" s="105">
        <f t="shared" si="9"/>
        <v>2977.4400000000005</v>
      </c>
      <c r="U17" s="17">
        <f t="shared" si="4"/>
        <v>136904.1</v>
      </c>
      <c r="X17" s="83">
        <f t="shared" si="10"/>
        <v>391</v>
      </c>
      <c r="Y17" s="15">
        <v>1</v>
      </c>
      <c r="Z17" s="69">
        <v>32.659999999999997</v>
      </c>
      <c r="AA17" s="203">
        <v>44834</v>
      </c>
      <c r="AB17" s="69">
        <f t="shared" si="11"/>
        <v>32.659999999999997</v>
      </c>
      <c r="AC17" s="70" t="s">
        <v>741</v>
      </c>
      <c r="AD17" s="71">
        <v>137</v>
      </c>
      <c r="AE17" s="105">
        <f t="shared" si="12"/>
        <v>12119.59</v>
      </c>
      <c r="AF17" s="17">
        <f t="shared" si="5"/>
        <v>4474.4199999999992</v>
      </c>
    </row>
    <row r="18" spans="1:32" x14ac:dyDescent="0.25">
      <c r="B18" s="83">
        <f t="shared" si="6"/>
        <v>549</v>
      </c>
      <c r="C18" s="15">
        <v>1</v>
      </c>
      <c r="D18" s="59">
        <v>30.66</v>
      </c>
      <c r="E18" s="210">
        <v>44776</v>
      </c>
      <c r="F18" s="59">
        <f t="shared" si="1"/>
        <v>30.66</v>
      </c>
      <c r="G18" s="602" t="s">
        <v>189</v>
      </c>
      <c r="H18" s="60">
        <v>133</v>
      </c>
      <c r="I18" s="105">
        <f t="shared" si="7"/>
        <v>16059.509999999998</v>
      </c>
      <c r="J18" s="17">
        <f t="shared" si="2"/>
        <v>4077.78</v>
      </c>
      <c r="M18" s="83">
        <f t="shared" si="8"/>
        <v>89</v>
      </c>
      <c r="N18" s="15">
        <v>2</v>
      </c>
      <c r="O18" s="69">
        <v>62.9</v>
      </c>
      <c r="P18" s="203">
        <v>44817</v>
      </c>
      <c r="Q18" s="69">
        <f t="shared" si="3"/>
        <v>62.9</v>
      </c>
      <c r="R18" s="70" t="s">
        <v>619</v>
      </c>
      <c r="S18" s="71">
        <v>137</v>
      </c>
      <c r="T18" s="105">
        <f t="shared" si="9"/>
        <v>2914.5400000000004</v>
      </c>
      <c r="U18" s="17">
        <f t="shared" si="4"/>
        <v>8617.2999999999993</v>
      </c>
      <c r="X18" s="83">
        <f t="shared" si="10"/>
        <v>390</v>
      </c>
      <c r="Y18" s="15">
        <v>1</v>
      </c>
      <c r="Z18" s="69">
        <v>34.47</v>
      </c>
      <c r="AA18" s="203">
        <v>44835</v>
      </c>
      <c r="AB18" s="69">
        <f t="shared" si="11"/>
        <v>34.47</v>
      </c>
      <c r="AC18" s="70" t="s">
        <v>749</v>
      </c>
      <c r="AD18" s="71">
        <v>137</v>
      </c>
      <c r="AE18" s="105">
        <f t="shared" si="12"/>
        <v>12085.12</v>
      </c>
      <c r="AF18" s="17">
        <f t="shared" si="5"/>
        <v>4722.3899999999994</v>
      </c>
    </row>
    <row r="19" spans="1:32" x14ac:dyDescent="0.25">
      <c r="A19" s="122"/>
      <c r="B19" s="83">
        <f t="shared" si="6"/>
        <v>544</v>
      </c>
      <c r="C19" s="15">
        <v>5</v>
      </c>
      <c r="D19" s="59">
        <v>150.46</v>
      </c>
      <c r="E19" s="210">
        <v>44776</v>
      </c>
      <c r="F19" s="59">
        <f t="shared" si="1"/>
        <v>150.46</v>
      </c>
      <c r="G19" s="602" t="s">
        <v>190</v>
      </c>
      <c r="H19" s="60">
        <v>133</v>
      </c>
      <c r="I19" s="105">
        <f t="shared" si="7"/>
        <v>15909.05</v>
      </c>
      <c r="J19" s="17">
        <f t="shared" si="2"/>
        <v>20011.18</v>
      </c>
      <c r="L19" s="122"/>
      <c r="M19" s="83">
        <f t="shared" si="8"/>
        <v>84</v>
      </c>
      <c r="N19" s="15">
        <v>5</v>
      </c>
      <c r="O19" s="69">
        <v>148.9</v>
      </c>
      <c r="P19" s="203">
        <v>44817</v>
      </c>
      <c r="Q19" s="69">
        <f t="shared" si="3"/>
        <v>148.9</v>
      </c>
      <c r="R19" s="70" t="s">
        <v>620</v>
      </c>
      <c r="S19" s="71">
        <v>132</v>
      </c>
      <c r="T19" s="105">
        <f t="shared" si="9"/>
        <v>2765.6400000000003</v>
      </c>
      <c r="U19" s="17">
        <f t="shared" si="4"/>
        <v>19654.8</v>
      </c>
      <c r="W19" s="122"/>
      <c r="X19" s="83">
        <f t="shared" si="10"/>
        <v>390</v>
      </c>
      <c r="Y19" s="15"/>
      <c r="Z19" s="69"/>
      <c r="AA19" s="203"/>
      <c r="AB19" s="69">
        <f t="shared" ref="AB19:AB57" si="13">Z19</f>
        <v>0</v>
      </c>
      <c r="AC19" s="70"/>
      <c r="AD19" s="71"/>
      <c r="AE19" s="105">
        <f t="shared" si="12"/>
        <v>12085.12</v>
      </c>
      <c r="AF19" s="17">
        <f t="shared" si="5"/>
        <v>0</v>
      </c>
    </row>
    <row r="20" spans="1:32" x14ac:dyDescent="0.25">
      <c r="A20" s="122"/>
      <c r="B20" s="83">
        <f t="shared" si="6"/>
        <v>539</v>
      </c>
      <c r="C20" s="15">
        <v>5</v>
      </c>
      <c r="D20" s="59">
        <v>151.68</v>
      </c>
      <c r="E20" s="210">
        <v>44777</v>
      </c>
      <c r="F20" s="59">
        <f t="shared" si="1"/>
        <v>151.68</v>
      </c>
      <c r="G20" s="602" t="s">
        <v>192</v>
      </c>
      <c r="H20" s="60">
        <v>133</v>
      </c>
      <c r="I20" s="105">
        <f t="shared" si="7"/>
        <v>15757.369999999999</v>
      </c>
      <c r="J20" s="17">
        <f t="shared" si="2"/>
        <v>20173.440000000002</v>
      </c>
      <c r="L20" s="122"/>
      <c r="M20" s="83">
        <f t="shared" si="8"/>
        <v>60</v>
      </c>
      <c r="N20" s="15">
        <v>24</v>
      </c>
      <c r="O20" s="69">
        <v>761.4</v>
      </c>
      <c r="P20" s="203">
        <v>44817</v>
      </c>
      <c r="Q20" s="69">
        <f t="shared" si="3"/>
        <v>761.4</v>
      </c>
      <c r="R20" s="70" t="s">
        <v>623</v>
      </c>
      <c r="S20" s="71">
        <v>137</v>
      </c>
      <c r="T20" s="105">
        <f t="shared" si="9"/>
        <v>2004.2400000000002</v>
      </c>
      <c r="U20" s="17">
        <f t="shared" si="4"/>
        <v>104311.8</v>
      </c>
      <c r="W20" s="122"/>
      <c r="X20" s="83">
        <f t="shared" si="10"/>
        <v>390</v>
      </c>
      <c r="Y20" s="15"/>
      <c r="Z20" s="69"/>
      <c r="AA20" s="203"/>
      <c r="AB20" s="69">
        <f t="shared" si="13"/>
        <v>0</v>
      </c>
      <c r="AC20" s="70"/>
      <c r="AD20" s="71"/>
      <c r="AE20" s="105">
        <f t="shared" si="12"/>
        <v>12085.12</v>
      </c>
      <c r="AF20" s="17">
        <f t="shared" si="5"/>
        <v>0</v>
      </c>
    </row>
    <row r="21" spans="1:32" x14ac:dyDescent="0.25">
      <c r="A21" s="122"/>
      <c r="B21" s="83">
        <f t="shared" si="6"/>
        <v>509</v>
      </c>
      <c r="C21" s="15">
        <v>30</v>
      </c>
      <c r="D21" s="59">
        <v>905.98</v>
      </c>
      <c r="E21" s="210">
        <v>44777</v>
      </c>
      <c r="F21" s="59">
        <f t="shared" si="1"/>
        <v>905.98</v>
      </c>
      <c r="G21" s="602" t="s">
        <v>193</v>
      </c>
      <c r="H21" s="60">
        <v>133</v>
      </c>
      <c r="I21" s="105">
        <f t="shared" si="7"/>
        <v>14851.39</v>
      </c>
      <c r="J21" s="17">
        <f t="shared" si="2"/>
        <v>120495.34</v>
      </c>
      <c r="L21" s="122"/>
      <c r="M21" s="83">
        <f t="shared" si="8"/>
        <v>59</v>
      </c>
      <c r="N21" s="15">
        <v>1</v>
      </c>
      <c r="O21" s="69">
        <v>33.42</v>
      </c>
      <c r="P21" s="203">
        <v>44819</v>
      </c>
      <c r="Q21" s="69">
        <f t="shared" si="3"/>
        <v>33.42</v>
      </c>
      <c r="R21" s="70" t="s">
        <v>643</v>
      </c>
      <c r="S21" s="71">
        <v>139</v>
      </c>
      <c r="T21" s="105">
        <f t="shared" si="9"/>
        <v>1970.8200000000002</v>
      </c>
      <c r="U21" s="17">
        <f t="shared" si="4"/>
        <v>4645.38</v>
      </c>
      <c r="W21" s="122"/>
      <c r="X21" s="83">
        <f t="shared" si="10"/>
        <v>390</v>
      </c>
      <c r="Y21" s="15"/>
      <c r="Z21" s="69"/>
      <c r="AA21" s="203"/>
      <c r="AB21" s="69">
        <f t="shared" si="13"/>
        <v>0</v>
      </c>
      <c r="AC21" s="70"/>
      <c r="AD21" s="71"/>
      <c r="AE21" s="105">
        <f t="shared" si="12"/>
        <v>12085.12</v>
      </c>
      <c r="AF21" s="17">
        <f t="shared" si="5"/>
        <v>0</v>
      </c>
    </row>
    <row r="22" spans="1:32" x14ac:dyDescent="0.25">
      <c r="A22" s="122"/>
      <c r="B22" s="83">
        <f t="shared" si="6"/>
        <v>504</v>
      </c>
      <c r="C22" s="15">
        <v>5</v>
      </c>
      <c r="D22" s="59">
        <v>155.03</v>
      </c>
      <c r="E22" s="210">
        <v>44777</v>
      </c>
      <c r="F22" s="59">
        <f t="shared" si="1"/>
        <v>155.03</v>
      </c>
      <c r="G22" s="602" t="s">
        <v>195</v>
      </c>
      <c r="H22" s="60">
        <v>133</v>
      </c>
      <c r="I22" s="105">
        <f t="shared" si="7"/>
        <v>14696.359999999999</v>
      </c>
      <c r="J22" s="17">
        <f t="shared" si="2"/>
        <v>20618.990000000002</v>
      </c>
      <c r="L22" s="122"/>
      <c r="M22" s="83">
        <f t="shared" si="8"/>
        <v>58</v>
      </c>
      <c r="N22" s="15">
        <v>1</v>
      </c>
      <c r="O22" s="69">
        <v>32.659999999999997</v>
      </c>
      <c r="P22" s="203">
        <v>44820</v>
      </c>
      <c r="Q22" s="69">
        <f t="shared" si="3"/>
        <v>32.659999999999997</v>
      </c>
      <c r="R22" s="70" t="s">
        <v>652</v>
      </c>
      <c r="S22" s="71">
        <v>139</v>
      </c>
      <c r="T22" s="105">
        <f t="shared" si="9"/>
        <v>1938.16</v>
      </c>
      <c r="U22" s="17">
        <f t="shared" si="4"/>
        <v>4539.74</v>
      </c>
      <c r="W22" s="122"/>
      <c r="X22" s="83">
        <f t="shared" si="10"/>
        <v>390</v>
      </c>
      <c r="Y22" s="15"/>
      <c r="Z22" s="69"/>
      <c r="AA22" s="203"/>
      <c r="AB22" s="69">
        <f t="shared" si="13"/>
        <v>0</v>
      </c>
      <c r="AC22" s="70"/>
      <c r="AD22" s="71"/>
      <c r="AE22" s="105">
        <f t="shared" si="12"/>
        <v>12085.12</v>
      </c>
      <c r="AF22" s="17">
        <f t="shared" si="5"/>
        <v>0</v>
      </c>
    </row>
    <row r="23" spans="1:32" x14ac:dyDescent="0.25">
      <c r="A23" s="122"/>
      <c r="B23" s="83">
        <f t="shared" si="6"/>
        <v>503</v>
      </c>
      <c r="C23" s="15">
        <v>1</v>
      </c>
      <c r="D23" s="59">
        <v>27.08</v>
      </c>
      <c r="E23" s="210">
        <v>44778</v>
      </c>
      <c r="F23" s="59">
        <f t="shared" si="1"/>
        <v>27.08</v>
      </c>
      <c r="G23" s="602" t="s">
        <v>197</v>
      </c>
      <c r="H23" s="60">
        <v>133</v>
      </c>
      <c r="I23" s="105">
        <f t="shared" si="7"/>
        <v>14669.279999999999</v>
      </c>
      <c r="J23" s="17">
        <f t="shared" si="2"/>
        <v>3601.64</v>
      </c>
      <c r="L23" s="122"/>
      <c r="M23" s="83">
        <f t="shared" si="8"/>
        <v>28</v>
      </c>
      <c r="N23" s="15">
        <v>30</v>
      </c>
      <c r="O23" s="69">
        <v>1014.52</v>
      </c>
      <c r="P23" s="203">
        <v>44821</v>
      </c>
      <c r="Q23" s="69">
        <f t="shared" si="3"/>
        <v>1014.52</v>
      </c>
      <c r="R23" s="70" t="s">
        <v>674</v>
      </c>
      <c r="S23" s="71">
        <v>139</v>
      </c>
      <c r="T23" s="105">
        <f t="shared" si="9"/>
        <v>923.6400000000001</v>
      </c>
      <c r="U23" s="17">
        <f t="shared" si="4"/>
        <v>141018.28</v>
      </c>
      <c r="W23" s="122"/>
      <c r="X23" s="83">
        <f t="shared" si="10"/>
        <v>390</v>
      </c>
      <c r="Y23" s="15"/>
      <c r="Z23" s="69"/>
      <c r="AA23" s="203"/>
      <c r="AB23" s="69">
        <f t="shared" si="13"/>
        <v>0</v>
      </c>
      <c r="AC23" s="70"/>
      <c r="AD23" s="71"/>
      <c r="AE23" s="105">
        <f t="shared" si="12"/>
        <v>12085.12</v>
      </c>
      <c r="AF23" s="17">
        <f t="shared" si="5"/>
        <v>0</v>
      </c>
    </row>
    <row r="24" spans="1:32" x14ac:dyDescent="0.25">
      <c r="A24" s="123"/>
      <c r="B24" s="83">
        <f t="shared" si="6"/>
        <v>493</v>
      </c>
      <c r="C24" s="15">
        <v>10</v>
      </c>
      <c r="D24" s="59">
        <v>299.05</v>
      </c>
      <c r="E24" s="210">
        <v>44778</v>
      </c>
      <c r="F24" s="59">
        <f t="shared" si="1"/>
        <v>299.05</v>
      </c>
      <c r="G24" s="602" t="s">
        <v>199</v>
      </c>
      <c r="H24" s="60">
        <v>133</v>
      </c>
      <c r="I24" s="105">
        <f t="shared" si="7"/>
        <v>14370.23</v>
      </c>
      <c r="J24" s="17">
        <f t="shared" si="2"/>
        <v>39773.65</v>
      </c>
      <c r="L24" s="123"/>
      <c r="M24" s="83">
        <f t="shared" si="8"/>
        <v>0</v>
      </c>
      <c r="N24" s="15">
        <v>28</v>
      </c>
      <c r="O24" s="69">
        <v>923.64</v>
      </c>
      <c r="P24" s="203">
        <v>44825</v>
      </c>
      <c r="Q24" s="69">
        <f t="shared" si="3"/>
        <v>923.64</v>
      </c>
      <c r="R24" s="70" t="s">
        <v>696</v>
      </c>
      <c r="S24" s="71">
        <v>139</v>
      </c>
      <c r="T24" s="105">
        <f t="shared" si="9"/>
        <v>0</v>
      </c>
      <c r="U24" s="17">
        <f t="shared" si="4"/>
        <v>128385.95999999999</v>
      </c>
      <c r="W24" s="123"/>
      <c r="X24" s="83">
        <f t="shared" si="10"/>
        <v>390</v>
      </c>
      <c r="Y24" s="15"/>
      <c r="Z24" s="69"/>
      <c r="AA24" s="203"/>
      <c r="AB24" s="69">
        <f t="shared" si="13"/>
        <v>0</v>
      </c>
      <c r="AC24" s="70"/>
      <c r="AD24" s="71"/>
      <c r="AE24" s="105">
        <f t="shared" si="12"/>
        <v>12085.12</v>
      </c>
      <c r="AF24" s="17">
        <f t="shared" si="5"/>
        <v>0</v>
      </c>
    </row>
    <row r="25" spans="1:32" x14ac:dyDescent="0.25">
      <c r="A25" s="122"/>
      <c r="B25" s="83">
        <f t="shared" si="6"/>
        <v>488</v>
      </c>
      <c r="C25" s="15">
        <v>5</v>
      </c>
      <c r="D25" s="59">
        <v>144.33000000000001</v>
      </c>
      <c r="E25" s="210">
        <v>44779</v>
      </c>
      <c r="F25" s="59">
        <f t="shared" si="1"/>
        <v>144.33000000000001</v>
      </c>
      <c r="G25" s="602" t="s">
        <v>200</v>
      </c>
      <c r="H25" s="60">
        <v>133</v>
      </c>
      <c r="I25" s="105">
        <f t="shared" si="7"/>
        <v>14225.9</v>
      </c>
      <c r="J25" s="17">
        <f t="shared" si="2"/>
        <v>19195.890000000003</v>
      </c>
      <c r="L25" s="122"/>
      <c r="M25" s="83">
        <f t="shared" si="8"/>
        <v>0</v>
      </c>
      <c r="N25" s="15"/>
      <c r="O25" s="69"/>
      <c r="P25" s="203"/>
      <c r="Q25" s="69">
        <f t="shared" si="3"/>
        <v>0</v>
      </c>
      <c r="R25" s="909"/>
      <c r="S25" s="910"/>
      <c r="T25" s="894">
        <f t="shared" si="9"/>
        <v>0</v>
      </c>
      <c r="U25" s="895">
        <f t="shared" si="4"/>
        <v>0</v>
      </c>
      <c r="W25" s="122"/>
      <c r="X25" s="83">
        <f t="shared" si="10"/>
        <v>390</v>
      </c>
      <c r="Y25" s="15"/>
      <c r="Z25" s="69"/>
      <c r="AA25" s="203"/>
      <c r="AB25" s="69">
        <f t="shared" si="13"/>
        <v>0</v>
      </c>
      <c r="AC25" s="70"/>
      <c r="AD25" s="71"/>
      <c r="AE25" s="105">
        <f t="shared" si="12"/>
        <v>12085.12</v>
      </c>
      <c r="AF25" s="17">
        <f t="shared" si="5"/>
        <v>0</v>
      </c>
    </row>
    <row r="26" spans="1:32" x14ac:dyDescent="0.25">
      <c r="A26" s="122"/>
      <c r="B26" s="83">
        <f t="shared" si="6"/>
        <v>478</v>
      </c>
      <c r="C26" s="15">
        <v>10</v>
      </c>
      <c r="D26" s="59">
        <v>313.26</v>
      </c>
      <c r="E26" s="210">
        <v>44779</v>
      </c>
      <c r="F26" s="59">
        <f t="shared" si="1"/>
        <v>313.26</v>
      </c>
      <c r="G26" s="602" t="s">
        <v>203</v>
      </c>
      <c r="H26" s="60">
        <v>133</v>
      </c>
      <c r="I26" s="105">
        <f t="shared" si="7"/>
        <v>13912.64</v>
      </c>
      <c r="J26" s="17">
        <f t="shared" si="2"/>
        <v>41663.58</v>
      </c>
      <c r="L26" s="122"/>
      <c r="M26" s="83">
        <f t="shared" si="8"/>
        <v>0</v>
      </c>
      <c r="N26" s="15"/>
      <c r="O26" s="69"/>
      <c r="P26" s="203"/>
      <c r="Q26" s="69">
        <f t="shared" si="3"/>
        <v>0</v>
      </c>
      <c r="R26" s="909"/>
      <c r="S26" s="910"/>
      <c r="T26" s="894">
        <f t="shared" si="9"/>
        <v>0</v>
      </c>
      <c r="U26" s="895">
        <f t="shared" si="4"/>
        <v>0</v>
      </c>
      <c r="W26" s="122"/>
      <c r="X26" s="83">
        <f t="shared" si="10"/>
        <v>390</v>
      </c>
      <c r="Y26" s="15"/>
      <c r="Z26" s="69"/>
      <c r="AA26" s="203"/>
      <c r="AB26" s="69">
        <f t="shared" si="13"/>
        <v>0</v>
      </c>
      <c r="AC26" s="70"/>
      <c r="AD26" s="71"/>
      <c r="AE26" s="105">
        <f t="shared" si="12"/>
        <v>12085.12</v>
      </c>
      <c r="AF26" s="17">
        <f t="shared" si="5"/>
        <v>0</v>
      </c>
    </row>
    <row r="27" spans="1:32" x14ac:dyDescent="0.25">
      <c r="A27" s="122"/>
      <c r="B27" s="83">
        <f t="shared" si="6"/>
        <v>473</v>
      </c>
      <c r="C27" s="15">
        <v>5</v>
      </c>
      <c r="D27" s="59">
        <v>139.44</v>
      </c>
      <c r="E27" s="210">
        <v>44781</v>
      </c>
      <c r="F27" s="59">
        <f t="shared" si="1"/>
        <v>139.44</v>
      </c>
      <c r="G27" s="602" t="s">
        <v>206</v>
      </c>
      <c r="H27" s="60">
        <v>133</v>
      </c>
      <c r="I27" s="105">
        <f t="shared" si="7"/>
        <v>13773.199999999999</v>
      </c>
      <c r="J27" s="17">
        <f t="shared" si="2"/>
        <v>18545.52</v>
      </c>
      <c r="L27" s="122"/>
      <c r="M27" s="83">
        <f t="shared" si="8"/>
        <v>0</v>
      </c>
      <c r="N27" s="15"/>
      <c r="O27" s="69"/>
      <c r="P27" s="203"/>
      <c r="Q27" s="69">
        <f t="shared" si="3"/>
        <v>0</v>
      </c>
      <c r="R27" s="909"/>
      <c r="S27" s="910"/>
      <c r="T27" s="894">
        <f t="shared" si="9"/>
        <v>0</v>
      </c>
      <c r="U27" s="895">
        <f t="shared" si="4"/>
        <v>0</v>
      </c>
      <c r="W27" s="122"/>
      <c r="X27" s="83">
        <f t="shared" si="10"/>
        <v>390</v>
      </c>
      <c r="Y27" s="15"/>
      <c r="Z27" s="69"/>
      <c r="AA27" s="203"/>
      <c r="AB27" s="69">
        <f t="shared" si="13"/>
        <v>0</v>
      </c>
      <c r="AC27" s="70"/>
      <c r="AD27" s="71"/>
      <c r="AE27" s="105">
        <f t="shared" si="12"/>
        <v>12085.12</v>
      </c>
      <c r="AF27" s="17">
        <f t="shared" si="5"/>
        <v>0</v>
      </c>
    </row>
    <row r="28" spans="1:32" x14ac:dyDescent="0.25">
      <c r="A28" s="122"/>
      <c r="B28" s="83">
        <f t="shared" si="6"/>
        <v>443</v>
      </c>
      <c r="C28" s="15">
        <v>30</v>
      </c>
      <c r="D28" s="59">
        <v>878.84</v>
      </c>
      <c r="E28" s="210">
        <v>44782</v>
      </c>
      <c r="F28" s="59">
        <f t="shared" si="1"/>
        <v>878.84</v>
      </c>
      <c r="G28" s="602" t="s">
        <v>208</v>
      </c>
      <c r="H28" s="60">
        <v>133</v>
      </c>
      <c r="I28" s="105">
        <f t="shared" si="7"/>
        <v>12894.359999999999</v>
      </c>
      <c r="J28" s="17">
        <f t="shared" si="2"/>
        <v>116885.72</v>
      </c>
      <c r="L28" s="122"/>
      <c r="M28" s="83">
        <f t="shared" si="8"/>
        <v>0</v>
      </c>
      <c r="N28" s="15"/>
      <c r="O28" s="69"/>
      <c r="P28" s="203"/>
      <c r="Q28" s="69">
        <f t="shared" si="3"/>
        <v>0</v>
      </c>
      <c r="R28" s="909"/>
      <c r="S28" s="910"/>
      <c r="T28" s="894">
        <f t="shared" si="9"/>
        <v>0</v>
      </c>
      <c r="U28" s="895">
        <f t="shared" si="4"/>
        <v>0</v>
      </c>
      <c r="W28" s="122"/>
      <c r="X28" s="83">
        <f t="shared" si="10"/>
        <v>390</v>
      </c>
      <c r="Y28" s="15"/>
      <c r="Z28" s="69"/>
      <c r="AA28" s="203"/>
      <c r="AB28" s="69">
        <f t="shared" si="13"/>
        <v>0</v>
      </c>
      <c r="AC28" s="70"/>
      <c r="AD28" s="71"/>
      <c r="AE28" s="105">
        <f t="shared" si="12"/>
        <v>12085.12</v>
      </c>
      <c r="AF28" s="17">
        <f t="shared" si="5"/>
        <v>0</v>
      </c>
    </row>
    <row r="29" spans="1:32" x14ac:dyDescent="0.25">
      <c r="A29" s="122"/>
      <c r="B29" s="83">
        <f t="shared" si="6"/>
        <v>438</v>
      </c>
      <c r="C29" s="15">
        <v>5</v>
      </c>
      <c r="D29" s="59">
        <v>161.25</v>
      </c>
      <c r="E29" s="210">
        <v>44783</v>
      </c>
      <c r="F29" s="59">
        <f t="shared" si="1"/>
        <v>161.25</v>
      </c>
      <c r="G29" s="602" t="s">
        <v>210</v>
      </c>
      <c r="H29" s="60">
        <v>133</v>
      </c>
      <c r="I29" s="105">
        <f t="shared" si="7"/>
        <v>12733.109999999999</v>
      </c>
      <c r="J29" s="17">
        <f t="shared" si="2"/>
        <v>21446.25</v>
      </c>
      <c r="L29" s="122"/>
      <c r="M29" s="83">
        <f t="shared" si="8"/>
        <v>0</v>
      </c>
      <c r="N29" s="15"/>
      <c r="O29" s="69"/>
      <c r="P29" s="203"/>
      <c r="Q29" s="69">
        <f t="shared" si="3"/>
        <v>0</v>
      </c>
      <c r="R29" s="70"/>
      <c r="S29" s="71"/>
      <c r="T29" s="105">
        <f t="shared" si="9"/>
        <v>0</v>
      </c>
      <c r="U29" s="17">
        <f t="shared" si="4"/>
        <v>0</v>
      </c>
      <c r="W29" s="122"/>
      <c r="X29" s="83">
        <f t="shared" si="10"/>
        <v>390</v>
      </c>
      <c r="Y29" s="15"/>
      <c r="Z29" s="69"/>
      <c r="AA29" s="203"/>
      <c r="AB29" s="69">
        <f t="shared" si="13"/>
        <v>0</v>
      </c>
      <c r="AC29" s="70"/>
      <c r="AD29" s="71"/>
      <c r="AE29" s="105">
        <f t="shared" si="12"/>
        <v>12085.12</v>
      </c>
      <c r="AF29" s="17">
        <f t="shared" si="5"/>
        <v>0</v>
      </c>
    </row>
    <row r="30" spans="1:32" x14ac:dyDescent="0.25">
      <c r="A30" s="122"/>
      <c r="B30" s="83">
        <f t="shared" si="6"/>
        <v>435</v>
      </c>
      <c r="C30" s="15">
        <v>3</v>
      </c>
      <c r="D30" s="59">
        <v>90.99</v>
      </c>
      <c r="E30" s="210">
        <v>44783</v>
      </c>
      <c r="F30" s="59">
        <f t="shared" si="1"/>
        <v>90.99</v>
      </c>
      <c r="G30" s="602" t="s">
        <v>211</v>
      </c>
      <c r="H30" s="60">
        <v>133</v>
      </c>
      <c r="I30" s="105">
        <f t="shared" si="7"/>
        <v>12642.119999999999</v>
      </c>
      <c r="J30" s="17">
        <f t="shared" si="2"/>
        <v>12101.67</v>
      </c>
      <c r="L30" s="122"/>
      <c r="M30" s="83">
        <f t="shared" si="8"/>
        <v>0</v>
      </c>
      <c r="N30" s="15"/>
      <c r="O30" s="69"/>
      <c r="P30" s="203"/>
      <c r="Q30" s="69">
        <f t="shared" si="3"/>
        <v>0</v>
      </c>
      <c r="R30" s="70"/>
      <c r="S30" s="71"/>
      <c r="T30" s="105">
        <f t="shared" si="9"/>
        <v>0</v>
      </c>
      <c r="U30" s="17">
        <f t="shared" si="4"/>
        <v>0</v>
      </c>
      <c r="W30" s="122"/>
      <c r="X30" s="83">
        <f t="shared" si="10"/>
        <v>390</v>
      </c>
      <c r="Y30" s="15"/>
      <c r="Z30" s="69"/>
      <c r="AA30" s="203"/>
      <c r="AB30" s="69">
        <f t="shared" si="13"/>
        <v>0</v>
      </c>
      <c r="AC30" s="70"/>
      <c r="AD30" s="71"/>
      <c r="AE30" s="105">
        <f t="shared" si="12"/>
        <v>12085.12</v>
      </c>
      <c r="AF30" s="17">
        <f t="shared" si="5"/>
        <v>0</v>
      </c>
    </row>
    <row r="31" spans="1:32" x14ac:dyDescent="0.25">
      <c r="A31" s="122"/>
      <c r="B31" s="83">
        <f t="shared" si="6"/>
        <v>430</v>
      </c>
      <c r="C31" s="15">
        <v>5</v>
      </c>
      <c r="D31" s="59">
        <v>158.88999999999999</v>
      </c>
      <c r="E31" s="210">
        <v>44784</v>
      </c>
      <c r="F31" s="59">
        <f t="shared" si="1"/>
        <v>158.88999999999999</v>
      </c>
      <c r="G31" s="602" t="s">
        <v>202</v>
      </c>
      <c r="H31" s="60">
        <v>133</v>
      </c>
      <c r="I31" s="105">
        <f t="shared" si="7"/>
        <v>12483.23</v>
      </c>
      <c r="J31" s="17">
        <f t="shared" si="2"/>
        <v>21132.37</v>
      </c>
      <c r="L31" s="122"/>
      <c r="M31" s="83">
        <f t="shared" si="8"/>
        <v>0</v>
      </c>
      <c r="N31" s="15"/>
      <c r="O31" s="69"/>
      <c r="P31" s="203"/>
      <c r="Q31" s="69">
        <f t="shared" si="3"/>
        <v>0</v>
      </c>
      <c r="R31" s="70"/>
      <c r="S31" s="71"/>
      <c r="T31" s="105">
        <f t="shared" si="9"/>
        <v>0</v>
      </c>
      <c r="U31" s="17">
        <f t="shared" si="4"/>
        <v>0</v>
      </c>
      <c r="W31" s="122"/>
      <c r="X31" s="83">
        <f t="shared" si="10"/>
        <v>390</v>
      </c>
      <c r="Y31" s="15"/>
      <c r="Z31" s="69"/>
      <c r="AA31" s="203"/>
      <c r="AB31" s="69">
        <f t="shared" si="13"/>
        <v>0</v>
      </c>
      <c r="AC31" s="70"/>
      <c r="AD31" s="71"/>
      <c r="AE31" s="105">
        <f t="shared" si="12"/>
        <v>12085.12</v>
      </c>
      <c r="AF31" s="17">
        <f t="shared" si="5"/>
        <v>0</v>
      </c>
    </row>
    <row r="32" spans="1:32" x14ac:dyDescent="0.25">
      <c r="A32" s="122"/>
      <c r="B32" s="83">
        <f t="shared" si="6"/>
        <v>420</v>
      </c>
      <c r="C32" s="15">
        <v>10</v>
      </c>
      <c r="D32" s="59">
        <v>310.18</v>
      </c>
      <c r="E32" s="210">
        <v>44784</v>
      </c>
      <c r="F32" s="59">
        <f t="shared" si="1"/>
        <v>310.18</v>
      </c>
      <c r="G32" s="602" t="s">
        <v>214</v>
      </c>
      <c r="H32" s="60">
        <v>133</v>
      </c>
      <c r="I32" s="105">
        <f t="shared" si="7"/>
        <v>12173.05</v>
      </c>
      <c r="J32" s="17">
        <f t="shared" si="2"/>
        <v>41253.94</v>
      </c>
      <c r="L32" s="122"/>
      <c r="M32" s="83">
        <f t="shared" si="8"/>
        <v>0</v>
      </c>
      <c r="N32" s="15"/>
      <c r="O32" s="69"/>
      <c r="P32" s="203"/>
      <c r="Q32" s="69">
        <f t="shared" si="3"/>
        <v>0</v>
      </c>
      <c r="R32" s="70"/>
      <c r="S32" s="71"/>
      <c r="T32" s="105">
        <f t="shared" si="9"/>
        <v>0</v>
      </c>
      <c r="U32" s="17">
        <f t="shared" si="4"/>
        <v>0</v>
      </c>
      <c r="W32" s="122"/>
      <c r="X32" s="83">
        <f t="shared" si="10"/>
        <v>390</v>
      </c>
      <c r="Y32" s="15"/>
      <c r="Z32" s="69"/>
      <c r="AA32" s="203"/>
      <c r="AB32" s="69">
        <f t="shared" si="13"/>
        <v>0</v>
      </c>
      <c r="AC32" s="70"/>
      <c r="AD32" s="71"/>
      <c r="AE32" s="105">
        <f t="shared" si="12"/>
        <v>12085.12</v>
      </c>
      <c r="AF32" s="17">
        <f t="shared" si="5"/>
        <v>0</v>
      </c>
    </row>
    <row r="33" spans="1:32" x14ac:dyDescent="0.25">
      <c r="A33" s="122"/>
      <c r="B33" s="83">
        <f t="shared" si="6"/>
        <v>390</v>
      </c>
      <c r="C33" s="15">
        <v>30</v>
      </c>
      <c r="D33" s="59">
        <v>920.65</v>
      </c>
      <c r="E33" s="210">
        <v>44785</v>
      </c>
      <c r="F33" s="59">
        <f t="shared" si="1"/>
        <v>920.65</v>
      </c>
      <c r="G33" s="602" t="s">
        <v>218</v>
      </c>
      <c r="H33" s="60">
        <v>133</v>
      </c>
      <c r="I33" s="105">
        <f t="shared" si="7"/>
        <v>11252.4</v>
      </c>
      <c r="J33" s="17">
        <f t="shared" si="2"/>
        <v>122446.45</v>
      </c>
      <c r="L33" s="122"/>
      <c r="M33" s="83">
        <f t="shared" si="8"/>
        <v>0</v>
      </c>
      <c r="N33" s="15"/>
      <c r="O33" s="69"/>
      <c r="P33" s="203"/>
      <c r="Q33" s="69">
        <f t="shared" si="3"/>
        <v>0</v>
      </c>
      <c r="R33" s="70"/>
      <c r="S33" s="71"/>
      <c r="T33" s="105">
        <f t="shared" si="9"/>
        <v>0</v>
      </c>
      <c r="U33" s="17">
        <f t="shared" si="4"/>
        <v>0</v>
      </c>
      <c r="W33" s="122"/>
      <c r="X33" s="83">
        <f t="shared" si="10"/>
        <v>390</v>
      </c>
      <c r="Y33" s="15"/>
      <c r="Z33" s="69"/>
      <c r="AA33" s="203"/>
      <c r="AB33" s="69">
        <f t="shared" si="13"/>
        <v>0</v>
      </c>
      <c r="AC33" s="70"/>
      <c r="AD33" s="71"/>
      <c r="AE33" s="105">
        <f t="shared" si="12"/>
        <v>12085.12</v>
      </c>
      <c r="AF33" s="17">
        <f t="shared" si="5"/>
        <v>0</v>
      </c>
    </row>
    <row r="34" spans="1:32" x14ac:dyDescent="0.25">
      <c r="A34" s="122"/>
      <c r="B34" s="83">
        <f t="shared" si="6"/>
        <v>385</v>
      </c>
      <c r="C34" s="15">
        <v>5</v>
      </c>
      <c r="D34" s="59">
        <v>138.80000000000001</v>
      </c>
      <c r="E34" s="210">
        <v>44786</v>
      </c>
      <c r="F34" s="59">
        <f t="shared" si="1"/>
        <v>138.80000000000001</v>
      </c>
      <c r="G34" s="602" t="s">
        <v>220</v>
      </c>
      <c r="H34" s="60">
        <v>133</v>
      </c>
      <c r="I34" s="105">
        <f t="shared" si="7"/>
        <v>11113.6</v>
      </c>
      <c r="J34" s="17">
        <f t="shared" si="2"/>
        <v>18460.400000000001</v>
      </c>
      <c r="L34" s="122"/>
      <c r="M34" s="83">
        <f t="shared" si="8"/>
        <v>0</v>
      </c>
      <c r="N34" s="15"/>
      <c r="O34" s="69"/>
      <c r="P34" s="203"/>
      <c r="Q34" s="69">
        <f t="shared" si="3"/>
        <v>0</v>
      </c>
      <c r="R34" s="70"/>
      <c r="S34" s="71"/>
      <c r="T34" s="105">
        <f t="shared" si="9"/>
        <v>0</v>
      </c>
      <c r="U34" s="17">
        <f t="shared" si="4"/>
        <v>0</v>
      </c>
      <c r="W34" s="122"/>
      <c r="X34" s="83">
        <f t="shared" si="10"/>
        <v>390</v>
      </c>
      <c r="Y34" s="15"/>
      <c r="Z34" s="69"/>
      <c r="AA34" s="203"/>
      <c r="AB34" s="69">
        <f t="shared" si="13"/>
        <v>0</v>
      </c>
      <c r="AC34" s="70"/>
      <c r="AD34" s="71"/>
      <c r="AE34" s="105">
        <f t="shared" si="12"/>
        <v>12085.12</v>
      </c>
      <c r="AF34" s="17">
        <f t="shared" si="5"/>
        <v>0</v>
      </c>
    </row>
    <row r="35" spans="1:32" x14ac:dyDescent="0.25">
      <c r="A35" s="122"/>
      <c r="B35" s="83">
        <f t="shared" si="6"/>
        <v>384</v>
      </c>
      <c r="C35" s="15">
        <v>1</v>
      </c>
      <c r="D35" s="59">
        <v>32.93</v>
      </c>
      <c r="E35" s="210">
        <v>44786</v>
      </c>
      <c r="F35" s="59">
        <f t="shared" si="1"/>
        <v>32.93</v>
      </c>
      <c r="G35" s="602" t="s">
        <v>221</v>
      </c>
      <c r="H35" s="60">
        <v>133</v>
      </c>
      <c r="I35" s="105">
        <f t="shared" si="7"/>
        <v>11080.67</v>
      </c>
      <c r="J35" s="17">
        <f t="shared" si="2"/>
        <v>4379.6899999999996</v>
      </c>
      <c r="L35" s="122"/>
      <c r="M35" s="83">
        <f t="shared" si="8"/>
        <v>0</v>
      </c>
      <c r="N35" s="15"/>
      <c r="O35" s="69"/>
      <c r="P35" s="203"/>
      <c r="Q35" s="69">
        <f t="shared" si="3"/>
        <v>0</v>
      </c>
      <c r="R35" s="70"/>
      <c r="S35" s="71"/>
      <c r="T35" s="105">
        <f t="shared" si="9"/>
        <v>0</v>
      </c>
      <c r="U35" s="17">
        <f t="shared" si="4"/>
        <v>0</v>
      </c>
      <c r="W35" s="122"/>
      <c r="X35" s="83">
        <f t="shared" si="10"/>
        <v>390</v>
      </c>
      <c r="Y35" s="15"/>
      <c r="Z35" s="69"/>
      <c r="AA35" s="203"/>
      <c r="AB35" s="69">
        <f t="shared" si="13"/>
        <v>0</v>
      </c>
      <c r="AC35" s="70"/>
      <c r="AD35" s="71"/>
      <c r="AE35" s="105">
        <f t="shared" si="12"/>
        <v>12085.12</v>
      </c>
      <c r="AF35" s="17">
        <f t="shared" si="5"/>
        <v>0</v>
      </c>
    </row>
    <row r="36" spans="1:32" x14ac:dyDescent="0.25">
      <c r="A36" s="122"/>
      <c r="B36" s="83">
        <f t="shared" si="6"/>
        <v>379</v>
      </c>
      <c r="C36" s="15">
        <v>5</v>
      </c>
      <c r="D36" s="59">
        <v>152.72999999999999</v>
      </c>
      <c r="E36" s="210">
        <v>44786</v>
      </c>
      <c r="F36" s="59">
        <f t="shared" si="1"/>
        <v>152.72999999999999</v>
      </c>
      <c r="G36" s="602" t="s">
        <v>222</v>
      </c>
      <c r="H36" s="60">
        <v>133</v>
      </c>
      <c r="I36" s="105">
        <f t="shared" si="7"/>
        <v>10927.94</v>
      </c>
      <c r="J36" s="17">
        <f t="shared" si="2"/>
        <v>20313.09</v>
      </c>
      <c r="L36" s="122"/>
      <c r="M36" s="83">
        <f t="shared" si="8"/>
        <v>0</v>
      </c>
      <c r="N36" s="15"/>
      <c r="O36" s="69"/>
      <c r="P36" s="203"/>
      <c r="Q36" s="69">
        <f t="shared" si="3"/>
        <v>0</v>
      </c>
      <c r="R36" s="70"/>
      <c r="S36" s="71"/>
      <c r="T36" s="105">
        <f t="shared" si="9"/>
        <v>0</v>
      </c>
      <c r="U36" s="17">
        <f t="shared" si="4"/>
        <v>0</v>
      </c>
      <c r="W36" s="122"/>
      <c r="X36" s="83">
        <f t="shared" si="10"/>
        <v>390</v>
      </c>
      <c r="Y36" s="15"/>
      <c r="Z36" s="69"/>
      <c r="AA36" s="203"/>
      <c r="AB36" s="69">
        <f t="shared" si="13"/>
        <v>0</v>
      </c>
      <c r="AC36" s="70"/>
      <c r="AD36" s="71"/>
      <c r="AE36" s="105">
        <f t="shared" si="12"/>
        <v>12085.12</v>
      </c>
      <c r="AF36" s="17">
        <f t="shared" si="5"/>
        <v>0</v>
      </c>
    </row>
    <row r="37" spans="1:32" x14ac:dyDescent="0.25">
      <c r="A37" s="122" t="s">
        <v>22</v>
      </c>
      <c r="B37" s="83">
        <f t="shared" si="6"/>
        <v>369</v>
      </c>
      <c r="C37" s="15">
        <v>10</v>
      </c>
      <c r="D37" s="59">
        <v>297.42</v>
      </c>
      <c r="E37" s="210">
        <v>44788</v>
      </c>
      <c r="F37" s="59">
        <f t="shared" si="1"/>
        <v>297.42</v>
      </c>
      <c r="G37" s="602" t="s">
        <v>227</v>
      </c>
      <c r="H37" s="60">
        <v>133</v>
      </c>
      <c r="I37" s="105">
        <f t="shared" si="7"/>
        <v>10630.52</v>
      </c>
      <c r="J37" s="17">
        <f t="shared" si="2"/>
        <v>39556.86</v>
      </c>
      <c r="L37" s="122" t="s">
        <v>22</v>
      </c>
      <c r="M37" s="83">
        <f t="shared" si="8"/>
        <v>0</v>
      </c>
      <c r="N37" s="15"/>
      <c r="O37" s="69"/>
      <c r="P37" s="203"/>
      <c r="Q37" s="69">
        <f t="shared" si="3"/>
        <v>0</v>
      </c>
      <c r="R37" s="70"/>
      <c r="S37" s="71"/>
      <c r="T37" s="105">
        <f t="shared" si="9"/>
        <v>0</v>
      </c>
      <c r="U37" s="17">
        <f t="shared" si="4"/>
        <v>0</v>
      </c>
      <c r="W37" s="122" t="s">
        <v>22</v>
      </c>
      <c r="X37" s="83">
        <f t="shared" si="10"/>
        <v>390</v>
      </c>
      <c r="Y37" s="15"/>
      <c r="Z37" s="69"/>
      <c r="AA37" s="203"/>
      <c r="AB37" s="69">
        <f t="shared" si="13"/>
        <v>0</v>
      </c>
      <c r="AC37" s="70"/>
      <c r="AD37" s="71"/>
      <c r="AE37" s="105">
        <f t="shared" si="12"/>
        <v>12085.12</v>
      </c>
      <c r="AF37" s="17">
        <f t="shared" si="5"/>
        <v>0</v>
      </c>
    </row>
    <row r="38" spans="1:32" x14ac:dyDescent="0.25">
      <c r="A38" s="123"/>
      <c r="B38" s="83">
        <f t="shared" si="6"/>
        <v>364</v>
      </c>
      <c r="C38" s="15">
        <v>5</v>
      </c>
      <c r="D38" s="59">
        <v>147.51</v>
      </c>
      <c r="E38" s="210">
        <v>44788</v>
      </c>
      <c r="F38" s="59">
        <f t="shared" si="1"/>
        <v>147.51</v>
      </c>
      <c r="G38" s="602" t="s">
        <v>229</v>
      </c>
      <c r="H38" s="60">
        <v>133</v>
      </c>
      <c r="I38" s="105">
        <f t="shared" si="7"/>
        <v>10483.01</v>
      </c>
      <c r="J38" s="17">
        <f t="shared" si="2"/>
        <v>19618.829999999998</v>
      </c>
      <c r="L38" s="123"/>
      <c r="M38" s="83">
        <f t="shared" si="8"/>
        <v>0</v>
      </c>
      <c r="N38" s="15"/>
      <c r="O38" s="69"/>
      <c r="P38" s="203"/>
      <c r="Q38" s="69">
        <f t="shared" si="3"/>
        <v>0</v>
      </c>
      <c r="R38" s="70"/>
      <c r="S38" s="71"/>
      <c r="T38" s="105">
        <f t="shared" si="9"/>
        <v>0</v>
      </c>
      <c r="U38" s="17">
        <f t="shared" si="4"/>
        <v>0</v>
      </c>
      <c r="W38" s="123"/>
      <c r="X38" s="83">
        <f t="shared" si="10"/>
        <v>390</v>
      </c>
      <c r="Y38" s="15"/>
      <c r="Z38" s="69"/>
      <c r="AA38" s="203"/>
      <c r="AB38" s="69">
        <f t="shared" si="13"/>
        <v>0</v>
      </c>
      <c r="AC38" s="70"/>
      <c r="AD38" s="71"/>
      <c r="AE38" s="105">
        <f t="shared" si="12"/>
        <v>12085.12</v>
      </c>
      <c r="AF38" s="17">
        <f t="shared" si="5"/>
        <v>0</v>
      </c>
    </row>
    <row r="39" spans="1:32" x14ac:dyDescent="0.25">
      <c r="A39" s="122"/>
      <c r="B39" s="83">
        <f t="shared" si="6"/>
        <v>334</v>
      </c>
      <c r="C39" s="15">
        <v>30</v>
      </c>
      <c r="D39" s="59">
        <v>862.88</v>
      </c>
      <c r="E39" s="210">
        <v>44788</v>
      </c>
      <c r="F39" s="59">
        <f t="shared" si="1"/>
        <v>862.88</v>
      </c>
      <c r="G39" s="602" t="s">
        <v>230</v>
      </c>
      <c r="H39" s="60">
        <v>133</v>
      </c>
      <c r="I39" s="105">
        <f t="shared" si="7"/>
        <v>9620.130000000001</v>
      </c>
      <c r="J39" s="17">
        <f t="shared" si="2"/>
        <v>114763.04</v>
      </c>
      <c r="L39" s="122"/>
      <c r="M39" s="83">
        <f t="shared" si="8"/>
        <v>0</v>
      </c>
      <c r="N39" s="15"/>
      <c r="O39" s="69"/>
      <c r="P39" s="203"/>
      <c r="Q39" s="69">
        <f t="shared" si="3"/>
        <v>0</v>
      </c>
      <c r="R39" s="70"/>
      <c r="S39" s="71"/>
      <c r="T39" s="105">
        <f t="shared" si="9"/>
        <v>0</v>
      </c>
      <c r="U39" s="17">
        <f t="shared" si="4"/>
        <v>0</v>
      </c>
      <c r="W39" s="122"/>
      <c r="X39" s="83">
        <f t="shared" si="10"/>
        <v>390</v>
      </c>
      <c r="Y39" s="15"/>
      <c r="Z39" s="69"/>
      <c r="AA39" s="203"/>
      <c r="AB39" s="69">
        <f t="shared" si="13"/>
        <v>0</v>
      </c>
      <c r="AC39" s="70"/>
      <c r="AD39" s="71"/>
      <c r="AE39" s="105">
        <f t="shared" si="12"/>
        <v>12085.12</v>
      </c>
      <c r="AF39" s="17">
        <f t="shared" si="5"/>
        <v>0</v>
      </c>
    </row>
    <row r="40" spans="1:32" x14ac:dyDescent="0.25">
      <c r="A40" s="122"/>
      <c r="B40" s="83">
        <f t="shared" si="6"/>
        <v>333</v>
      </c>
      <c r="C40" s="15">
        <v>1</v>
      </c>
      <c r="D40" s="59">
        <v>29.44</v>
      </c>
      <c r="E40" s="210">
        <v>44790</v>
      </c>
      <c r="F40" s="59">
        <f t="shared" si="1"/>
        <v>29.44</v>
      </c>
      <c r="G40" s="602" t="s">
        <v>231</v>
      </c>
      <c r="H40" s="60">
        <v>133</v>
      </c>
      <c r="I40" s="105">
        <f t="shared" si="7"/>
        <v>9590.69</v>
      </c>
      <c r="J40" s="17">
        <f t="shared" si="2"/>
        <v>3915.52</v>
      </c>
      <c r="L40" s="122"/>
      <c r="M40" s="83">
        <f t="shared" si="8"/>
        <v>0</v>
      </c>
      <c r="N40" s="15"/>
      <c r="O40" s="69"/>
      <c r="P40" s="203"/>
      <c r="Q40" s="69">
        <f t="shared" si="3"/>
        <v>0</v>
      </c>
      <c r="R40" s="70"/>
      <c r="S40" s="71"/>
      <c r="T40" s="105">
        <f t="shared" si="9"/>
        <v>0</v>
      </c>
      <c r="U40" s="17">
        <f t="shared" si="4"/>
        <v>0</v>
      </c>
      <c r="W40" s="122"/>
      <c r="X40" s="83">
        <f t="shared" si="10"/>
        <v>390</v>
      </c>
      <c r="Y40" s="15"/>
      <c r="Z40" s="69"/>
      <c r="AA40" s="203"/>
      <c r="AB40" s="69">
        <f t="shared" si="13"/>
        <v>0</v>
      </c>
      <c r="AC40" s="70"/>
      <c r="AD40" s="71"/>
      <c r="AE40" s="105">
        <f t="shared" si="12"/>
        <v>12085.12</v>
      </c>
      <c r="AF40" s="17">
        <f t="shared" si="5"/>
        <v>0</v>
      </c>
    </row>
    <row r="41" spans="1:32" x14ac:dyDescent="0.25">
      <c r="A41" s="122"/>
      <c r="B41" s="83">
        <f t="shared" si="6"/>
        <v>303</v>
      </c>
      <c r="C41" s="15">
        <v>30</v>
      </c>
      <c r="D41" s="59">
        <v>909.78</v>
      </c>
      <c r="E41" s="210">
        <v>44789</v>
      </c>
      <c r="F41" s="59">
        <f t="shared" si="1"/>
        <v>909.78</v>
      </c>
      <c r="G41" s="602" t="s">
        <v>232</v>
      </c>
      <c r="H41" s="60">
        <v>133</v>
      </c>
      <c r="I41" s="105">
        <f t="shared" si="7"/>
        <v>8680.91</v>
      </c>
      <c r="J41" s="17">
        <f t="shared" si="2"/>
        <v>121000.73999999999</v>
      </c>
      <c r="L41" s="122"/>
      <c r="M41" s="83">
        <f t="shared" si="8"/>
        <v>0</v>
      </c>
      <c r="N41" s="15"/>
      <c r="O41" s="69"/>
      <c r="P41" s="203"/>
      <c r="Q41" s="69">
        <f t="shared" si="3"/>
        <v>0</v>
      </c>
      <c r="R41" s="70"/>
      <c r="S41" s="71"/>
      <c r="T41" s="105">
        <f t="shared" si="9"/>
        <v>0</v>
      </c>
      <c r="U41" s="17">
        <f t="shared" si="4"/>
        <v>0</v>
      </c>
      <c r="W41" s="122"/>
      <c r="X41" s="83">
        <f t="shared" si="10"/>
        <v>390</v>
      </c>
      <c r="Y41" s="15"/>
      <c r="Z41" s="69"/>
      <c r="AA41" s="203"/>
      <c r="AB41" s="69">
        <f t="shared" si="13"/>
        <v>0</v>
      </c>
      <c r="AC41" s="70"/>
      <c r="AD41" s="71"/>
      <c r="AE41" s="105">
        <f t="shared" si="12"/>
        <v>12085.12</v>
      </c>
      <c r="AF41" s="17">
        <f t="shared" si="5"/>
        <v>0</v>
      </c>
    </row>
    <row r="42" spans="1:32" x14ac:dyDescent="0.25">
      <c r="A42" s="122"/>
      <c r="B42" s="83">
        <f t="shared" si="6"/>
        <v>298</v>
      </c>
      <c r="C42" s="15">
        <v>5</v>
      </c>
      <c r="D42" s="59">
        <v>138.16</v>
      </c>
      <c r="E42" s="210">
        <v>44792</v>
      </c>
      <c r="F42" s="59">
        <f t="shared" si="1"/>
        <v>138.16</v>
      </c>
      <c r="G42" s="602" t="s">
        <v>237</v>
      </c>
      <c r="H42" s="60">
        <v>133</v>
      </c>
      <c r="I42" s="105">
        <f t="shared" si="7"/>
        <v>8542.75</v>
      </c>
      <c r="J42" s="17">
        <f t="shared" si="2"/>
        <v>18375.28</v>
      </c>
      <c r="L42" s="122"/>
      <c r="M42" s="83">
        <f t="shared" si="8"/>
        <v>0</v>
      </c>
      <c r="N42" s="15"/>
      <c r="O42" s="69"/>
      <c r="P42" s="203"/>
      <c r="Q42" s="69">
        <f t="shared" si="3"/>
        <v>0</v>
      </c>
      <c r="R42" s="70"/>
      <c r="S42" s="71"/>
      <c r="T42" s="105">
        <f t="shared" si="9"/>
        <v>0</v>
      </c>
      <c r="U42" s="17">
        <f t="shared" si="4"/>
        <v>0</v>
      </c>
      <c r="W42" s="122"/>
      <c r="X42" s="83">
        <f t="shared" si="10"/>
        <v>390</v>
      </c>
      <c r="Y42" s="15"/>
      <c r="Z42" s="69"/>
      <c r="AA42" s="203"/>
      <c r="AB42" s="69">
        <f t="shared" si="13"/>
        <v>0</v>
      </c>
      <c r="AC42" s="70"/>
      <c r="AD42" s="71"/>
      <c r="AE42" s="105">
        <f t="shared" si="12"/>
        <v>12085.12</v>
      </c>
      <c r="AF42" s="17">
        <f t="shared" si="5"/>
        <v>0</v>
      </c>
    </row>
    <row r="43" spans="1:32" x14ac:dyDescent="0.25">
      <c r="A43" s="122"/>
      <c r="B43" s="83">
        <f t="shared" si="6"/>
        <v>268</v>
      </c>
      <c r="C43" s="15">
        <v>30</v>
      </c>
      <c r="D43" s="59">
        <v>908.42</v>
      </c>
      <c r="E43" s="210">
        <v>44792</v>
      </c>
      <c r="F43" s="59">
        <f t="shared" si="1"/>
        <v>908.42</v>
      </c>
      <c r="G43" s="602" t="s">
        <v>242</v>
      </c>
      <c r="H43" s="60">
        <v>133</v>
      </c>
      <c r="I43" s="105">
        <f t="shared" si="7"/>
        <v>7634.33</v>
      </c>
      <c r="J43" s="17">
        <f t="shared" si="2"/>
        <v>120819.86</v>
      </c>
      <c r="L43" s="122"/>
      <c r="M43" s="83">
        <f t="shared" si="8"/>
        <v>0</v>
      </c>
      <c r="N43" s="15"/>
      <c r="O43" s="69"/>
      <c r="P43" s="203"/>
      <c r="Q43" s="69">
        <f t="shared" si="3"/>
        <v>0</v>
      </c>
      <c r="R43" s="70"/>
      <c r="S43" s="71"/>
      <c r="T43" s="105">
        <f t="shared" si="9"/>
        <v>0</v>
      </c>
      <c r="U43" s="17">
        <f t="shared" si="4"/>
        <v>0</v>
      </c>
      <c r="W43" s="122"/>
      <c r="X43" s="83">
        <f t="shared" si="10"/>
        <v>390</v>
      </c>
      <c r="Y43" s="15"/>
      <c r="Z43" s="69"/>
      <c r="AA43" s="203"/>
      <c r="AB43" s="69">
        <f t="shared" si="13"/>
        <v>0</v>
      </c>
      <c r="AC43" s="70"/>
      <c r="AD43" s="71"/>
      <c r="AE43" s="105">
        <f t="shared" si="12"/>
        <v>12085.12</v>
      </c>
      <c r="AF43" s="17">
        <f t="shared" si="5"/>
        <v>0</v>
      </c>
    </row>
    <row r="44" spans="1:32" x14ac:dyDescent="0.25">
      <c r="A44" s="122"/>
      <c r="B44" s="83">
        <f t="shared" si="6"/>
        <v>258</v>
      </c>
      <c r="C44" s="15">
        <v>10</v>
      </c>
      <c r="D44" s="59">
        <v>283.91000000000003</v>
      </c>
      <c r="E44" s="210">
        <v>44792</v>
      </c>
      <c r="F44" s="59">
        <f t="shared" si="1"/>
        <v>283.91000000000003</v>
      </c>
      <c r="G44" s="602" t="s">
        <v>243</v>
      </c>
      <c r="H44" s="60">
        <v>133</v>
      </c>
      <c r="I44" s="105">
        <f t="shared" si="7"/>
        <v>7350.42</v>
      </c>
      <c r="J44" s="17">
        <f t="shared" si="2"/>
        <v>37760.030000000006</v>
      </c>
      <c r="L44" s="122"/>
      <c r="M44" s="83">
        <f t="shared" si="8"/>
        <v>0</v>
      </c>
      <c r="N44" s="15"/>
      <c r="O44" s="69"/>
      <c r="P44" s="203"/>
      <c r="Q44" s="69">
        <f t="shared" si="3"/>
        <v>0</v>
      </c>
      <c r="R44" s="70"/>
      <c r="S44" s="71"/>
      <c r="T44" s="105">
        <f t="shared" si="9"/>
        <v>0</v>
      </c>
      <c r="U44" s="17">
        <f t="shared" si="4"/>
        <v>0</v>
      </c>
      <c r="W44" s="122"/>
      <c r="X44" s="83">
        <f t="shared" si="10"/>
        <v>390</v>
      </c>
      <c r="Y44" s="15"/>
      <c r="Z44" s="69"/>
      <c r="AA44" s="203"/>
      <c r="AB44" s="69">
        <f t="shared" si="13"/>
        <v>0</v>
      </c>
      <c r="AC44" s="70"/>
      <c r="AD44" s="71"/>
      <c r="AE44" s="105">
        <f t="shared" si="12"/>
        <v>12085.12</v>
      </c>
      <c r="AF44" s="17">
        <f t="shared" si="5"/>
        <v>0</v>
      </c>
    </row>
    <row r="45" spans="1:32" x14ac:dyDescent="0.25">
      <c r="A45" s="122"/>
      <c r="B45" s="83">
        <f t="shared" si="6"/>
        <v>253</v>
      </c>
      <c r="C45" s="15">
        <v>5</v>
      </c>
      <c r="D45" s="59">
        <v>139.94</v>
      </c>
      <c r="E45" s="210">
        <v>44793</v>
      </c>
      <c r="F45" s="59">
        <f t="shared" si="1"/>
        <v>139.94</v>
      </c>
      <c r="G45" s="602" t="s">
        <v>244</v>
      </c>
      <c r="H45" s="60">
        <v>133</v>
      </c>
      <c r="I45" s="105">
        <f t="shared" si="7"/>
        <v>7210.4800000000005</v>
      </c>
      <c r="J45" s="17">
        <f t="shared" si="2"/>
        <v>18612.02</v>
      </c>
      <c r="L45" s="122"/>
      <c r="M45" s="83">
        <f t="shared" si="8"/>
        <v>0</v>
      </c>
      <c r="N45" s="15"/>
      <c r="O45" s="69"/>
      <c r="P45" s="203"/>
      <c r="Q45" s="69">
        <f t="shared" si="3"/>
        <v>0</v>
      </c>
      <c r="R45" s="70"/>
      <c r="S45" s="71"/>
      <c r="T45" s="105">
        <f t="shared" si="9"/>
        <v>0</v>
      </c>
      <c r="U45" s="17">
        <f t="shared" si="4"/>
        <v>0</v>
      </c>
      <c r="W45" s="122"/>
      <c r="X45" s="83">
        <f t="shared" si="10"/>
        <v>390</v>
      </c>
      <c r="Y45" s="15"/>
      <c r="Z45" s="69"/>
      <c r="AA45" s="203"/>
      <c r="AB45" s="69">
        <f t="shared" si="13"/>
        <v>0</v>
      </c>
      <c r="AC45" s="70"/>
      <c r="AD45" s="71"/>
      <c r="AE45" s="105">
        <f t="shared" si="12"/>
        <v>12085.12</v>
      </c>
      <c r="AF45" s="17">
        <f t="shared" si="5"/>
        <v>0</v>
      </c>
    </row>
    <row r="46" spans="1:32" x14ac:dyDescent="0.25">
      <c r="A46" s="122"/>
      <c r="B46" s="83">
        <f t="shared" si="6"/>
        <v>251</v>
      </c>
      <c r="C46" s="15">
        <v>2</v>
      </c>
      <c r="D46" s="59">
        <v>54.93</v>
      </c>
      <c r="E46" s="210">
        <v>44793</v>
      </c>
      <c r="F46" s="59">
        <f t="shared" si="1"/>
        <v>54.93</v>
      </c>
      <c r="G46" s="602" t="s">
        <v>248</v>
      </c>
      <c r="H46" s="60">
        <v>133</v>
      </c>
      <c r="I46" s="105">
        <f t="shared" si="7"/>
        <v>7155.55</v>
      </c>
      <c r="J46" s="17">
        <f t="shared" si="2"/>
        <v>7305.69</v>
      </c>
      <c r="L46" s="122"/>
      <c r="M46" s="83">
        <f t="shared" si="8"/>
        <v>0</v>
      </c>
      <c r="N46" s="15"/>
      <c r="O46" s="69"/>
      <c r="P46" s="203"/>
      <c r="Q46" s="69">
        <f t="shared" si="3"/>
        <v>0</v>
      </c>
      <c r="R46" s="70"/>
      <c r="S46" s="71"/>
      <c r="T46" s="105">
        <f t="shared" si="9"/>
        <v>0</v>
      </c>
      <c r="U46" s="17">
        <f t="shared" si="4"/>
        <v>0</v>
      </c>
      <c r="W46" s="122"/>
      <c r="X46" s="83">
        <f t="shared" si="10"/>
        <v>390</v>
      </c>
      <c r="Y46" s="15"/>
      <c r="Z46" s="69"/>
      <c r="AA46" s="203"/>
      <c r="AB46" s="69">
        <f t="shared" si="13"/>
        <v>0</v>
      </c>
      <c r="AC46" s="70"/>
      <c r="AD46" s="71"/>
      <c r="AE46" s="105">
        <f t="shared" si="12"/>
        <v>12085.12</v>
      </c>
      <c r="AF46" s="17">
        <f t="shared" si="5"/>
        <v>0</v>
      </c>
    </row>
    <row r="47" spans="1:32" x14ac:dyDescent="0.25">
      <c r="A47" s="122"/>
      <c r="B47" s="83">
        <f t="shared" si="6"/>
        <v>246</v>
      </c>
      <c r="C47" s="15">
        <v>5</v>
      </c>
      <c r="D47" s="59">
        <v>141.06</v>
      </c>
      <c r="E47" s="210">
        <v>44795</v>
      </c>
      <c r="F47" s="59">
        <f t="shared" si="1"/>
        <v>141.06</v>
      </c>
      <c r="G47" s="602" t="s">
        <v>249</v>
      </c>
      <c r="H47" s="60">
        <v>133</v>
      </c>
      <c r="I47" s="105">
        <f t="shared" si="7"/>
        <v>7014.49</v>
      </c>
      <c r="J47" s="17">
        <f t="shared" si="2"/>
        <v>18760.98</v>
      </c>
      <c r="L47" s="122"/>
      <c r="M47" s="83">
        <f t="shared" si="8"/>
        <v>0</v>
      </c>
      <c r="N47" s="15"/>
      <c r="O47" s="69"/>
      <c r="P47" s="203"/>
      <c r="Q47" s="69">
        <f t="shared" si="3"/>
        <v>0</v>
      </c>
      <c r="R47" s="70"/>
      <c r="S47" s="71"/>
      <c r="T47" s="105">
        <f t="shared" si="9"/>
        <v>0</v>
      </c>
      <c r="U47" s="17">
        <f t="shared" si="4"/>
        <v>0</v>
      </c>
      <c r="W47" s="122"/>
      <c r="X47" s="83">
        <f t="shared" si="10"/>
        <v>390</v>
      </c>
      <c r="Y47" s="15"/>
      <c r="Z47" s="69"/>
      <c r="AA47" s="203"/>
      <c r="AB47" s="69">
        <f t="shared" si="13"/>
        <v>0</v>
      </c>
      <c r="AC47" s="70"/>
      <c r="AD47" s="71"/>
      <c r="AE47" s="105">
        <f t="shared" si="12"/>
        <v>12085.12</v>
      </c>
      <c r="AF47" s="17">
        <f t="shared" si="5"/>
        <v>0</v>
      </c>
    </row>
    <row r="48" spans="1:32" x14ac:dyDescent="0.25">
      <c r="A48" s="122"/>
      <c r="B48" s="83">
        <f t="shared" si="6"/>
        <v>216</v>
      </c>
      <c r="C48" s="15">
        <v>30</v>
      </c>
      <c r="D48" s="59">
        <v>874.58</v>
      </c>
      <c r="E48" s="210">
        <v>44795</v>
      </c>
      <c r="F48" s="59">
        <f t="shared" si="1"/>
        <v>874.58</v>
      </c>
      <c r="G48" s="602" t="s">
        <v>246</v>
      </c>
      <c r="H48" s="60">
        <v>133</v>
      </c>
      <c r="I48" s="105">
        <f t="shared" si="7"/>
        <v>6139.91</v>
      </c>
      <c r="J48" s="17">
        <f t="shared" si="2"/>
        <v>116319.14</v>
      </c>
      <c r="L48" s="122"/>
      <c r="M48" s="83">
        <f t="shared" si="8"/>
        <v>0</v>
      </c>
      <c r="N48" s="15"/>
      <c r="O48" s="69"/>
      <c r="P48" s="203"/>
      <c r="Q48" s="69">
        <f t="shared" si="3"/>
        <v>0</v>
      </c>
      <c r="R48" s="70"/>
      <c r="S48" s="71"/>
      <c r="T48" s="105">
        <f t="shared" si="9"/>
        <v>0</v>
      </c>
      <c r="U48" s="17">
        <f t="shared" si="4"/>
        <v>0</v>
      </c>
      <c r="W48" s="122"/>
      <c r="X48" s="83">
        <f t="shared" si="10"/>
        <v>390</v>
      </c>
      <c r="Y48" s="15"/>
      <c r="Z48" s="69"/>
      <c r="AA48" s="203"/>
      <c r="AB48" s="69">
        <f t="shared" si="13"/>
        <v>0</v>
      </c>
      <c r="AC48" s="70"/>
      <c r="AD48" s="71"/>
      <c r="AE48" s="105">
        <f t="shared" si="12"/>
        <v>12085.12</v>
      </c>
      <c r="AF48" s="17">
        <f t="shared" si="5"/>
        <v>0</v>
      </c>
    </row>
    <row r="49" spans="1:32" x14ac:dyDescent="0.25">
      <c r="A49" s="122"/>
      <c r="B49" s="83">
        <f t="shared" si="6"/>
        <v>213</v>
      </c>
      <c r="C49" s="15">
        <v>3</v>
      </c>
      <c r="D49" s="59">
        <v>77.92</v>
      </c>
      <c r="E49" s="210">
        <v>44796</v>
      </c>
      <c r="F49" s="59">
        <f t="shared" si="1"/>
        <v>77.92</v>
      </c>
      <c r="G49" s="602" t="s">
        <v>256</v>
      </c>
      <c r="H49" s="60">
        <v>133</v>
      </c>
      <c r="I49" s="105">
        <f t="shared" si="7"/>
        <v>6061.99</v>
      </c>
      <c r="J49" s="17">
        <f t="shared" si="2"/>
        <v>10363.36</v>
      </c>
      <c r="L49" s="122"/>
      <c r="M49" s="83">
        <f t="shared" si="8"/>
        <v>0</v>
      </c>
      <c r="N49" s="15"/>
      <c r="O49" s="69"/>
      <c r="P49" s="203"/>
      <c r="Q49" s="69">
        <f t="shared" si="3"/>
        <v>0</v>
      </c>
      <c r="R49" s="70"/>
      <c r="S49" s="71"/>
      <c r="T49" s="105">
        <f t="shared" si="9"/>
        <v>0</v>
      </c>
      <c r="U49" s="17">
        <f t="shared" si="4"/>
        <v>0</v>
      </c>
      <c r="W49" s="122"/>
      <c r="X49" s="83">
        <f t="shared" si="10"/>
        <v>390</v>
      </c>
      <c r="Y49" s="15"/>
      <c r="Z49" s="69"/>
      <c r="AA49" s="203"/>
      <c r="AB49" s="69">
        <f t="shared" si="13"/>
        <v>0</v>
      </c>
      <c r="AC49" s="70"/>
      <c r="AD49" s="71"/>
      <c r="AE49" s="105">
        <f t="shared" si="12"/>
        <v>12085.12</v>
      </c>
      <c r="AF49" s="17">
        <f t="shared" si="5"/>
        <v>0</v>
      </c>
    </row>
    <row r="50" spans="1:32" x14ac:dyDescent="0.25">
      <c r="A50" s="122"/>
      <c r="B50" s="83">
        <f t="shared" si="6"/>
        <v>207</v>
      </c>
      <c r="C50" s="15">
        <v>6</v>
      </c>
      <c r="D50" s="59">
        <v>183.25</v>
      </c>
      <c r="E50" s="210">
        <v>44797</v>
      </c>
      <c r="F50" s="59">
        <f t="shared" si="1"/>
        <v>183.25</v>
      </c>
      <c r="G50" s="602" t="s">
        <v>260</v>
      </c>
      <c r="H50" s="60">
        <v>133</v>
      </c>
      <c r="I50" s="105">
        <f t="shared" si="7"/>
        <v>5878.74</v>
      </c>
      <c r="J50" s="17">
        <f t="shared" si="2"/>
        <v>24372.25</v>
      </c>
      <c r="L50" s="122"/>
      <c r="M50" s="83">
        <f t="shared" si="8"/>
        <v>0</v>
      </c>
      <c r="N50" s="15"/>
      <c r="O50" s="69"/>
      <c r="P50" s="203"/>
      <c r="Q50" s="69">
        <f t="shared" si="3"/>
        <v>0</v>
      </c>
      <c r="R50" s="70"/>
      <c r="S50" s="71"/>
      <c r="T50" s="105">
        <f t="shared" si="9"/>
        <v>0</v>
      </c>
      <c r="U50" s="17">
        <f t="shared" si="4"/>
        <v>0</v>
      </c>
      <c r="W50" s="122"/>
      <c r="X50" s="83">
        <f t="shared" si="10"/>
        <v>390</v>
      </c>
      <c r="Y50" s="15"/>
      <c r="Z50" s="69"/>
      <c r="AA50" s="203"/>
      <c r="AB50" s="69">
        <f t="shared" si="13"/>
        <v>0</v>
      </c>
      <c r="AC50" s="70"/>
      <c r="AD50" s="71"/>
      <c r="AE50" s="105">
        <f t="shared" si="12"/>
        <v>12085.12</v>
      </c>
      <c r="AF50" s="17">
        <f t="shared" si="5"/>
        <v>0</v>
      </c>
    </row>
    <row r="51" spans="1:32" x14ac:dyDescent="0.25">
      <c r="A51" s="122"/>
      <c r="B51" s="83">
        <f t="shared" si="6"/>
        <v>177</v>
      </c>
      <c r="C51" s="15">
        <v>30</v>
      </c>
      <c r="D51" s="59">
        <v>784.19</v>
      </c>
      <c r="E51" s="210">
        <v>44799</v>
      </c>
      <c r="F51" s="59">
        <f t="shared" si="1"/>
        <v>784.19</v>
      </c>
      <c r="G51" s="602" t="s">
        <v>266</v>
      </c>
      <c r="H51" s="60">
        <v>133</v>
      </c>
      <c r="I51" s="105">
        <f t="shared" si="7"/>
        <v>5094.5499999999993</v>
      </c>
      <c r="J51" s="17">
        <f t="shared" si="2"/>
        <v>104297.27</v>
      </c>
      <c r="L51" s="122"/>
      <c r="M51" s="83">
        <f t="shared" si="8"/>
        <v>0</v>
      </c>
      <c r="N51" s="15"/>
      <c r="O51" s="69"/>
      <c r="P51" s="203"/>
      <c r="Q51" s="69">
        <f t="shared" si="3"/>
        <v>0</v>
      </c>
      <c r="R51" s="70"/>
      <c r="S51" s="71"/>
      <c r="T51" s="105">
        <f t="shared" si="9"/>
        <v>0</v>
      </c>
      <c r="U51" s="17">
        <f t="shared" si="4"/>
        <v>0</v>
      </c>
      <c r="W51" s="122"/>
      <c r="X51" s="83">
        <f t="shared" si="10"/>
        <v>390</v>
      </c>
      <c r="Y51" s="15"/>
      <c r="Z51" s="69"/>
      <c r="AA51" s="203"/>
      <c r="AB51" s="69">
        <f t="shared" si="13"/>
        <v>0</v>
      </c>
      <c r="AC51" s="70"/>
      <c r="AD51" s="71"/>
      <c r="AE51" s="105">
        <f t="shared" si="12"/>
        <v>12085.12</v>
      </c>
      <c r="AF51" s="17">
        <f t="shared" si="5"/>
        <v>0</v>
      </c>
    </row>
    <row r="52" spans="1:32" x14ac:dyDescent="0.25">
      <c r="A52" s="122"/>
      <c r="B52" s="83">
        <f t="shared" si="6"/>
        <v>176</v>
      </c>
      <c r="C52" s="15">
        <v>1</v>
      </c>
      <c r="D52" s="59">
        <v>25.36</v>
      </c>
      <c r="E52" s="210">
        <v>44799</v>
      </c>
      <c r="F52" s="59">
        <f t="shared" si="1"/>
        <v>25.36</v>
      </c>
      <c r="G52" s="602" t="s">
        <v>269</v>
      </c>
      <c r="H52" s="60">
        <v>133</v>
      </c>
      <c r="I52" s="105">
        <f t="shared" si="7"/>
        <v>5069.1899999999996</v>
      </c>
      <c r="J52" s="17">
        <f t="shared" si="2"/>
        <v>3372.88</v>
      </c>
      <c r="L52" s="122"/>
      <c r="M52" s="83">
        <f t="shared" si="8"/>
        <v>0</v>
      </c>
      <c r="N52" s="15"/>
      <c r="O52" s="69"/>
      <c r="P52" s="203"/>
      <c r="Q52" s="69">
        <f t="shared" si="3"/>
        <v>0</v>
      </c>
      <c r="R52" s="70"/>
      <c r="S52" s="71"/>
      <c r="T52" s="105">
        <f t="shared" si="9"/>
        <v>0</v>
      </c>
      <c r="U52" s="17">
        <f t="shared" si="4"/>
        <v>0</v>
      </c>
      <c r="W52" s="122"/>
      <c r="X52" s="83">
        <f t="shared" si="10"/>
        <v>390</v>
      </c>
      <c r="Y52" s="15"/>
      <c r="Z52" s="69"/>
      <c r="AA52" s="203"/>
      <c r="AB52" s="69">
        <f t="shared" si="13"/>
        <v>0</v>
      </c>
      <c r="AC52" s="70"/>
      <c r="AD52" s="71"/>
      <c r="AE52" s="105">
        <f t="shared" si="12"/>
        <v>12085.12</v>
      </c>
      <c r="AF52" s="17">
        <f t="shared" si="5"/>
        <v>0</v>
      </c>
    </row>
    <row r="53" spans="1:32" x14ac:dyDescent="0.25">
      <c r="A53" s="122"/>
      <c r="B53" s="83">
        <f t="shared" si="6"/>
        <v>170</v>
      </c>
      <c r="C53" s="15">
        <v>6</v>
      </c>
      <c r="D53" s="59">
        <v>174.81</v>
      </c>
      <c r="E53" s="210">
        <v>44800</v>
      </c>
      <c r="F53" s="59">
        <f t="shared" si="1"/>
        <v>174.81</v>
      </c>
      <c r="G53" s="602" t="s">
        <v>270</v>
      </c>
      <c r="H53" s="60">
        <v>133</v>
      </c>
      <c r="I53" s="105">
        <f t="shared" si="7"/>
        <v>4894.3799999999992</v>
      </c>
      <c r="J53" s="17">
        <f t="shared" si="2"/>
        <v>23249.73</v>
      </c>
      <c r="L53" s="122"/>
      <c r="M53" s="83">
        <f t="shared" si="8"/>
        <v>0</v>
      </c>
      <c r="N53" s="15"/>
      <c r="O53" s="69"/>
      <c r="P53" s="203"/>
      <c r="Q53" s="69">
        <f t="shared" si="3"/>
        <v>0</v>
      </c>
      <c r="R53" s="70"/>
      <c r="S53" s="71"/>
      <c r="T53" s="105">
        <f t="shared" si="9"/>
        <v>0</v>
      </c>
      <c r="U53" s="17">
        <f t="shared" si="4"/>
        <v>0</v>
      </c>
      <c r="W53" s="122"/>
      <c r="X53" s="83">
        <f t="shared" si="10"/>
        <v>390</v>
      </c>
      <c r="Y53" s="15"/>
      <c r="Z53" s="69"/>
      <c r="AA53" s="203"/>
      <c r="AB53" s="69">
        <f t="shared" si="13"/>
        <v>0</v>
      </c>
      <c r="AC53" s="70"/>
      <c r="AD53" s="71"/>
      <c r="AE53" s="105">
        <f t="shared" si="12"/>
        <v>12085.12</v>
      </c>
      <c r="AF53" s="17">
        <f t="shared" si="5"/>
        <v>0</v>
      </c>
    </row>
    <row r="54" spans="1:32" x14ac:dyDescent="0.25">
      <c r="A54" s="122"/>
      <c r="B54" s="83">
        <f t="shared" si="6"/>
        <v>169</v>
      </c>
      <c r="C54" s="15">
        <v>1</v>
      </c>
      <c r="D54" s="59">
        <v>30.98</v>
      </c>
      <c r="E54" s="210">
        <v>44800</v>
      </c>
      <c r="F54" s="59">
        <f t="shared" si="1"/>
        <v>30.98</v>
      </c>
      <c r="G54" s="602" t="s">
        <v>265</v>
      </c>
      <c r="H54" s="60">
        <v>133</v>
      </c>
      <c r="I54" s="105">
        <f t="shared" si="7"/>
        <v>4863.3999999999996</v>
      </c>
      <c r="J54" s="17">
        <f t="shared" si="2"/>
        <v>4120.34</v>
      </c>
      <c r="L54" s="122"/>
      <c r="M54" s="83">
        <f t="shared" si="8"/>
        <v>0</v>
      </c>
      <c r="N54" s="15"/>
      <c r="O54" s="69"/>
      <c r="P54" s="203"/>
      <c r="Q54" s="69">
        <f t="shared" si="3"/>
        <v>0</v>
      </c>
      <c r="R54" s="70"/>
      <c r="S54" s="71"/>
      <c r="T54" s="105">
        <f t="shared" si="9"/>
        <v>0</v>
      </c>
      <c r="U54" s="17">
        <f t="shared" si="4"/>
        <v>0</v>
      </c>
      <c r="W54" s="122"/>
      <c r="X54" s="83">
        <f t="shared" si="10"/>
        <v>390</v>
      </c>
      <c r="Y54" s="15"/>
      <c r="Z54" s="69"/>
      <c r="AA54" s="203"/>
      <c r="AB54" s="69">
        <f t="shared" si="13"/>
        <v>0</v>
      </c>
      <c r="AC54" s="70"/>
      <c r="AD54" s="71"/>
      <c r="AE54" s="105">
        <f t="shared" si="12"/>
        <v>12085.12</v>
      </c>
      <c r="AF54" s="17">
        <f t="shared" si="5"/>
        <v>0</v>
      </c>
    </row>
    <row r="55" spans="1:32" x14ac:dyDescent="0.25">
      <c r="A55" s="122"/>
      <c r="B55" s="83">
        <f t="shared" si="6"/>
        <v>166</v>
      </c>
      <c r="C55" s="15">
        <v>3</v>
      </c>
      <c r="D55" s="59">
        <v>89.95</v>
      </c>
      <c r="E55" s="210">
        <v>44800</v>
      </c>
      <c r="F55" s="59">
        <f t="shared" si="1"/>
        <v>89.95</v>
      </c>
      <c r="G55" s="602" t="s">
        <v>274</v>
      </c>
      <c r="H55" s="60">
        <v>133</v>
      </c>
      <c r="I55" s="105">
        <f t="shared" si="7"/>
        <v>4773.45</v>
      </c>
      <c r="J55" s="17">
        <f t="shared" si="2"/>
        <v>11963.35</v>
      </c>
      <c r="L55" s="122"/>
      <c r="M55" s="83">
        <f t="shared" si="8"/>
        <v>0</v>
      </c>
      <c r="N55" s="15"/>
      <c r="O55" s="69"/>
      <c r="P55" s="203"/>
      <c r="Q55" s="69">
        <f t="shared" si="3"/>
        <v>0</v>
      </c>
      <c r="R55" s="70"/>
      <c r="S55" s="71"/>
      <c r="T55" s="105">
        <f t="shared" si="9"/>
        <v>0</v>
      </c>
      <c r="U55" s="17">
        <f t="shared" si="4"/>
        <v>0</v>
      </c>
      <c r="W55" s="122"/>
      <c r="X55" s="83">
        <f t="shared" si="10"/>
        <v>390</v>
      </c>
      <c r="Y55" s="15"/>
      <c r="Z55" s="69"/>
      <c r="AA55" s="203"/>
      <c r="AB55" s="69">
        <f t="shared" si="13"/>
        <v>0</v>
      </c>
      <c r="AC55" s="70"/>
      <c r="AD55" s="71"/>
      <c r="AE55" s="105">
        <f t="shared" si="12"/>
        <v>12085.12</v>
      </c>
      <c r="AF55" s="17">
        <f t="shared" si="5"/>
        <v>0</v>
      </c>
    </row>
    <row r="56" spans="1:32" x14ac:dyDescent="0.25">
      <c r="A56" s="122"/>
      <c r="B56" s="83">
        <f t="shared" si="6"/>
        <v>136</v>
      </c>
      <c r="C56" s="15">
        <v>30</v>
      </c>
      <c r="D56" s="59">
        <v>891.72</v>
      </c>
      <c r="E56" s="210">
        <v>44801</v>
      </c>
      <c r="F56" s="59">
        <f t="shared" si="1"/>
        <v>891.72</v>
      </c>
      <c r="G56" s="602" t="s">
        <v>271</v>
      </c>
      <c r="H56" s="60">
        <v>133</v>
      </c>
      <c r="I56" s="105">
        <f t="shared" si="7"/>
        <v>3881.7299999999996</v>
      </c>
      <c r="J56" s="17">
        <f t="shared" si="2"/>
        <v>118598.76000000001</v>
      </c>
      <c r="L56" s="122"/>
      <c r="M56" s="83">
        <f t="shared" si="8"/>
        <v>0</v>
      </c>
      <c r="N56" s="15"/>
      <c r="O56" s="69"/>
      <c r="P56" s="203"/>
      <c r="Q56" s="69">
        <f t="shared" si="3"/>
        <v>0</v>
      </c>
      <c r="R56" s="70"/>
      <c r="S56" s="71"/>
      <c r="T56" s="105">
        <f t="shared" si="9"/>
        <v>0</v>
      </c>
      <c r="U56" s="17">
        <f t="shared" si="4"/>
        <v>0</v>
      </c>
      <c r="W56" s="122"/>
      <c r="X56" s="83">
        <f t="shared" si="10"/>
        <v>390</v>
      </c>
      <c r="Y56" s="15"/>
      <c r="Z56" s="69"/>
      <c r="AA56" s="203"/>
      <c r="AB56" s="69">
        <f t="shared" si="13"/>
        <v>0</v>
      </c>
      <c r="AC56" s="70"/>
      <c r="AD56" s="71"/>
      <c r="AE56" s="105">
        <f t="shared" si="12"/>
        <v>12085.12</v>
      </c>
      <c r="AF56" s="17">
        <f t="shared" si="5"/>
        <v>0</v>
      </c>
    </row>
    <row r="57" spans="1:32" x14ac:dyDescent="0.25">
      <c r="A57" s="122"/>
      <c r="B57" s="83">
        <f t="shared" si="6"/>
        <v>126</v>
      </c>
      <c r="C57" s="15">
        <v>10</v>
      </c>
      <c r="D57" s="694">
        <v>308.77999999999997</v>
      </c>
      <c r="E57" s="695">
        <v>44802</v>
      </c>
      <c r="F57" s="694">
        <f t="shared" si="1"/>
        <v>308.77999999999997</v>
      </c>
      <c r="G57" s="696" t="s">
        <v>502</v>
      </c>
      <c r="H57" s="388">
        <v>133</v>
      </c>
      <c r="I57" s="105">
        <f t="shared" si="7"/>
        <v>3572.95</v>
      </c>
      <c r="J57" s="17">
        <f t="shared" si="2"/>
        <v>41067.74</v>
      </c>
      <c r="L57" s="122"/>
      <c r="M57" s="83">
        <f t="shared" si="8"/>
        <v>0</v>
      </c>
      <c r="N57" s="15"/>
      <c r="O57" s="69"/>
      <c r="P57" s="203"/>
      <c r="Q57" s="69">
        <f t="shared" si="3"/>
        <v>0</v>
      </c>
      <c r="R57" s="70"/>
      <c r="S57" s="71"/>
      <c r="T57" s="105">
        <f t="shared" si="9"/>
        <v>0</v>
      </c>
      <c r="U57" s="17">
        <f t="shared" si="4"/>
        <v>0</v>
      </c>
      <c r="W57" s="122"/>
      <c r="X57" s="83">
        <f t="shared" si="10"/>
        <v>390</v>
      </c>
      <c r="Y57" s="15"/>
      <c r="Z57" s="69"/>
      <c r="AA57" s="203"/>
      <c r="AB57" s="69">
        <f t="shared" si="13"/>
        <v>0</v>
      </c>
      <c r="AC57" s="70"/>
      <c r="AD57" s="71"/>
      <c r="AE57" s="105">
        <f t="shared" si="12"/>
        <v>12085.12</v>
      </c>
      <c r="AF57" s="17">
        <f t="shared" si="5"/>
        <v>0</v>
      </c>
    </row>
    <row r="58" spans="1:32" x14ac:dyDescent="0.25">
      <c r="A58" s="122"/>
      <c r="B58" s="83">
        <f t="shared" si="6"/>
        <v>123</v>
      </c>
      <c r="C58" s="15">
        <v>3</v>
      </c>
      <c r="D58" s="694">
        <v>87.77</v>
      </c>
      <c r="E58" s="695">
        <v>44803</v>
      </c>
      <c r="F58" s="694">
        <f t="shared" si="1"/>
        <v>87.77</v>
      </c>
      <c r="G58" s="696" t="s">
        <v>507</v>
      </c>
      <c r="H58" s="388">
        <v>133</v>
      </c>
      <c r="I58" s="105">
        <f t="shared" si="7"/>
        <v>3485.18</v>
      </c>
      <c r="J58" s="17">
        <f t="shared" si="2"/>
        <v>11673.41</v>
      </c>
      <c r="L58" s="122"/>
      <c r="M58" s="83">
        <f t="shared" si="8"/>
        <v>0</v>
      </c>
      <c r="N58" s="15"/>
      <c r="O58" s="69"/>
      <c r="P58" s="203"/>
      <c r="Q58" s="69">
        <v>0</v>
      </c>
      <c r="R58" s="70"/>
      <c r="S58" s="71"/>
      <c r="T58" s="105">
        <f t="shared" si="9"/>
        <v>0</v>
      </c>
      <c r="U58" s="17">
        <f t="shared" si="4"/>
        <v>0</v>
      </c>
      <c r="W58" s="122"/>
      <c r="X58" s="83">
        <f t="shared" si="10"/>
        <v>390</v>
      </c>
      <c r="Y58" s="15"/>
      <c r="Z58" s="69"/>
      <c r="AA58" s="203"/>
      <c r="AB58" s="69">
        <v>0</v>
      </c>
      <c r="AC58" s="70"/>
      <c r="AD58" s="71"/>
      <c r="AE58" s="105">
        <f t="shared" si="12"/>
        <v>12085.12</v>
      </c>
      <c r="AF58" s="17">
        <f t="shared" si="5"/>
        <v>0</v>
      </c>
    </row>
    <row r="59" spans="1:32" x14ac:dyDescent="0.25">
      <c r="A59" s="122"/>
      <c r="B59" s="83">
        <f t="shared" si="6"/>
        <v>121</v>
      </c>
      <c r="C59" s="15">
        <v>2</v>
      </c>
      <c r="D59" s="694">
        <v>52.29</v>
      </c>
      <c r="E59" s="695">
        <v>44802</v>
      </c>
      <c r="F59" s="694">
        <f t="shared" si="1"/>
        <v>52.29</v>
      </c>
      <c r="G59" s="696" t="s">
        <v>511</v>
      </c>
      <c r="H59" s="388">
        <v>133</v>
      </c>
      <c r="I59" s="105">
        <f t="shared" si="7"/>
        <v>3432.89</v>
      </c>
      <c r="J59" s="17">
        <f t="shared" si="2"/>
        <v>6954.57</v>
      </c>
      <c r="L59" s="122"/>
      <c r="M59" s="83">
        <f t="shared" si="8"/>
        <v>0</v>
      </c>
      <c r="N59" s="15"/>
      <c r="O59" s="69"/>
      <c r="P59" s="203"/>
      <c r="Q59" s="69">
        <f t="shared" ref="Q59:Q74" si="14">O59</f>
        <v>0</v>
      </c>
      <c r="R59" s="70"/>
      <c r="S59" s="71"/>
      <c r="T59" s="105">
        <f t="shared" si="9"/>
        <v>0</v>
      </c>
      <c r="U59" s="17">
        <f t="shared" si="4"/>
        <v>0</v>
      </c>
      <c r="W59" s="122"/>
      <c r="X59" s="83">
        <f t="shared" si="10"/>
        <v>390</v>
      </c>
      <c r="Y59" s="15"/>
      <c r="Z59" s="69"/>
      <c r="AA59" s="203"/>
      <c r="AB59" s="69">
        <f t="shared" ref="AB59:AB74" si="15">Z59</f>
        <v>0</v>
      </c>
      <c r="AC59" s="70"/>
      <c r="AD59" s="71"/>
      <c r="AE59" s="105">
        <f t="shared" si="12"/>
        <v>12085.12</v>
      </c>
      <c r="AF59" s="17">
        <f t="shared" si="5"/>
        <v>0</v>
      </c>
    </row>
    <row r="60" spans="1:32" x14ac:dyDescent="0.25">
      <c r="A60" s="122"/>
      <c r="B60" s="83">
        <f t="shared" si="6"/>
        <v>91</v>
      </c>
      <c r="C60" s="15">
        <v>30</v>
      </c>
      <c r="D60" s="694">
        <v>850.63</v>
      </c>
      <c r="E60" s="695">
        <v>44804</v>
      </c>
      <c r="F60" s="694">
        <f t="shared" si="1"/>
        <v>850.63</v>
      </c>
      <c r="G60" s="696" t="s">
        <v>518</v>
      </c>
      <c r="H60" s="388">
        <v>133</v>
      </c>
      <c r="I60" s="105">
        <f t="shared" si="7"/>
        <v>2582.2599999999998</v>
      </c>
      <c r="J60" s="17">
        <f t="shared" si="2"/>
        <v>113133.79</v>
      </c>
      <c r="L60" s="122"/>
      <c r="M60" s="83">
        <f t="shared" si="8"/>
        <v>0</v>
      </c>
      <c r="N60" s="15"/>
      <c r="O60" s="69"/>
      <c r="P60" s="203"/>
      <c r="Q60" s="69">
        <f t="shared" si="14"/>
        <v>0</v>
      </c>
      <c r="R60" s="70"/>
      <c r="S60" s="71"/>
      <c r="T60" s="105">
        <f t="shared" si="9"/>
        <v>0</v>
      </c>
      <c r="U60" s="17">
        <f t="shared" si="4"/>
        <v>0</v>
      </c>
      <c r="W60" s="122"/>
      <c r="X60" s="83">
        <f t="shared" si="10"/>
        <v>390</v>
      </c>
      <c r="Y60" s="15"/>
      <c r="Z60" s="69"/>
      <c r="AA60" s="203"/>
      <c r="AB60" s="69">
        <f t="shared" si="15"/>
        <v>0</v>
      </c>
      <c r="AC60" s="70"/>
      <c r="AD60" s="71"/>
      <c r="AE60" s="105">
        <f t="shared" si="12"/>
        <v>12085.12</v>
      </c>
      <c r="AF60" s="17">
        <f t="shared" si="5"/>
        <v>0</v>
      </c>
    </row>
    <row r="61" spans="1:32" x14ac:dyDescent="0.25">
      <c r="A61" s="122"/>
      <c r="B61" s="83">
        <f t="shared" si="6"/>
        <v>86</v>
      </c>
      <c r="C61" s="15">
        <v>5</v>
      </c>
      <c r="D61" s="694">
        <v>137.80000000000001</v>
      </c>
      <c r="E61" s="695">
        <v>44805</v>
      </c>
      <c r="F61" s="694">
        <f t="shared" si="1"/>
        <v>137.80000000000001</v>
      </c>
      <c r="G61" s="696" t="s">
        <v>525</v>
      </c>
      <c r="H61" s="388">
        <v>133</v>
      </c>
      <c r="I61" s="105">
        <f t="shared" si="7"/>
        <v>2444.4599999999996</v>
      </c>
      <c r="J61" s="17">
        <f t="shared" si="2"/>
        <v>18327.400000000001</v>
      </c>
      <c r="L61" s="122"/>
      <c r="M61" s="83">
        <f t="shared" si="8"/>
        <v>0</v>
      </c>
      <c r="N61" s="15"/>
      <c r="O61" s="69"/>
      <c r="P61" s="203"/>
      <c r="Q61" s="69">
        <f t="shared" si="14"/>
        <v>0</v>
      </c>
      <c r="R61" s="70"/>
      <c r="S61" s="71"/>
      <c r="T61" s="105">
        <f t="shared" si="9"/>
        <v>0</v>
      </c>
      <c r="U61" s="17">
        <f t="shared" si="4"/>
        <v>0</v>
      </c>
      <c r="W61" s="122"/>
      <c r="X61" s="83">
        <f t="shared" si="10"/>
        <v>390</v>
      </c>
      <c r="Y61" s="15"/>
      <c r="Z61" s="69"/>
      <c r="AA61" s="203"/>
      <c r="AB61" s="69">
        <f t="shared" si="15"/>
        <v>0</v>
      </c>
      <c r="AC61" s="70"/>
      <c r="AD61" s="71"/>
      <c r="AE61" s="105">
        <f t="shared" si="12"/>
        <v>12085.12</v>
      </c>
      <c r="AF61" s="17">
        <f t="shared" si="5"/>
        <v>0</v>
      </c>
    </row>
    <row r="62" spans="1:32" x14ac:dyDescent="0.25">
      <c r="A62" s="122"/>
      <c r="B62" s="83">
        <f t="shared" si="6"/>
        <v>81</v>
      </c>
      <c r="C62" s="15">
        <v>5</v>
      </c>
      <c r="D62" s="694">
        <v>140.84</v>
      </c>
      <c r="E62" s="695">
        <v>44805</v>
      </c>
      <c r="F62" s="694">
        <f t="shared" si="1"/>
        <v>140.84</v>
      </c>
      <c r="G62" s="696" t="s">
        <v>527</v>
      </c>
      <c r="H62" s="388">
        <v>133</v>
      </c>
      <c r="I62" s="105">
        <f t="shared" si="7"/>
        <v>2303.6199999999994</v>
      </c>
      <c r="J62" s="17">
        <f t="shared" si="2"/>
        <v>18731.72</v>
      </c>
      <c r="L62" s="122"/>
      <c r="M62" s="83">
        <f t="shared" si="8"/>
        <v>0</v>
      </c>
      <c r="N62" s="15"/>
      <c r="O62" s="69"/>
      <c r="P62" s="203"/>
      <c r="Q62" s="69">
        <f t="shared" si="14"/>
        <v>0</v>
      </c>
      <c r="R62" s="70"/>
      <c r="S62" s="71"/>
      <c r="T62" s="105">
        <f t="shared" si="9"/>
        <v>0</v>
      </c>
      <c r="U62" s="17">
        <f t="shared" si="4"/>
        <v>0</v>
      </c>
      <c r="W62" s="122"/>
      <c r="X62" s="83">
        <f t="shared" si="10"/>
        <v>390</v>
      </c>
      <c r="Y62" s="15"/>
      <c r="Z62" s="69"/>
      <c r="AA62" s="203"/>
      <c r="AB62" s="69">
        <f t="shared" si="15"/>
        <v>0</v>
      </c>
      <c r="AC62" s="70"/>
      <c r="AD62" s="71"/>
      <c r="AE62" s="105">
        <f t="shared" si="12"/>
        <v>12085.12</v>
      </c>
      <c r="AF62" s="17">
        <f t="shared" si="5"/>
        <v>0</v>
      </c>
    </row>
    <row r="63" spans="1:32" x14ac:dyDescent="0.25">
      <c r="A63" s="122"/>
      <c r="B63" s="83">
        <f t="shared" si="6"/>
        <v>80</v>
      </c>
      <c r="C63" s="15">
        <v>1</v>
      </c>
      <c r="D63" s="694">
        <v>26.31</v>
      </c>
      <c r="E63" s="695">
        <v>44806</v>
      </c>
      <c r="F63" s="694">
        <f t="shared" si="1"/>
        <v>26.31</v>
      </c>
      <c r="G63" s="696" t="s">
        <v>537</v>
      </c>
      <c r="H63" s="388">
        <v>137</v>
      </c>
      <c r="I63" s="105">
        <f t="shared" si="7"/>
        <v>2277.3099999999995</v>
      </c>
      <c r="J63" s="17">
        <f t="shared" si="2"/>
        <v>3604.47</v>
      </c>
      <c r="L63" s="122"/>
      <c r="M63" s="83">
        <f t="shared" si="8"/>
        <v>0</v>
      </c>
      <c r="N63" s="15"/>
      <c r="O63" s="69"/>
      <c r="P63" s="203"/>
      <c r="Q63" s="69">
        <f t="shared" si="14"/>
        <v>0</v>
      </c>
      <c r="R63" s="70"/>
      <c r="S63" s="71"/>
      <c r="T63" s="105">
        <f t="shared" si="9"/>
        <v>0</v>
      </c>
      <c r="U63" s="17">
        <f t="shared" si="4"/>
        <v>0</v>
      </c>
      <c r="W63" s="122"/>
      <c r="X63" s="83">
        <f t="shared" si="10"/>
        <v>390</v>
      </c>
      <c r="Y63" s="15"/>
      <c r="Z63" s="69"/>
      <c r="AA63" s="203"/>
      <c r="AB63" s="69">
        <f t="shared" si="15"/>
        <v>0</v>
      </c>
      <c r="AC63" s="70"/>
      <c r="AD63" s="71"/>
      <c r="AE63" s="105">
        <f t="shared" si="12"/>
        <v>12085.12</v>
      </c>
      <c r="AF63" s="17">
        <f t="shared" si="5"/>
        <v>0</v>
      </c>
    </row>
    <row r="64" spans="1:32" x14ac:dyDescent="0.25">
      <c r="A64" s="122"/>
      <c r="B64" s="83">
        <f t="shared" si="6"/>
        <v>65</v>
      </c>
      <c r="C64" s="15">
        <v>15</v>
      </c>
      <c r="D64" s="694">
        <v>423.38</v>
      </c>
      <c r="E64" s="695">
        <v>44806</v>
      </c>
      <c r="F64" s="694">
        <f t="shared" si="1"/>
        <v>423.38</v>
      </c>
      <c r="G64" s="696" t="s">
        <v>538</v>
      </c>
      <c r="H64" s="388">
        <v>137</v>
      </c>
      <c r="I64" s="105">
        <f t="shared" si="7"/>
        <v>1853.9299999999994</v>
      </c>
      <c r="J64" s="17">
        <f t="shared" si="2"/>
        <v>58003.06</v>
      </c>
      <c r="L64" s="122"/>
      <c r="M64" s="83">
        <f t="shared" si="8"/>
        <v>0</v>
      </c>
      <c r="N64" s="15"/>
      <c r="O64" s="69"/>
      <c r="P64" s="203"/>
      <c r="Q64" s="69">
        <f t="shared" si="14"/>
        <v>0</v>
      </c>
      <c r="R64" s="70"/>
      <c r="S64" s="71"/>
      <c r="T64" s="105">
        <f t="shared" si="9"/>
        <v>0</v>
      </c>
      <c r="U64" s="17">
        <f t="shared" si="4"/>
        <v>0</v>
      </c>
      <c r="W64" s="122"/>
      <c r="X64" s="83">
        <f t="shared" si="10"/>
        <v>390</v>
      </c>
      <c r="Y64" s="15"/>
      <c r="Z64" s="69"/>
      <c r="AA64" s="203"/>
      <c r="AB64" s="69">
        <f t="shared" si="15"/>
        <v>0</v>
      </c>
      <c r="AC64" s="70"/>
      <c r="AD64" s="71"/>
      <c r="AE64" s="105">
        <f t="shared" si="12"/>
        <v>12085.12</v>
      </c>
      <c r="AF64" s="17">
        <f t="shared" si="5"/>
        <v>0</v>
      </c>
    </row>
    <row r="65" spans="1:32" x14ac:dyDescent="0.25">
      <c r="A65" s="122"/>
      <c r="B65" s="83">
        <f t="shared" si="6"/>
        <v>64</v>
      </c>
      <c r="C65" s="15">
        <v>1</v>
      </c>
      <c r="D65" s="694">
        <v>29.57</v>
      </c>
      <c r="E65" s="695">
        <v>44807</v>
      </c>
      <c r="F65" s="694">
        <f t="shared" si="1"/>
        <v>29.57</v>
      </c>
      <c r="G65" s="696" t="s">
        <v>552</v>
      </c>
      <c r="H65" s="388">
        <v>137</v>
      </c>
      <c r="I65" s="105">
        <f t="shared" si="7"/>
        <v>1824.3599999999994</v>
      </c>
      <c r="J65" s="17">
        <f t="shared" si="2"/>
        <v>4051.09</v>
      </c>
      <c r="L65" s="122"/>
      <c r="M65" s="83">
        <f t="shared" si="8"/>
        <v>0</v>
      </c>
      <c r="N65" s="15"/>
      <c r="O65" s="69"/>
      <c r="P65" s="203"/>
      <c r="Q65" s="69">
        <f t="shared" si="14"/>
        <v>0</v>
      </c>
      <c r="R65" s="70"/>
      <c r="S65" s="71"/>
      <c r="T65" s="105">
        <f t="shared" si="9"/>
        <v>0</v>
      </c>
      <c r="U65" s="17">
        <f t="shared" si="4"/>
        <v>0</v>
      </c>
      <c r="W65" s="122"/>
      <c r="X65" s="83">
        <f t="shared" si="10"/>
        <v>390</v>
      </c>
      <c r="Y65" s="15"/>
      <c r="Z65" s="69"/>
      <c r="AA65" s="203"/>
      <c r="AB65" s="69">
        <f t="shared" si="15"/>
        <v>0</v>
      </c>
      <c r="AC65" s="70"/>
      <c r="AD65" s="71"/>
      <c r="AE65" s="105">
        <f t="shared" si="12"/>
        <v>12085.12</v>
      </c>
      <c r="AF65" s="17">
        <f t="shared" si="5"/>
        <v>0</v>
      </c>
    </row>
    <row r="66" spans="1:32" x14ac:dyDescent="0.25">
      <c r="A66" s="122"/>
      <c r="B66" s="83">
        <f t="shared" si="6"/>
        <v>34</v>
      </c>
      <c r="C66" s="15">
        <v>30</v>
      </c>
      <c r="D66" s="694">
        <v>844.51</v>
      </c>
      <c r="E66" s="695">
        <v>44807</v>
      </c>
      <c r="F66" s="694">
        <f t="shared" si="1"/>
        <v>844.51</v>
      </c>
      <c r="G66" s="696" t="s">
        <v>555</v>
      </c>
      <c r="H66" s="388">
        <v>137</v>
      </c>
      <c r="I66" s="105">
        <f t="shared" si="7"/>
        <v>979.84999999999945</v>
      </c>
      <c r="J66" s="17">
        <f t="shared" si="2"/>
        <v>115697.87</v>
      </c>
      <c r="L66" s="122"/>
      <c r="M66" s="83">
        <f t="shared" si="8"/>
        <v>0</v>
      </c>
      <c r="N66" s="15"/>
      <c r="O66" s="69"/>
      <c r="P66" s="203"/>
      <c r="Q66" s="69">
        <f t="shared" si="14"/>
        <v>0</v>
      </c>
      <c r="R66" s="70"/>
      <c r="S66" s="71"/>
      <c r="T66" s="105">
        <f t="shared" si="9"/>
        <v>0</v>
      </c>
      <c r="U66" s="17">
        <f t="shared" si="4"/>
        <v>0</v>
      </c>
      <c r="W66" s="122"/>
      <c r="X66" s="83">
        <f t="shared" si="10"/>
        <v>390</v>
      </c>
      <c r="Y66" s="15"/>
      <c r="Z66" s="69"/>
      <c r="AA66" s="203"/>
      <c r="AB66" s="69">
        <f t="shared" si="15"/>
        <v>0</v>
      </c>
      <c r="AC66" s="70"/>
      <c r="AD66" s="71"/>
      <c r="AE66" s="105">
        <f t="shared" si="12"/>
        <v>12085.12</v>
      </c>
      <c r="AF66" s="17">
        <f t="shared" si="5"/>
        <v>0</v>
      </c>
    </row>
    <row r="67" spans="1:32" x14ac:dyDescent="0.25">
      <c r="A67" s="122"/>
      <c r="B67" s="83">
        <f t="shared" si="6"/>
        <v>0</v>
      </c>
      <c r="C67" s="15">
        <v>34</v>
      </c>
      <c r="D67" s="694">
        <v>979.82</v>
      </c>
      <c r="E67" s="695">
        <v>44807</v>
      </c>
      <c r="F67" s="694">
        <f t="shared" si="1"/>
        <v>979.82</v>
      </c>
      <c r="G67" s="696" t="s">
        <v>562</v>
      </c>
      <c r="H67" s="388">
        <v>137</v>
      </c>
      <c r="I67" s="105">
        <f t="shared" si="7"/>
        <v>2.9999999999404281E-2</v>
      </c>
      <c r="J67" s="17">
        <f t="shared" si="2"/>
        <v>134235.34</v>
      </c>
      <c r="L67" s="122"/>
      <c r="M67" s="83">
        <f t="shared" si="8"/>
        <v>0</v>
      </c>
      <c r="N67" s="15"/>
      <c r="O67" s="69"/>
      <c r="P67" s="203"/>
      <c r="Q67" s="69">
        <f t="shared" si="14"/>
        <v>0</v>
      </c>
      <c r="R67" s="70"/>
      <c r="S67" s="71"/>
      <c r="T67" s="105">
        <f t="shared" si="9"/>
        <v>0</v>
      </c>
      <c r="U67" s="17">
        <f t="shared" si="4"/>
        <v>0</v>
      </c>
      <c r="W67" s="122"/>
      <c r="X67" s="83">
        <f t="shared" si="10"/>
        <v>390</v>
      </c>
      <c r="Y67" s="15"/>
      <c r="Z67" s="69"/>
      <c r="AA67" s="203"/>
      <c r="AB67" s="69">
        <f t="shared" si="15"/>
        <v>0</v>
      </c>
      <c r="AC67" s="70"/>
      <c r="AD67" s="71"/>
      <c r="AE67" s="105">
        <f t="shared" si="12"/>
        <v>12085.12</v>
      </c>
      <c r="AF67" s="17">
        <f t="shared" si="5"/>
        <v>0</v>
      </c>
    </row>
    <row r="68" spans="1:32" x14ac:dyDescent="0.25">
      <c r="A68" s="122"/>
      <c r="B68" s="83">
        <f t="shared" si="6"/>
        <v>0</v>
      </c>
      <c r="C68" s="15"/>
      <c r="D68" s="694"/>
      <c r="E68" s="695"/>
      <c r="F68" s="694">
        <f t="shared" si="1"/>
        <v>0</v>
      </c>
      <c r="G68" s="893"/>
      <c r="H68" s="892"/>
      <c r="I68" s="894">
        <f t="shared" si="7"/>
        <v>2.9999999999404281E-2</v>
      </c>
      <c r="J68" s="895">
        <f t="shared" si="2"/>
        <v>0</v>
      </c>
      <c r="L68" s="122"/>
      <c r="M68" s="83">
        <f t="shared" si="8"/>
        <v>0</v>
      </c>
      <c r="N68" s="15"/>
      <c r="O68" s="69"/>
      <c r="P68" s="203"/>
      <c r="Q68" s="69">
        <f t="shared" si="14"/>
        <v>0</v>
      </c>
      <c r="R68" s="70"/>
      <c r="S68" s="71"/>
      <c r="T68" s="105">
        <f t="shared" si="9"/>
        <v>0</v>
      </c>
      <c r="U68" s="17">
        <f t="shared" si="4"/>
        <v>0</v>
      </c>
      <c r="W68" s="122"/>
      <c r="X68" s="83">
        <f t="shared" si="10"/>
        <v>390</v>
      </c>
      <c r="Y68" s="15"/>
      <c r="Z68" s="69"/>
      <c r="AA68" s="203"/>
      <c r="AB68" s="69">
        <f t="shared" si="15"/>
        <v>0</v>
      </c>
      <c r="AC68" s="70"/>
      <c r="AD68" s="71"/>
      <c r="AE68" s="105">
        <f t="shared" si="12"/>
        <v>12085.12</v>
      </c>
      <c r="AF68" s="17">
        <f t="shared" si="5"/>
        <v>0</v>
      </c>
    </row>
    <row r="69" spans="1:32" x14ac:dyDescent="0.25">
      <c r="A69" s="122"/>
      <c r="B69" s="83">
        <f t="shared" si="6"/>
        <v>0</v>
      </c>
      <c r="C69" s="15"/>
      <c r="D69" s="694"/>
      <c r="E69" s="695"/>
      <c r="F69" s="694">
        <f t="shared" si="1"/>
        <v>0</v>
      </c>
      <c r="G69" s="893"/>
      <c r="H69" s="892"/>
      <c r="I69" s="894">
        <f t="shared" si="7"/>
        <v>2.9999999999404281E-2</v>
      </c>
      <c r="J69" s="895">
        <f t="shared" si="2"/>
        <v>0</v>
      </c>
      <c r="L69" s="122"/>
      <c r="M69" s="83">
        <f t="shared" si="8"/>
        <v>0</v>
      </c>
      <c r="N69" s="15"/>
      <c r="O69" s="69"/>
      <c r="P69" s="203"/>
      <c r="Q69" s="69">
        <f t="shared" si="14"/>
        <v>0</v>
      </c>
      <c r="R69" s="70"/>
      <c r="S69" s="71"/>
      <c r="T69" s="105">
        <f t="shared" si="9"/>
        <v>0</v>
      </c>
      <c r="U69" s="17">
        <f t="shared" si="4"/>
        <v>0</v>
      </c>
      <c r="W69" s="122"/>
      <c r="X69" s="83">
        <f t="shared" si="10"/>
        <v>390</v>
      </c>
      <c r="Y69" s="15"/>
      <c r="Z69" s="69"/>
      <c r="AA69" s="203"/>
      <c r="AB69" s="69">
        <f t="shared" si="15"/>
        <v>0</v>
      </c>
      <c r="AC69" s="70"/>
      <c r="AD69" s="71"/>
      <c r="AE69" s="105">
        <f t="shared" si="12"/>
        <v>12085.12</v>
      </c>
      <c r="AF69" s="17">
        <f t="shared" si="5"/>
        <v>0</v>
      </c>
    </row>
    <row r="70" spans="1:32" x14ac:dyDescent="0.25">
      <c r="A70" s="122"/>
      <c r="B70" s="83">
        <f t="shared" si="6"/>
        <v>0</v>
      </c>
      <c r="C70" s="15"/>
      <c r="D70" s="694"/>
      <c r="E70" s="695"/>
      <c r="F70" s="694">
        <f t="shared" si="1"/>
        <v>0</v>
      </c>
      <c r="G70" s="893"/>
      <c r="H70" s="892"/>
      <c r="I70" s="894">
        <f t="shared" si="7"/>
        <v>2.9999999999404281E-2</v>
      </c>
      <c r="J70" s="895">
        <f t="shared" si="2"/>
        <v>0</v>
      </c>
      <c r="L70" s="122"/>
      <c r="M70" s="83">
        <f t="shared" si="8"/>
        <v>0</v>
      </c>
      <c r="N70" s="15"/>
      <c r="O70" s="69"/>
      <c r="P70" s="203"/>
      <c r="Q70" s="69">
        <f t="shared" si="14"/>
        <v>0</v>
      </c>
      <c r="R70" s="70"/>
      <c r="S70" s="71"/>
      <c r="T70" s="105">
        <f t="shared" si="9"/>
        <v>0</v>
      </c>
      <c r="U70" s="17">
        <f t="shared" si="4"/>
        <v>0</v>
      </c>
      <c r="W70" s="122"/>
      <c r="X70" s="83">
        <f t="shared" si="10"/>
        <v>390</v>
      </c>
      <c r="Y70" s="15"/>
      <c r="Z70" s="69"/>
      <c r="AA70" s="203"/>
      <c r="AB70" s="69">
        <f t="shared" si="15"/>
        <v>0</v>
      </c>
      <c r="AC70" s="70"/>
      <c r="AD70" s="71"/>
      <c r="AE70" s="105">
        <f t="shared" si="12"/>
        <v>12085.12</v>
      </c>
      <c r="AF70" s="17">
        <f t="shared" si="5"/>
        <v>0</v>
      </c>
    </row>
    <row r="71" spans="1:32" x14ac:dyDescent="0.25">
      <c r="A71" s="122"/>
      <c r="B71" s="83">
        <f t="shared" si="6"/>
        <v>0</v>
      </c>
      <c r="C71" s="15"/>
      <c r="D71" s="694"/>
      <c r="E71" s="695"/>
      <c r="F71" s="694">
        <f t="shared" si="1"/>
        <v>0</v>
      </c>
      <c r="G71" s="893"/>
      <c r="H71" s="892"/>
      <c r="I71" s="894">
        <f t="shared" si="7"/>
        <v>2.9999999999404281E-2</v>
      </c>
      <c r="J71" s="895">
        <f t="shared" si="2"/>
        <v>0</v>
      </c>
      <c r="L71" s="122"/>
      <c r="M71" s="83">
        <f t="shared" si="8"/>
        <v>0</v>
      </c>
      <c r="N71" s="15"/>
      <c r="O71" s="69"/>
      <c r="P71" s="203"/>
      <c r="Q71" s="69">
        <f t="shared" si="14"/>
        <v>0</v>
      </c>
      <c r="R71" s="70"/>
      <c r="S71" s="71"/>
      <c r="T71" s="105">
        <f t="shared" si="9"/>
        <v>0</v>
      </c>
      <c r="U71" s="17">
        <f t="shared" si="4"/>
        <v>0</v>
      </c>
      <c r="W71" s="122"/>
      <c r="X71" s="83">
        <f t="shared" si="10"/>
        <v>390</v>
      </c>
      <c r="Y71" s="15"/>
      <c r="Z71" s="69"/>
      <c r="AA71" s="203"/>
      <c r="AB71" s="69">
        <f t="shared" si="15"/>
        <v>0</v>
      </c>
      <c r="AC71" s="70"/>
      <c r="AD71" s="71"/>
      <c r="AE71" s="105">
        <f t="shared" si="12"/>
        <v>12085.12</v>
      </c>
      <c r="AF71" s="17">
        <f t="shared" si="5"/>
        <v>0</v>
      </c>
    </row>
    <row r="72" spans="1:32" x14ac:dyDescent="0.25">
      <c r="A72" s="122"/>
      <c r="B72" s="83">
        <f t="shared" si="6"/>
        <v>0</v>
      </c>
      <c r="C72" s="15"/>
      <c r="D72" s="694"/>
      <c r="E72" s="695"/>
      <c r="F72" s="694">
        <f t="shared" si="1"/>
        <v>0</v>
      </c>
      <c r="G72" s="696"/>
      <c r="H72" s="388"/>
      <c r="I72" s="105">
        <f t="shared" si="7"/>
        <v>2.9999999999404281E-2</v>
      </c>
      <c r="J72" s="17">
        <f t="shared" si="2"/>
        <v>0</v>
      </c>
      <c r="L72" s="122"/>
      <c r="M72" s="83">
        <f t="shared" si="8"/>
        <v>0</v>
      </c>
      <c r="N72" s="15"/>
      <c r="O72" s="69"/>
      <c r="P72" s="203"/>
      <c r="Q72" s="69">
        <f t="shared" si="14"/>
        <v>0</v>
      </c>
      <c r="R72" s="70"/>
      <c r="S72" s="71"/>
      <c r="T72" s="105">
        <f t="shared" si="9"/>
        <v>0</v>
      </c>
      <c r="U72" s="17">
        <f t="shared" si="4"/>
        <v>0</v>
      </c>
      <c r="W72" s="122"/>
      <c r="X72" s="83">
        <f t="shared" si="10"/>
        <v>390</v>
      </c>
      <c r="Y72" s="15"/>
      <c r="Z72" s="69"/>
      <c r="AA72" s="203"/>
      <c r="AB72" s="69">
        <f t="shared" si="15"/>
        <v>0</v>
      </c>
      <c r="AC72" s="70"/>
      <c r="AD72" s="71"/>
      <c r="AE72" s="105">
        <f t="shared" si="12"/>
        <v>12085.12</v>
      </c>
      <c r="AF72" s="17">
        <f t="shared" si="5"/>
        <v>0</v>
      </c>
    </row>
    <row r="73" spans="1:32" x14ac:dyDescent="0.25">
      <c r="A73" s="122"/>
      <c r="B73" s="83">
        <f t="shared" si="6"/>
        <v>0</v>
      </c>
      <c r="C73" s="15"/>
      <c r="D73" s="694"/>
      <c r="E73" s="695"/>
      <c r="F73" s="694">
        <f t="shared" si="1"/>
        <v>0</v>
      </c>
      <c r="G73" s="696"/>
      <c r="H73" s="388"/>
      <c r="I73" s="105">
        <f t="shared" si="7"/>
        <v>2.9999999999404281E-2</v>
      </c>
      <c r="J73" s="17">
        <f t="shared" si="2"/>
        <v>0</v>
      </c>
      <c r="L73" s="122"/>
      <c r="M73" s="83">
        <f t="shared" si="8"/>
        <v>0</v>
      </c>
      <c r="N73" s="15"/>
      <c r="O73" s="69"/>
      <c r="P73" s="203"/>
      <c r="Q73" s="69">
        <f t="shared" si="14"/>
        <v>0</v>
      </c>
      <c r="R73" s="70"/>
      <c r="S73" s="71"/>
      <c r="T73" s="105">
        <f t="shared" si="9"/>
        <v>0</v>
      </c>
      <c r="U73" s="17">
        <f t="shared" si="4"/>
        <v>0</v>
      </c>
      <c r="W73" s="122"/>
      <c r="X73" s="83">
        <f t="shared" si="10"/>
        <v>390</v>
      </c>
      <c r="Y73" s="15"/>
      <c r="Z73" s="69"/>
      <c r="AA73" s="203"/>
      <c r="AB73" s="69">
        <f t="shared" si="15"/>
        <v>0</v>
      </c>
      <c r="AC73" s="70"/>
      <c r="AD73" s="71"/>
      <c r="AE73" s="105">
        <f t="shared" si="12"/>
        <v>12085.12</v>
      </c>
      <c r="AF73" s="17">
        <f t="shared" si="5"/>
        <v>0</v>
      </c>
    </row>
    <row r="74" spans="1:32" x14ac:dyDescent="0.25">
      <c r="A74" s="122"/>
      <c r="B74" s="83">
        <f t="shared" si="6"/>
        <v>0</v>
      </c>
      <c r="C74" s="15"/>
      <c r="D74" s="694"/>
      <c r="E74" s="695"/>
      <c r="F74" s="694">
        <f t="shared" si="1"/>
        <v>0</v>
      </c>
      <c r="G74" s="696"/>
      <c r="H74" s="388"/>
      <c r="I74" s="105">
        <f t="shared" si="7"/>
        <v>2.9999999999404281E-2</v>
      </c>
      <c r="J74" s="17">
        <f t="shared" si="2"/>
        <v>0</v>
      </c>
      <c r="L74" s="122"/>
      <c r="M74" s="83">
        <f t="shared" si="8"/>
        <v>0</v>
      </c>
      <c r="N74" s="15"/>
      <c r="O74" s="69"/>
      <c r="P74" s="203"/>
      <c r="Q74" s="69">
        <f t="shared" si="14"/>
        <v>0</v>
      </c>
      <c r="R74" s="70"/>
      <c r="S74" s="71"/>
      <c r="T74" s="105">
        <f t="shared" si="9"/>
        <v>0</v>
      </c>
      <c r="U74" s="17">
        <f t="shared" si="4"/>
        <v>0</v>
      </c>
      <c r="W74" s="122"/>
      <c r="X74" s="83">
        <f t="shared" si="10"/>
        <v>390</v>
      </c>
      <c r="Y74" s="15"/>
      <c r="Z74" s="69"/>
      <c r="AA74" s="203"/>
      <c r="AB74" s="69">
        <f t="shared" si="15"/>
        <v>0</v>
      </c>
      <c r="AC74" s="70"/>
      <c r="AD74" s="71"/>
      <c r="AE74" s="105">
        <f t="shared" si="12"/>
        <v>12085.12</v>
      </c>
      <c r="AF74" s="17">
        <f t="shared" si="5"/>
        <v>0</v>
      </c>
    </row>
    <row r="75" spans="1:32" x14ac:dyDescent="0.25">
      <c r="A75" s="122"/>
      <c r="B75" s="83">
        <f t="shared" si="6"/>
        <v>0</v>
      </c>
      <c r="C75" s="15"/>
      <c r="D75" s="694"/>
      <c r="E75" s="695"/>
      <c r="F75" s="694">
        <f t="shared" ref="F75:F77" si="16">D75</f>
        <v>0</v>
      </c>
      <c r="G75" s="696"/>
      <c r="H75" s="388"/>
      <c r="I75" s="105">
        <f t="shared" si="7"/>
        <v>2.9999999999404281E-2</v>
      </c>
      <c r="J75" s="17">
        <f t="shared" ref="J75:J77" si="17">F75*H75</f>
        <v>0</v>
      </c>
      <c r="L75" s="122"/>
      <c r="M75" s="83">
        <f t="shared" si="8"/>
        <v>0</v>
      </c>
      <c r="N75" s="15"/>
      <c r="O75" s="69"/>
      <c r="P75" s="203"/>
      <c r="Q75" s="69">
        <f>O75</f>
        <v>0</v>
      </c>
      <c r="R75" s="70"/>
      <c r="S75" s="71"/>
      <c r="T75" s="105">
        <f t="shared" si="9"/>
        <v>0</v>
      </c>
      <c r="U75" s="17">
        <f t="shared" ref="U75:U77" si="18">Q75*S75</f>
        <v>0</v>
      </c>
      <c r="W75" s="122"/>
      <c r="X75" s="83">
        <f t="shared" si="10"/>
        <v>390</v>
      </c>
      <c r="Y75" s="15"/>
      <c r="Z75" s="69"/>
      <c r="AA75" s="203"/>
      <c r="AB75" s="69">
        <f>Z75</f>
        <v>0</v>
      </c>
      <c r="AC75" s="70"/>
      <c r="AD75" s="71"/>
      <c r="AE75" s="105">
        <f t="shared" si="12"/>
        <v>12085.12</v>
      </c>
      <c r="AF75" s="17">
        <f t="shared" ref="AF75:AF77" si="19">AB75*AD75</f>
        <v>0</v>
      </c>
    </row>
    <row r="76" spans="1:32" x14ac:dyDescent="0.25">
      <c r="A76" s="122"/>
      <c r="B76" s="83">
        <f t="shared" ref="B76" si="20">B75-C76</f>
        <v>0</v>
      </c>
      <c r="C76" s="15"/>
      <c r="D76" s="694"/>
      <c r="E76" s="695"/>
      <c r="F76" s="694">
        <f t="shared" si="16"/>
        <v>0</v>
      </c>
      <c r="G76" s="696"/>
      <c r="H76" s="388"/>
      <c r="I76" s="105">
        <f t="shared" ref="I76:I77" si="21">I75-F76</f>
        <v>2.9999999999404281E-2</v>
      </c>
      <c r="J76" s="17">
        <f t="shared" si="17"/>
        <v>0</v>
      </c>
      <c r="L76" s="122"/>
      <c r="M76" s="83">
        <f t="shared" ref="M76" si="22">M75-N76</f>
        <v>0</v>
      </c>
      <c r="N76" s="15"/>
      <c r="O76" s="69"/>
      <c r="P76" s="203"/>
      <c r="Q76" s="69">
        <f>O76</f>
        <v>0</v>
      </c>
      <c r="R76" s="70"/>
      <c r="S76" s="71"/>
      <c r="T76" s="105">
        <f t="shared" ref="T76:T77" si="23">T75-Q76</f>
        <v>0</v>
      </c>
      <c r="U76" s="17">
        <f t="shared" si="18"/>
        <v>0</v>
      </c>
      <c r="W76" s="122"/>
      <c r="X76" s="83">
        <f t="shared" ref="X76" si="24">X75-Y76</f>
        <v>390</v>
      </c>
      <c r="Y76" s="15"/>
      <c r="Z76" s="69"/>
      <c r="AA76" s="203"/>
      <c r="AB76" s="69">
        <f>Z76</f>
        <v>0</v>
      </c>
      <c r="AC76" s="70"/>
      <c r="AD76" s="71"/>
      <c r="AE76" s="105">
        <f t="shared" ref="AE76:AE77" si="25">AE75-AB76</f>
        <v>12085.12</v>
      </c>
      <c r="AF76" s="17">
        <f t="shared" si="19"/>
        <v>0</v>
      </c>
    </row>
    <row r="77" spans="1:32" x14ac:dyDescent="0.25">
      <c r="A77" s="122"/>
      <c r="C77" s="15"/>
      <c r="D77" s="694"/>
      <c r="E77" s="695"/>
      <c r="F77" s="694">
        <f t="shared" si="16"/>
        <v>0</v>
      </c>
      <c r="G77" s="696"/>
      <c r="H77" s="388"/>
      <c r="I77" s="105">
        <f t="shared" si="21"/>
        <v>2.9999999999404281E-2</v>
      </c>
      <c r="J77" s="17">
        <f t="shared" si="17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105">
        <f t="shared" si="23"/>
        <v>0</v>
      </c>
      <c r="U77" s="17">
        <f t="shared" si="18"/>
        <v>0</v>
      </c>
      <c r="W77" s="122"/>
      <c r="Y77" s="15"/>
      <c r="Z77" s="69"/>
      <c r="AA77" s="203"/>
      <c r="AB77" s="69">
        <f>Z77</f>
        <v>0</v>
      </c>
      <c r="AC77" s="70"/>
      <c r="AD77" s="71"/>
      <c r="AE77" s="105">
        <f t="shared" si="25"/>
        <v>12085.12</v>
      </c>
      <c r="AF77" s="17">
        <f t="shared" si="19"/>
        <v>0</v>
      </c>
    </row>
    <row r="78" spans="1:32" ht="15.75" thickBot="1" x14ac:dyDescent="0.3">
      <c r="A78" s="122"/>
      <c r="B78" s="16"/>
      <c r="C78" s="52"/>
      <c r="D78" s="107"/>
      <c r="E78" s="197"/>
      <c r="F78" s="103"/>
      <c r="G78" s="104"/>
      <c r="H78" s="60"/>
      <c r="L78" s="122"/>
      <c r="M78" s="16"/>
      <c r="N78" s="52"/>
      <c r="O78" s="107"/>
      <c r="P78" s="197"/>
      <c r="Q78" s="103"/>
      <c r="R78" s="104"/>
      <c r="S78" s="60"/>
      <c r="W78" s="122"/>
      <c r="X78" s="16"/>
      <c r="Y78" s="52"/>
      <c r="Z78" s="107"/>
      <c r="AA78" s="197"/>
      <c r="AB78" s="103"/>
      <c r="AC78" s="104"/>
      <c r="AD78" s="60"/>
    </row>
    <row r="79" spans="1:32" x14ac:dyDescent="0.25">
      <c r="C79" s="53">
        <f>SUM(C10:C78)</f>
        <v>636</v>
      </c>
      <c r="D79" s="6">
        <f>SUM(D10:D78)</f>
        <v>18697.59</v>
      </c>
      <c r="F79" s="6">
        <f>SUM(F10:F78)</f>
        <v>18697.59</v>
      </c>
      <c r="N79" s="53">
        <f>SUM(N10:N78)</f>
        <v>191</v>
      </c>
      <c r="O79" s="6">
        <f>SUM(O10:O78)</f>
        <v>5979.8200000000006</v>
      </c>
      <c r="Q79" s="6">
        <f>SUM(Q10:Q78)</f>
        <v>5979.8200000000006</v>
      </c>
      <c r="Y79" s="53">
        <f>SUM(Y10:Y78)</f>
        <v>100</v>
      </c>
      <c r="Z79" s="6">
        <f>SUM(Z10:Z78)</f>
        <v>3146.5899999999997</v>
      </c>
      <c r="AB79" s="6">
        <f>SUM(AB10:AB78)</f>
        <v>3146.5899999999997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</f>
        <v>0</v>
      </c>
      <c r="O82" s="45" t="s">
        <v>4</v>
      </c>
      <c r="P82" s="56">
        <f>Q5+Q6-N79+Q7</f>
        <v>0</v>
      </c>
      <c r="Z82" s="45" t="s">
        <v>4</v>
      </c>
      <c r="AA82" s="56">
        <f>AB5+AB6-Y79+AB7</f>
        <v>390</v>
      </c>
    </row>
    <row r="83" spans="3:28" ht="15.75" thickBot="1" x14ac:dyDescent="0.3"/>
    <row r="84" spans="3:28" ht="15.75" thickBot="1" x14ac:dyDescent="0.3">
      <c r="C84" s="1056" t="s">
        <v>11</v>
      </c>
      <c r="D84" s="1057"/>
      <c r="E84" s="57">
        <f>E5+E6-F79+E7</f>
        <v>3.0000000000727667E-2</v>
      </c>
      <c r="F84" s="73"/>
      <c r="N84" s="1056" t="s">
        <v>11</v>
      </c>
      <c r="O84" s="1057"/>
      <c r="P84" s="57">
        <f>P5+P6-Q79+P7</f>
        <v>0</v>
      </c>
      <c r="Q84" s="73"/>
      <c r="Y84" s="1056" t="s">
        <v>11</v>
      </c>
      <c r="Z84" s="1057"/>
      <c r="AA84" s="57">
        <f>AA5+AA6-AB79+AA7</f>
        <v>12085.119999999999</v>
      </c>
      <c r="AB84" s="73"/>
    </row>
  </sheetData>
  <sortState ref="Y12:AD18">
    <sortCondition ref="AC12:AC18"/>
  </sortState>
  <mergeCells count="12">
    <mergeCell ref="W1:AC1"/>
    <mergeCell ref="X4:X7"/>
    <mergeCell ref="W5:W6"/>
    <mergeCell ref="Y84:Z84"/>
    <mergeCell ref="A1:G1"/>
    <mergeCell ref="B4:B6"/>
    <mergeCell ref="A5:A6"/>
    <mergeCell ref="C84:D84"/>
    <mergeCell ref="L1:R1"/>
    <mergeCell ref="L5:L6"/>
    <mergeCell ref="N84:O84"/>
    <mergeCell ref="M4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2022-11-07T21:34:46Z</dcterms:modified>
</cp:coreProperties>
</file>