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IDOR\Documents\"/>
    </mc:Choice>
  </mc:AlternateContent>
  <bookViews>
    <workbookView xWindow="0" yWindow="0" windowWidth="24000" windowHeight="9630" activeTab="6"/>
  </bookViews>
  <sheets>
    <sheet name="ENERO 02" sheetId="1" r:id="rId1"/>
    <sheet name="ABRIL 31" sheetId="2" r:id="rId2"/>
    <sheet name="MAYO 29" sheetId="3" r:id="rId3"/>
    <sheet name="JULIO 3" sheetId="4" r:id="rId4"/>
    <sheet name="JULIO 31" sheetId="5" r:id="rId5"/>
    <sheet name="AGOSTO 28" sheetId="6" r:id="rId6"/>
    <sheet name="OCTUBRE 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9" i="7" l="1"/>
  <c r="E361" i="7" s="1"/>
  <c r="C361" i="7"/>
  <c r="C135" i="7"/>
  <c r="C359" i="7"/>
  <c r="C189" i="7"/>
  <c r="C305" i="7"/>
  <c r="C59" i="7"/>
  <c r="C57" i="7"/>
  <c r="C56" i="7"/>
  <c r="C209" i="7"/>
  <c r="C47" i="7"/>
  <c r="C195" i="7"/>
  <c r="C9" i="7"/>
  <c r="C51" i="7"/>
  <c r="C317" i="7"/>
  <c r="C41" i="7"/>
  <c r="C235" i="7"/>
  <c r="G134" i="7"/>
  <c r="G77" i="7"/>
  <c r="E355" i="7"/>
  <c r="G355" i="7" s="1"/>
  <c r="E354" i="7"/>
  <c r="E356" i="7"/>
  <c r="G356" i="7" s="1"/>
  <c r="G359" i="7" s="1"/>
  <c r="G361" i="7" s="1"/>
  <c r="E357" i="7"/>
  <c r="G357" i="7" s="1"/>
  <c r="E358" i="7"/>
  <c r="G358" i="7" s="1"/>
  <c r="G354" i="7"/>
  <c r="C131" i="7" l="1"/>
  <c r="C278" i="7"/>
  <c r="C104" i="7"/>
  <c r="C180" i="7"/>
  <c r="C308" i="7"/>
  <c r="C156" i="7"/>
  <c r="C239" i="7"/>
  <c r="C125" i="7"/>
  <c r="C228" i="7"/>
  <c r="C295" i="7"/>
  <c r="C296" i="7"/>
  <c r="C294" i="7"/>
  <c r="C109" i="7"/>
  <c r="C325" i="7"/>
  <c r="C316" i="7"/>
  <c r="C133" i="7"/>
  <c r="C113" i="7"/>
  <c r="C122" i="7"/>
  <c r="C144" i="7"/>
  <c r="C140" i="7"/>
  <c r="C218" i="7"/>
  <c r="C127" i="7"/>
  <c r="C114" i="7"/>
  <c r="C121" i="7"/>
  <c r="C161" i="7"/>
  <c r="C117" i="7"/>
  <c r="C120" i="7"/>
  <c r="C119" i="7"/>
  <c r="C118" i="7"/>
  <c r="C221" i="7"/>
  <c r="C155" i="7"/>
  <c r="C222" i="7"/>
  <c r="C112" i="7"/>
  <c r="C141" i="7"/>
  <c r="C97" i="7"/>
  <c r="C116" i="7"/>
  <c r="C173" i="7"/>
  <c r="C164" i="7"/>
  <c r="C255" i="7"/>
  <c r="C75" i="7"/>
  <c r="C149" i="7"/>
  <c r="C111" i="7"/>
  <c r="C185" i="7"/>
  <c r="C108" i="7"/>
  <c r="C124" i="7"/>
  <c r="C103" i="7"/>
  <c r="C102" i="7"/>
  <c r="C178" i="7"/>
  <c r="C129" i="7"/>
  <c r="C105" i="7"/>
  <c r="C183" i="7"/>
  <c r="C190" i="7"/>
  <c r="C139" i="7"/>
  <c r="C186" i="7"/>
  <c r="C132" i="7"/>
  <c r="C286" i="7"/>
  <c r="C115" i="7"/>
  <c r="C110" i="7"/>
  <c r="C138" i="7"/>
  <c r="C126" i="7" l="1"/>
  <c r="C215" i="7"/>
  <c r="C322" i="7"/>
  <c r="C245" i="7"/>
  <c r="C241" i="7"/>
  <c r="C250" i="7"/>
  <c r="C175" i="7"/>
  <c r="C147" i="7"/>
  <c r="C4" i="7" l="1"/>
  <c r="C162" i="7"/>
  <c r="D125" i="7"/>
  <c r="C170" i="7" l="1"/>
  <c r="C363" i="7"/>
  <c r="C307" i="7"/>
  <c r="C168" i="7"/>
  <c r="C181" i="7" s="1"/>
  <c r="C80" i="7"/>
  <c r="C297" i="7"/>
  <c r="C27" i="7"/>
  <c r="C200" i="7"/>
  <c r="C20" i="7"/>
  <c r="C16" i="7"/>
  <c r="C225" i="7"/>
  <c r="C196" i="7"/>
  <c r="C223" i="7" s="1"/>
  <c r="C100" i="7"/>
  <c r="C72" i="7"/>
  <c r="C48" i="7"/>
  <c r="C49" i="7"/>
  <c r="C53" i="7"/>
  <c r="C94" i="7"/>
  <c r="C93" i="7"/>
  <c r="C98" i="7"/>
  <c r="C55" i="7"/>
  <c r="C71" i="7"/>
  <c r="C265" i="7"/>
  <c r="C171" i="7"/>
  <c r="C58" i="7"/>
  <c r="C15" i="7" l="1"/>
  <c r="C232" i="7" l="1"/>
  <c r="C40" i="7"/>
  <c r="C234" i="7"/>
  <c r="C34" i="7"/>
  <c r="C42" i="7"/>
  <c r="C35" i="7"/>
  <c r="C236" i="7"/>
  <c r="C52" i="7"/>
  <c r="C8" i="7"/>
  <c r="C14" i="7"/>
  <c r="C54" i="7"/>
  <c r="C36" i="7"/>
  <c r="C81" i="7" l="1"/>
  <c r="C89" i="7" s="1"/>
  <c r="C30" i="7"/>
  <c r="C315" i="7"/>
  <c r="C349" i="7" s="1"/>
  <c r="C33" i="7"/>
  <c r="C303" i="7"/>
  <c r="C311" i="7" s="1"/>
  <c r="C244" i="7"/>
  <c r="C267" i="7" s="1"/>
  <c r="C247" i="7"/>
  <c r="C44" i="7" l="1"/>
  <c r="G363" i="7"/>
  <c r="E353" i="7"/>
  <c r="G353" i="7" s="1"/>
  <c r="E352" i="7"/>
  <c r="G352" i="7" s="1"/>
  <c r="E351" i="7"/>
  <c r="G351" i="7" s="1"/>
  <c r="E348" i="7"/>
  <c r="G348" i="7" s="1"/>
  <c r="E347" i="7"/>
  <c r="G347" i="7" s="1"/>
  <c r="E346" i="7"/>
  <c r="G346" i="7" s="1"/>
  <c r="E345" i="7"/>
  <c r="G345" i="7" s="1"/>
  <c r="E344" i="7"/>
  <c r="G344" i="7" s="1"/>
  <c r="E343" i="7"/>
  <c r="G343" i="7" s="1"/>
  <c r="E342" i="7"/>
  <c r="G342" i="7" s="1"/>
  <c r="E341" i="7"/>
  <c r="G341" i="7" s="1"/>
  <c r="E340" i="7"/>
  <c r="G340" i="7" s="1"/>
  <c r="E339" i="7"/>
  <c r="G339" i="7" s="1"/>
  <c r="E338" i="7"/>
  <c r="G338" i="7" s="1"/>
  <c r="E337" i="7"/>
  <c r="G337" i="7" s="1"/>
  <c r="E336" i="7"/>
  <c r="G336" i="7" s="1"/>
  <c r="E335" i="7"/>
  <c r="G335" i="7" s="1"/>
  <c r="E334" i="7"/>
  <c r="G334" i="7" s="1"/>
  <c r="E333" i="7"/>
  <c r="G333" i="7" s="1"/>
  <c r="E332" i="7"/>
  <c r="G332" i="7" s="1"/>
  <c r="E331" i="7"/>
  <c r="G331" i="7" s="1"/>
  <c r="E330" i="7"/>
  <c r="G330" i="7" s="1"/>
  <c r="E329" i="7"/>
  <c r="G329" i="7" s="1"/>
  <c r="E328" i="7"/>
  <c r="G328" i="7" s="1"/>
  <c r="E327" i="7"/>
  <c r="G327" i="7" s="1"/>
  <c r="E326" i="7"/>
  <c r="G326" i="7" s="1"/>
  <c r="E325" i="7"/>
  <c r="G325" i="7" s="1"/>
  <c r="E324" i="7"/>
  <c r="G324" i="7" s="1"/>
  <c r="E323" i="7"/>
  <c r="G323" i="7" s="1"/>
  <c r="E322" i="7"/>
  <c r="G322" i="7" s="1"/>
  <c r="E321" i="7"/>
  <c r="G321" i="7" s="1"/>
  <c r="E320" i="7"/>
  <c r="G320" i="7" s="1"/>
  <c r="E319" i="7"/>
  <c r="G319" i="7" s="1"/>
  <c r="E318" i="7"/>
  <c r="G318" i="7" s="1"/>
  <c r="E317" i="7"/>
  <c r="G317" i="7" s="1"/>
  <c r="E316" i="7"/>
  <c r="G316" i="7" s="1"/>
  <c r="E315" i="7"/>
  <c r="G315" i="7" s="1"/>
  <c r="E314" i="7"/>
  <c r="G314" i="7" s="1"/>
  <c r="E313" i="7"/>
  <c r="E310" i="7"/>
  <c r="G310" i="7" s="1"/>
  <c r="E309" i="7"/>
  <c r="G309" i="7" s="1"/>
  <c r="E308" i="7"/>
  <c r="G308" i="7" s="1"/>
  <c r="E307" i="7"/>
  <c r="G307" i="7" s="1"/>
  <c r="E306" i="7"/>
  <c r="G306" i="7" s="1"/>
  <c r="E305" i="7"/>
  <c r="G305" i="7" s="1"/>
  <c r="E304" i="7"/>
  <c r="G304" i="7" s="1"/>
  <c r="E303" i="7"/>
  <c r="G303" i="7" s="1"/>
  <c r="E302" i="7"/>
  <c r="G302" i="7" s="1"/>
  <c r="E301" i="7"/>
  <c r="G301" i="7" s="1"/>
  <c r="E300" i="7"/>
  <c r="G300" i="7" s="1"/>
  <c r="E299" i="7"/>
  <c r="G299" i="7" s="1"/>
  <c r="E298" i="7"/>
  <c r="G298" i="7" s="1"/>
  <c r="E297" i="7"/>
  <c r="G297" i="7" s="1"/>
  <c r="E296" i="7"/>
  <c r="G296" i="7" s="1"/>
  <c r="E295" i="7"/>
  <c r="G295" i="7" s="1"/>
  <c r="E294" i="7"/>
  <c r="G294" i="7" s="1"/>
  <c r="E293" i="7"/>
  <c r="G293" i="7" s="1"/>
  <c r="E292" i="7"/>
  <c r="G292" i="7" s="1"/>
  <c r="E291" i="7"/>
  <c r="G291" i="7" s="1"/>
  <c r="E290" i="7"/>
  <c r="G290" i="7" s="1"/>
  <c r="E289" i="7"/>
  <c r="G289" i="7" s="1"/>
  <c r="E288" i="7"/>
  <c r="G288" i="7" s="1"/>
  <c r="E287" i="7"/>
  <c r="G287" i="7" s="1"/>
  <c r="E286" i="7"/>
  <c r="G286" i="7" s="1"/>
  <c r="E285" i="7"/>
  <c r="G285" i="7" s="1"/>
  <c r="E284" i="7"/>
  <c r="G284" i="7" s="1"/>
  <c r="E283" i="7"/>
  <c r="G283" i="7" s="1"/>
  <c r="E282" i="7"/>
  <c r="G282" i="7" s="1"/>
  <c r="E281" i="7"/>
  <c r="G281" i="7" s="1"/>
  <c r="E280" i="7"/>
  <c r="G280" i="7" s="1"/>
  <c r="E279" i="7"/>
  <c r="G279" i="7" s="1"/>
  <c r="E278" i="7"/>
  <c r="G278" i="7" s="1"/>
  <c r="E277" i="7"/>
  <c r="G277" i="7" s="1"/>
  <c r="E276" i="7"/>
  <c r="G276" i="7" s="1"/>
  <c r="E275" i="7"/>
  <c r="G275" i="7" s="1"/>
  <c r="E274" i="7"/>
  <c r="G274" i="7" s="1"/>
  <c r="E273" i="7"/>
  <c r="G273" i="7" s="1"/>
  <c r="E272" i="7"/>
  <c r="G272" i="7" s="1"/>
  <c r="E271" i="7"/>
  <c r="G271" i="7" s="1"/>
  <c r="E270" i="7"/>
  <c r="E269" i="7"/>
  <c r="E266" i="7"/>
  <c r="G266" i="7" s="1"/>
  <c r="E265" i="7"/>
  <c r="G265" i="7" s="1"/>
  <c r="E264" i="7"/>
  <c r="G264" i="7" s="1"/>
  <c r="E263" i="7"/>
  <c r="G263" i="7" s="1"/>
  <c r="E262" i="7"/>
  <c r="G262" i="7" s="1"/>
  <c r="E261" i="7"/>
  <c r="G261" i="7" s="1"/>
  <c r="E260" i="7"/>
  <c r="G260" i="7" s="1"/>
  <c r="E259" i="7"/>
  <c r="G259" i="7" s="1"/>
  <c r="E258" i="7"/>
  <c r="G258" i="7" s="1"/>
  <c r="E257" i="7"/>
  <c r="G257" i="7" s="1"/>
  <c r="E256" i="7"/>
  <c r="G256" i="7" s="1"/>
  <c r="E255" i="7"/>
  <c r="G255" i="7" s="1"/>
  <c r="E254" i="7"/>
  <c r="G254" i="7" s="1"/>
  <c r="E253" i="7"/>
  <c r="G253" i="7" s="1"/>
  <c r="E252" i="7"/>
  <c r="G252" i="7" s="1"/>
  <c r="E251" i="7"/>
  <c r="G251" i="7" s="1"/>
  <c r="E250" i="7"/>
  <c r="G250" i="7" s="1"/>
  <c r="E249" i="7"/>
  <c r="G249" i="7" s="1"/>
  <c r="E248" i="7"/>
  <c r="G248" i="7" s="1"/>
  <c r="E247" i="7"/>
  <c r="G247" i="7" s="1"/>
  <c r="E246" i="7"/>
  <c r="G246" i="7" s="1"/>
  <c r="E245" i="7"/>
  <c r="G245" i="7" s="1"/>
  <c r="E244" i="7"/>
  <c r="G244" i="7" s="1"/>
  <c r="E243" i="7"/>
  <c r="G243" i="7" s="1"/>
  <c r="E242" i="7"/>
  <c r="G242" i="7" s="1"/>
  <c r="E241" i="7"/>
  <c r="G241" i="7" s="1"/>
  <c r="E240" i="7"/>
  <c r="G240" i="7" s="1"/>
  <c r="E239" i="7"/>
  <c r="G239" i="7" s="1"/>
  <c r="E238" i="7"/>
  <c r="G238" i="7" s="1"/>
  <c r="E237" i="7"/>
  <c r="G237" i="7" s="1"/>
  <c r="E236" i="7"/>
  <c r="G236" i="7" s="1"/>
  <c r="E235" i="7"/>
  <c r="G235" i="7" s="1"/>
  <c r="E234" i="7"/>
  <c r="G234" i="7" s="1"/>
  <c r="E233" i="7"/>
  <c r="G233" i="7" s="1"/>
  <c r="E232" i="7"/>
  <c r="G232" i="7" s="1"/>
  <c r="E231" i="7"/>
  <c r="G231" i="7" s="1"/>
  <c r="E230" i="7"/>
  <c r="G230" i="7" s="1"/>
  <c r="E229" i="7"/>
  <c r="G229" i="7" s="1"/>
  <c r="E228" i="7"/>
  <c r="G228" i="7" s="1"/>
  <c r="E227" i="7"/>
  <c r="G227" i="7" s="1"/>
  <c r="E225" i="7"/>
  <c r="E222" i="7"/>
  <c r="G222" i="7" s="1"/>
  <c r="E221" i="7"/>
  <c r="G221" i="7" s="1"/>
  <c r="E220" i="7"/>
  <c r="G220" i="7" s="1"/>
  <c r="E219" i="7"/>
  <c r="G219" i="7" s="1"/>
  <c r="E218" i="7"/>
  <c r="G218" i="7" s="1"/>
  <c r="E217" i="7"/>
  <c r="G217" i="7" s="1"/>
  <c r="E216" i="7"/>
  <c r="G216" i="7" s="1"/>
  <c r="E215" i="7"/>
  <c r="G215" i="7" s="1"/>
  <c r="E214" i="7"/>
  <c r="G214" i="7" s="1"/>
  <c r="E213" i="7"/>
  <c r="G213" i="7" s="1"/>
  <c r="E212" i="7"/>
  <c r="G212" i="7" s="1"/>
  <c r="E211" i="7"/>
  <c r="G211" i="7" s="1"/>
  <c r="E210" i="7"/>
  <c r="G210" i="7" s="1"/>
  <c r="E209" i="7"/>
  <c r="G209" i="7" s="1"/>
  <c r="E208" i="7"/>
  <c r="G208" i="7" s="1"/>
  <c r="E207" i="7"/>
  <c r="G207" i="7" s="1"/>
  <c r="E206" i="7"/>
  <c r="G206" i="7" s="1"/>
  <c r="E205" i="7"/>
  <c r="G205" i="7" s="1"/>
  <c r="E204" i="7"/>
  <c r="G204" i="7" s="1"/>
  <c r="E203" i="7"/>
  <c r="G203" i="7" s="1"/>
  <c r="E202" i="7"/>
  <c r="G202" i="7" s="1"/>
  <c r="E201" i="7"/>
  <c r="G201" i="7" s="1"/>
  <c r="E200" i="7"/>
  <c r="G200" i="7" s="1"/>
  <c r="E199" i="7"/>
  <c r="G199" i="7" s="1"/>
  <c r="E198" i="7"/>
  <c r="G198" i="7" s="1"/>
  <c r="E197" i="7"/>
  <c r="G197" i="7" s="1"/>
  <c r="E196" i="7"/>
  <c r="G196" i="7" s="1"/>
  <c r="E195" i="7"/>
  <c r="G195" i="7" s="1"/>
  <c r="E194" i="7"/>
  <c r="G194" i="7" s="1"/>
  <c r="E193" i="7"/>
  <c r="G193" i="7" s="1"/>
  <c r="E192" i="7"/>
  <c r="G192" i="7" s="1"/>
  <c r="E191" i="7"/>
  <c r="G191" i="7" s="1"/>
  <c r="E190" i="7"/>
  <c r="G190" i="7" s="1"/>
  <c r="E189" i="7"/>
  <c r="G189" i="7" s="1"/>
  <c r="E188" i="7"/>
  <c r="G188" i="7" s="1"/>
  <c r="E187" i="7"/>
  <c r="G187" i="7" s="1"/>
  <c r="E186" i="7"/>
  <c r="G186" i="7" s="1"/>
  <c r="E185" i="7"/>
  <c r="G185" i="7" s="1"/>
  <c r="E184" i="7"/>
  <c r="G184" i="7" s="1"/>
  <c r="E183" i="7"/>
  <c r="E180" i="7"/>
  <c r="G180" i="7" s="1"/>
  <c r="E179" i="7"/>
  <c r="G179" i="7" s="1"/>
  <c r="E178" i="7"/>
  <c r="G178" i="7" s="1"/>
  <c r="E177" i="7"/>
  <c r="G177" i="7" s="1"/>
  <c r="E176" i="7"/>
  <c r="G176" i="7" s="1"/>
  <c r="E175" i="7"/>
  <c r="G175" i="7" s="1"/>
  <c r="G174" i="7"/>
  <c r="E174" i="7"/>
  <c r="E173" i="7"/>
  <c r="G173" i="7" s="1"/>
  <c r="E172" i="7"/>
  <c r="G172" i="7" s="1"/>
  <c r="E171" i="7"/>
  <c r="G171" i="7" s="1"/>
  <c r="E170" i="7"/>
  <c r="G170" i="7" s="1"/>
  <c r="E169" i="7"/>
  <c r="G169" i="7" s="1"/>
  <c r="E168" i="7"/>
  <c r="G168" i="7" s="1"/>
  <c r="E167" i="7"/>
  <c r="G167" i="7" s="1"/>
  <c r="E166" i="7"/>
  <c r="G166" i="7" s="1"/>
  <c r="E165" i="7"/>
  <c r="G165" i="7" s="1"/>
  <c r="E164" i="7"/>
  <c r="G164" i="7" s="1"/>
  <c r="E163" i="7"/>
  <c r="G163" i="7" s="1"/>
  <c r="E162" i="7"/>
  <c r="G162" i="7" s="1"/>
  <c r="E161" i="7"/>
  <c r="G161" i="7" s="1"/>
  <c r="E160" i="7"/>
  <c r="G160" i="7" s="1"/>
  <c r="E159" i="7"/>
  <c r="G159" i="7" s="1"/>
  <c r="E158" i="7"/>
  <c r="G158" i="7" s="1"/>
  <c r="E157" i="7"/>
  <c r="G157" i="7" s="1"/>
  <c r="E156" i="7"/>
  <c r="G156" i="7" s="1"/>
  <c r="E155" i="7"/>
  <c r="G155" i="7" s="1"/>
  <c r="E154" i="7"/>
  <c r="G154" i="7" s="1"/>
  <c r="E153" i="7"/>
  <c r="G153" i="7" s="1"/>
  <c r="E152" i="7"/>
  <c r="G152" i="7" s="1"/>
  <c r="E151" i="7"/>
  <c r="G151" i="7" s="1"/>
  <c r="E150" i="7"/>
  <c r="G150" i="7" s="1"/>
  <c r="E149" i="7"/>
  <c r="G149" i="7" s="1"/>
  <c r="E148" i="7"/>
  <c r="G148" i="7" s="1"/>
  <c r="E147" i="7"/>
  <c r="G147" i="7" s="1"/>
  <c r="E146" i="7"/>
  <c r="G146" i="7" s="1"/>
  <c r="E145" i="7"/>
  <c r="G145" i="7" s="1"/>
  <c r="E144" i="7"/>
  <c r="G144" i="7" s="1"/>
  <c r="G143" i="7"/>
  <c r="E143" i="7"/>
  <c r="E142" i="7"/>
  <c r="G142" i="7" s="1"/>
  <c r="E141" i="7"/>
  <c r="G141" i="7" s="1"/>
  <c r="E140" i="7"/>
  <c r="G140" i="7" s="1"/>
  <c r="E139" i="7"/>
  <c r="G139" i="7" s="1"/>
  <c r="E137" i="7"/>
  <c r="E133" i="7"/>
  <c r="G133" i="7" s="1"/>
  <c r="E132" i="7"/>
  <c r="G132" i="7" s="1"/>
  <c r="E131" i="7"/>
  <c r="G131" i="7" s="1"/>
  <c r="E130" i="7"/>
  <c r="G130" i="7" s="1"/>
  <c r="E129" i="7"/>
  <c r="G129" i="7" s="1"/>
  <c r="G128" i="7"/>
  <c r="E128" i="7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E55" i="7"/>
  <c r="G55" i="7" s="1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G21" i="7"/>
  <c r="E21" i="7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4" i="7"/>
  <c r="G46" i="7" l="1"/>
  <c r="G89" i="7" s="1"/>
  <c r="E89" i="7"/>
  <c r="G225" i="7"/>
  <c r="E44" i="7"/>
  <c r="G91" i="7"/>
  <c r="G135" i="7" s="1"/>
  <c r="E135" i="7"/>
  <c r="G269" i="7"/>
  <c r="E311" i="7"/>
  <c r="G313" i="7"/>
  <c r="G349" i="7" s="1"/>
  <c r="E349" i="7"/>
  <c r="E223" i="7"/>
  <c r="G183" i="7"/>
  <c r="G223" i="7" s="1"/>
  <c r="G4" i="7"/>
  <c r="G44" i="7" s="1"/>
  <c r="G137" i="7"/>
  <c r="G270" i="7"/>
  <c r="E138" i="7"/>
  <c r="G138" i="7" s="1"/>
  <c r="E226" i="7"/>
  <c r="E267" i="7" s="1"/>
  <c r="C44" i="6"/>
  <c r="E44" i="6"/>
  <c r="G44" i="6"/>
  <c r="C89" i="6"/>
  <c r="E89" i="6"/>
  <c r="G89" i="6"/>
  <c r="C135" i="6"/>
  <c r="E135" i="6"/>
  <c r="G135" i="6"/>
  <c r="C181" i="6"/>
  <c r="E181" i="6"/>
  <c r="G181" i="6"/>
  <c r="C223" i="6"/>
  <c r="E223" i="6"/>
  <c r="G223" i="6"/>
  <c r="C267" i="6"/>
  <c r="E267" i="6"/>
  <c r="G267" i="6"/>
  <c r="C311" i="6"/>
  <c r="E311" i="6"/>
  <c r="G311" i="6"/>
  <c r="C349" i="6"/>
  <c r="E349" i="6"/>
  <c r="G349" i="6"/>
  <c r="C354" i="6"/>
  <c r="E354" i="6"/>
  <c r="G354" i="6"/>
  <c r="E353" i="6"/>
  <c r="G353" i="6" s="1"/>
  <c r="E336" i="6"/>
  <c r="G336" i="6" s="1"/>
  <c r="E335" i="6"/>
  <c r="G335" i="6" s="1"/>
  <c r="E334" i="6"/>
  <c r="G334" i="6" s="1"/>
  <c r="E333" i="6"/>
  <c r="G333" i="6" s="1"/>
  <c r="E352" i="6"/>
  <c r="G352" i="6" s="1"/>
  <c r="E351" i="6"/>
  <c r="G351" i="6" s="1"/>
  <c r="E348" i="6"/>
  <c r="G348" i="6" s="1"/>
  <c r="E347" i="6"/>
  <c r="G347" i="6" s="1"/>
  <c r="E346" i="6"/>
  <c r="G346" i="6" s="1"/>
  <c r="E345" i="6"/>
  <c r="G345" i="6" s="1"/>
  <c r="E344" i="6"/>
  <c r="G344" i="6" s="1"/>
  <c r="E343" i="6"/>
  <c r="E342" i="6"/>
  <c r="E341" i="6"/>
  <c r="G341" i="6" s="1"/>
  <c r="E340" i="6"/>
  <c r="G340" i="6" s="1"/>
  <c r="E339" i="6"/>
  <c r="E338" i="6"/>
  <c r="G338" i="6" s="1"/>
  <c r="E337" i="6"/>
  <c r="G337" i="6" s="1"/>
  <c r="C76" i="6"/>
  <c r="C226" i="6"/>
  <c r="C37" i="6"/>
  <c r="E181" i="7" l="1"/>
  <c r="G181" i="7"/>
  <c r="G311" i="7"/>
  <c r="G226" i="7"/>
  <c r="G267" i="7" s="1"/>
  <c r="G342" i="6"/>
  <c r="G339" i="6"/>
  <c r="G343" i="6"/>
  <c r="E270" i="6"/>
  <c r="G270" i="6" s="1"/>
  <c r="E271" i="6"/>
  <c r="G271" i="6" s="1"/>
  <c r="E272" i="6"/>
  <c r="E273" i="6"/>
  <c r="G273" i="6" s="1"/>
  <c r="E274" i="6"/>
  <c r="G274" i="6" s="1"/>
  <c r="E275" i="6"/>
  <c r="G275" i="6" s="1"/>
  <c r="E276" i="6"/>
  <c r="G276" i="6" s="1"/>
  <c r="E284" i="6"/>
  <c r="G284" i="6" s="1"/>
  <c r="E285" i="6"/>
  <c r="G285" i="6" s="1"/>
  <c r="E287" i="6"/>
  <c r="G287" i="6" s="1"/>
  <c r="E288" i="6"/>
  <c r="G288" i="6" s="1"/>
  <c r="E290" i="6"/>
  <c r="G290" i="6" s="1"/>
  <c r="E291" i="6"/>
  <c r="G291" i="6" s="1"/>
  <c r="E293" i="6"/>
  <c r="G293" i="6" s="1"/>
  <c r="E297" i="6"/>
  <c r="G297" i="6" s="1"/>
  <c r="E299" i="6"/>
  <c r="G299" i="6" s="1"/>
  <c r="E300" i="6"/>
  <c r="G300" i="6" s="1"/>
  <c r="E301" i="6"/>
  <c r="G301" i="6" s="1"/>
  <c r="E302" i="6"/>
  <c r="G302" i="6" s="1"/>
  <c r="E303" i="6"/>
  <c r="G303" i="6" s="1"/>
  <c r="E304" i="6"/>
  <c r="G304" i="6" s="1"/>
  <c r="E306" i="6"/>
  <c r="G306" i="6" s="1"/>
  <c r="E307" i="6"/>
  <c r="E309" i="6"/>
  <c r="G309" i="6" s="1"/>
  <c r="E310" i="6"/>
  <c r="G310" i="6" s="1"/>
  <c r="E313" i="6"/>
  <c r="E315" i="6"/>
  <c r="G315" i="6" s="1"/>
  <c r="E316" i="6"/>
  <c r="G316" i="6" s="1"/>
  <c r="E317" i="6"/>
  <c r="G317" i="6" s="1"/>
  <c r="E318" i="6"/>
  <c r="G318" i="6" s="1"/>
  <c r="E319" i="6"/>
  <c r="G319" i="6" s="1"/>
  <c r="E320" i="6"/>
  <c r="G320" i="6" s="1"/>
  <c r="E321" i="6"/>
  <c r="G321" i="6" s="1"/>
  <c r="E322" i="6"/>
  <c r="G322" i="6" s="1"/>
  <c r="E323" i="6"/>
  <c r="G323" i="6" s="1"/>
  <c r="E324" i="6"/>
  <c r="G324" i="6" s="1"/>
  <c r="E325" i="6"/>
  <c r="G325" i="6" s="1"/>
  <c r="E326" i="6"/>
  <c r="E327" i="6"/>
  <c r="G327" i="6" s="1"/>
  <c r="E328" i="6"/>
  <c r="G328" i="6" s="1"/>
  <c r="E329" i="6"/>
  <c r="G329" i="6" s="1"/>
  <c r="E330" i="6"/>
  <c r="G330" i="6" s="1"/>
  <c r="E331" i="6"/>
  <c r="G331" i="6" s="1"/>
  <c r="E332" i="6"/>
  <c r="G332" i="6" s="1"/>
  <c r="G326" i="6"/>
  <c r="G272" i="6"/>
  <c r="G307" i="6" l="1"/>
  <c r="G313" i="6"/>
  <c r="C282" i="6"/>
  <c r="E282" i="6" s="1"/>
  <c r="G282" i="6" s="1"/>
  <c r="C161" i="6"/>
  <c r="C156" i="6"/>
  <c r="C104" i="6"/>
  <c r="C106" i="6"/>
  <c r="C139" i="6"/>
  <c r="C250" i="6"/>
  <c r="C125" i="6"/>
  <c r="C155" i="6"/>
  <c r="C101" i="6"/>
  <c r="C221" i="6"/>
  <c r="C129" i="6"/>
  <c r="C103" i="6"/>
  <c r="C107" i="6"/>
  <c r="C218" i="6"/>
  <c r="C114" i="6"/>
  <c r="C158" i="6"/>
  <c r="C183" i="6"/>
  <c r="C308" i="6"/>
  <c r="E308" i="6" s="1"/>
  <c r="G308" i="6" s="1"/>
  <c r="C255" i="6"/>
  <c r="C164" i="6"/>
  <c r="C127" i="6"/>
  <c r="C113" i="6"/>
  <c r="C122" i="6"/>
  <c r="C239" i="6"/>
  <c r="C109" i="6"/>
  <c r="C112" i="6"/>
  <c r="C289" i="6"/>
  <c r="E289" i="6" s="1"/>
  <c r="G289" i="6" s="1"/>
  <c r="C132" i="6"/>
  <c r="C131" i="6"/>
  <c r="C120" i="6"/>
  <c r="C119" i="6"/>
  <c r="C173" i="6"/>
  <c r="C216" i="6"/>
  <c r="C314" i="6"/>
  <c r="C295" i="6"/>
  <c r="E295" i="6" s="1"/>
  <c r="G295" i="6" s="1"/>
  <c r="C286" i="6"/>
  <c r="E286" i="6" s="1"/>
  <c r="G286" i="6" s="1"/>
  <c r="C5" i="6"/>
  <c r="C146" i="6"/>
  <c r="C150" i="6"/>
  <c r="C144" i="6"/>
  <c r="C138" i="6"/>
  <c r="C167" i="6"/>
  <c r="C133" i="6"/>
  <c r="C228" i="6"/>
  <c r="C180" i="6"/>
  <c r="C257" i="6"/>
  <c r="C248" i="6"/>
  <c r="C241" i="6"/>
  <c r="C253" i="6"/>
  <c r="C245" i="6"/>
  <c r="C149" i="6"/>
  <c r="C111" i="6"/>
  <c r="C102" i="6"/>
  <c r="C178" i="6"/>
  <c r="C108" i="6"/>
  <c r="C185" i="6"/>
  <c r="C188" i="6"/>
  <c r="C187" i="6"/>
  <c r="C222" i="6"/>
  <c r="C147" i="6"/>
  <c r="C124" i="6"/>
  <c r="C110" i="6"/>
  <c r="C186" i="6"/>
  <c r="C115" i="6"/>
  <c r="C190" i="6"/>
  <c r="C141" i="6"/>
  <c r="C296" i="6"/>
  <c r="E296" i="6" s="1"/>
  <c r="G296" i="6" s="1"/>
  <c r="E314" i="6" l="1"/>
  <c r="C278" i="6"/>
  <c r="E278" i="6" s="1"/>
  <c r="G278" i="6" s="1"/>
  <c r="C294" i="6"/>
  <c r="E294" i="6" s="1"/>
  <c r="G294" i="6" s="1"/>
  <c r="C243" i="6"/>
  <c r="C249" i="6"/>
  <c r="C358" i="6"/>
  <c r="C305" i="6"/>
  <c r="E305" i="6" s="1"/>
  <c r="G305" i="6" s="1"/>
  <c r="C280" i="6"/>
  <c r="E280" i="6" s="1"/>
  <c r="G280" i="6" s="1"/>
  <c r="C235" i="6"/>
  <c r="C99" i="6"/>
  <c r="C4" i="6"/>
  <c r="C258" i="6"/>
  <c r="G314" i="6" l="1"/>
  <c r="C50" i="6"/>
  <c r="C166" i="6"/>
  <c r="C80" i="6"/>
  <c r="C236" i="6"/>
  <c r="C35" i="6"/>
  <c r="C72" i="6"/>
  <c r="C229" i="6"/>
  <c r="C277" i="6"/>
  <c r="C54" i="6"/>
  <c r="C49" i="6"/>
  <c r="C48" i="6"/>
  <c r="C57" i="6"/>
  <c r="C56" i="6"/>
  <c r="C171" i="6"/>
  <c r="C58" i="6"/>
  <c r="C59" i="6"/>
  <c r="C53" i="6"/>
  <c r="C55" i="6"/>
  <c r="C98" i="6"/>
  <c r="C94" i="6"/>
  <c r="C200" i="6"/>
  <c r="C201" i="6"/>
  <c r="C202" i="6"/>
  <c r="C298" i="6"/>
  <c r="E298" i="6" s="1"/>
  <c r="G298" i="6" s="1"/>
  <c r="C67" i="6"/>
  <c r="C17" i="6"/>
  <c r="C15" i="6"/>
  <c r="C203" i="6"/>
  <c r="C213" i="6"/>
  <c r="C42" i="6"/>
  <c r="C34" i="6"/>
  <c r="C209" i="6"/>
  <c r="C232" i="6"/>
  <c r="C14" i="6"/>
  <c r="C38" i="6"/>
  <c r="C206" i="6"/>
  <c r="C9" i="6"/>
  <c r="E277" i="6" l="1"/>
  <c r="G277" i="6" s="1"/>
  <c r="C96" i="6"/>
  <c r="C47" i="6"/>
  <c r="C40" i="6"/>
  <c r="C51" i="6"/>
  <c r="C30" i="6"/>
  <c r="C41" i="6"/>
  <c r="C43" i="6"/>
  <c r="C6" i="6"/>
  <c r="E159" i="6" l="1"/>
  <c r="G159" i="6" s="1"/>
  <c r="E160" i="6"/>
  <c r="G160" i="6" s="1"/>
  <c r="E161" i="6"/>
  <c r="G161" i="6" s="1"/>
  <c r="E162" i="6"/>
  <c r="G162" i="6" s="1"/>
  <c r="E163" i="6"/>
  <c r="G163" i="6" s="1"/>
  <c r="E164" i="6"/>
  <c r="G164" i="6" s="1"/>
  <c r="E165" i="6"/>
  <c r="G165" i="6" s="1"/>
  <c r="E166" i="6"/>
  <c r="G166" i="6" s="1"/>
  <c r="E167" i="6"/>
  <c r="G167" i="6" s="1"/>
  <c r="E168" i="6"/>
  <c r="G168" i="6" s="1"/>
  <c r="E169" i="6"/>
  <c r="G169" i="6" s="1"/>
  <c r="E170" i="6"/>
  <c r="G170" i="6" s="1"/>
  <c r="E171" i="6"/>
  <c r="G171" i="6" s="1"/>
  <c r="E172" i="6"/>
  <c r="G172" i="6" s="1"/>
  <c r="E173" i="6"/>
  <c r="G173" i="6" s="1"/>
  <c r="E174" i="6"/>
  <c r="G174" i="6" s="1"/>
  <c r="E175" i="6"/>
  <c r="G175" i="6" s="1"/>
  <c r="E176" i="6"/>
  <c r="G176" i="6" s="1"/>
  <c r="E177" i="6"/>
  <c r="G177" i="6" s="1"/>
  <c r="E178" i="6"/>
  <c r="G178" i="6" s="1"/>
  <c r="E179" i="6"/>
  <c r="G179" i="6" s="1"/>
  <c r="E180" i="6"/>
  <c r="G180" i="6" s="1"/>
  <c r="E183" i="6"/>
  <c r="E185" i="6"/>
  <c r="G185" i="6" s="1"/>
  <c r="E186" i="6"/>
  <c r="G186" i="6" s="1"/>
  <c r="E187" i="6"/>
  <c r="G187" i="6" s="1"/>
  <c r="E188" i="6"/>
  <c r="G188" i="6" s="1"/>
  <c r="E189" i="6"/>
  <c r="G189" i="6" s="1"/>
  <c r="E190" i="6"/>
  <c r="G190" i="6" s="1"/>
  <c r="E191" i="6"/>
  <c r="G191" i="6" s="1"/>
  <c r="E192" i="6"/>
  <c r="G192" i="6" s="1"/>
  <c r="E193" i="6"/>
  <c r="G193" i="6" s="1"/>
  <c r="E194" i="6"/>
  <c r="G194" i="6" s="1"/>
  <c r="E195" i="6"/>
  <c r="G195" i="6" s="1"/>
  <c r="E196" i="6"/>
  <c r="G196" i="6" s="1"/>
  <c r="E197" i="6"/>
  <c r="G197" i="6" s="1"/>
  <c r="E198" i="6"/>
  <c r="G198" i="6" s="1"/>
  <c r="E199" i="6"/>
  <c r="G199" i="6" s="1"/>
  <c r="E200" i="6"/>
  <c r="G200" i="6" s="1"/>
  <c r="E201" i="6"/>
  <c r="G201" i="6" s="1"/>
  <c r="E202" i="6"/>
  <c r="G202" i="6" s="1"/>
  <c r="E203" i="6"/>
  <c r="G203" i="6" s="1"/>
  <c r="E204" i="6"/>
  <c r="G204" i="6" s="1"/>
  <c r="E205" i="6"/>
  <c r="G205" i="6" s="1"/>
  <c r="E206" i="6"/>
  <c r="G206" i="6" s="1"/>
  <c r="E207" i="6"/>
  <c r="G207" i="6" s="1"/>
  <c r="E208" i="6"/>
  <c r="G208" i="6" s="1"/>
  <c r="E209" i="6"/>
  <c r="G209" i="6" s="1"/>
  <c r="E210" i="6"/>
  <c r="G210" i="6" s="1"/>
  <c r="E211" i="6"/>
  <c r="G211" i="6" s="1"/>
  <c r="E212" i="6"/>
  <c r="G212" i="6" s="1"/>
  <c r="E213" i="6"/>
  <c r="G213" i="6" s="1"/>
  <c r="E214" i="6"/>
  <c r="G214" i="6" s="1"/>
  <c r="E215" i="6"/>
  <c r="G215" i="6" s="1"/>
  <c r="E216" i="6"/>
  <c r="G216" i="6" s="1"/>
  <c r="E217" i="6"/>
  <c r="G217" i="6" s="1"/>
  <c r="E218" i="6"/>
  <c r="G218" i="6" s="1"/>
  <c r="E219" i="6"/>
  <c r="G219" i="6" s="1"/>
  <c r="E220" i="6"/>
  <c r="G220" i="6" s="1"/>
  <c r="E221" i="6"/>
  <c r="G221" i="6" s="1"/>
  <c r="E222" i="6"/>
  <c r="G222" i="6" s="1"/>
  <c r="E225" i="6"/>
  <c r="E226" i="6"/>
  <c r="G226" i="6" s="1"/>
  <c r="E227" i="6"/>
  <c r="G227" i="6" s="1"/>
  <c r="E228" i="6"/>
  <c r="G228" i="6" s="1"/>
  <c r="E229" i="6"/>
  <c r="G229" i="6" s="1"/>
  <c r="E230" i="6"/>
  <c r="G230" i="6" s="1"/>
  <c r="E231" i="6"/>
  <c r="G231" i="6" s="1"/>
  <c r="E232" i="6"/>
  <c r="G232" i="6" s="1"/>
  <c r="E233" i="6"/>
  <c r="G233" i="6" s="1"/>
  <c r="E234" i="6"/>
  <c r="G234" i="6" s="1"/>
  <c r="E235" i="6"/>
  <c r="G235" i="6" s="1"/>
  <c r="E236" i="6"/>
  <c r="G236" i="6" s="1"/>
  <c r="E237" i="6"/>
  <c r="G237" i="6" s="1"/>
  <c r="E238" i="6"/>
  <c r="G238" i="6" s="1"/>
  <c r="E239" i="6"/>
  <c r="G239" i="6" s="1"/>
  <c r="E240" i="6"/>
  <c r="G240" i="6" s="1"/>
  <c r="E241" i="6"/>
  <c r="G241" i="6" s="1"/>
  <c r="E242" i="6"/>
  <c r="G242" i="6" s="1"/>
  <c r="E243" i="6"/>
  <c r="G243" i="6" s="1"/>
  <c r="E244" i="6"/>
  <c r="G244" i="6" s="1"/>
  <c r="E245" i="6"/>
  <c r="G245" i="6" s="1"/>
  <c r="E246" i="6"/>
  <c r="G246" i="6" s="1"/>
  <c r="E247" i="6"/>
  <c r="G247" i="6" s="1"/>
  <c r="E248" i="6"/>
  <c r="G248" i="6" s="1"/>
  <c r="E249" i="6"/>
  <c r="G249" i="6" s="1"/>
  <c r="E250" i="6"/>
  <c r="G250" i="6" s="1"/>
  <c r="E251" i="6"/>
  <c r="G251" i="6" s="1"/>
  <c r="E252" i="6"/>
  <c r="G252" i="6" s="1"/>
  <c r="E253" i="6"/>
  <c r="G253" i="6" s="1"/>
  <c r="E254" i="6"/>
  <c r="G254" i="6" s="1"/>
  <c r="E255" i="6"/>
  <c r="G255" i="6" s="1"/>
  <c r="E256" i="6"/>
  <c r="G256" i="6" s="1"/>
  <c r="E257" i="6"/>
  <c r="G257" i="6" s="1"/>
  <c r="E258" i="6"/>
  <c r="G258" i="6" s="1"/>
  <c r="E259" i="6"/>
  <c r="G259" i="6" s="1"/>
  <c r="E260" i="6"/>
  <c r="G260" i="6" s="1"/>
  <c r="E261" i="6"/>
  <c r="G261" i="6" s="1"/>
  <c r="E262" i="6"/>
  <c r="G262" i="6" s="1"/>
  <c r="E263" i="6"/>
  <c r="G263" i="6" s="1"/>
  <c r="E264" i="6"/>
  <c r="G264" i="6" s="1"/>
  <c r="E265" i="6"/>
  <c r="G265" i="6" s="1"/>
  <c r="E266" i="6"/>
  <c r="G266" i="6" s="1"/>
  <c r="E269" i="6"/>
  <c r="E4" i="6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5" i="6"/>
  <c r="G25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3" i="6"/>
  <c r="G33" i="6" s="1"/>
  <c r="E34" i="6"/>
  <c r="G34" i="6" s="1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G43" i="6" s="1"/>
  <c r="E46" i="6"/>
  <c r="E47" i="6"/>
  <c r="G47" i="6" s="1"/>
  <c r="E48" i="6"/>
  <c r="G48" i="6" s="1"/>
  <c r="E49" i="6"/>
  <c r="G49" i="6" s="1"/>
  <c r="E50" i="6"/>
  <c r="G50" i="6" s="1"/>
  <c r="E51" i="6"/>
  <c r="G51" i="6" s="1"/>
  <c r="E52" i="6"/>
  <c r="G52" i="6" s="1"/>
  <c r="E53" i="6"/>
  <c r="G53" i="6" s="1"/>
  <c r="E54" i="6"/>
  <c r="G54" i="6" s="1"/>
  <c r="E55" i="6"/>
  <c r="G55" i="6" s="1"/>
  <c r="E56" i="6"/>
  <c r="G56" i="6" s="1"/>
  <c r="E57" i="6"/>
  <c r="G57" i="6" s="1"/>
  <c r="E58" i="6"/>
  <c r="G58" i="6" s="1"/>
  <c r="E59" i="6"/>
  <c r="G59" i="6" s="1"/>
  <c r="E60" i="6"/>
  <c r="G60" i="6" s="1"/>
  <c r="E61" i="6"/>
  <c r="G61" i="6" s="1"/>
  <c r="E62" i="6"/>
  <c r="G62" i="6" s="1"/>
  <c r="E63" i="6"/>
  <c r="G63" i="6" s="1"/>
  <c r="E64" i="6"/>
  <c r="G64" i="6" s="1"/>
  <c r="E65" i="6"/>
  <c r="G65" i="6" s="1"/>
  <c r="E66" i="6"/>
  <c r="G66" i="6" s="1"/>
  <c r="E67" i="6"/>
  <c r="G67" i="6" s="1"/>
  <c r="E68" i="6"/>
  <c r="G68" i="6" s="1"/>
  <c r="E69" i="6"/>
  <c r="G69" i="6" s="1"/>
  <c r="E70" i="6"/>
  <c r="G70" i="6" s="1"/>
  <c r="E71" i="6"/>
  <c r="G71" i="6" s="1"/>
  <c r="E72" i="6"/>
  <c r="G72" i="6" s="1"/>
  <c r="E73" i="6"/>
  <c r="G73" i="6" s="1"/>
  <c r="E74" i="6"/>
  <c r="G74" i="6" s="1"/>
  <c r="E75" i="6"/>
  <c r="G75" i="6" s="1"/>
  <c r="E76" i="6"/>
  <c r="G76" i="6" s="1"/>
  <c r="E77" i="6"/>
  <c r="G77" i="6" s="1"/>
  <c r="E78" i="6"/>
  <c r="G78" i="6" s="1"/>
  <c r="E79" i="6"/>
  <c r="G79" i="6" s="1"/>
  <c r="E80" i="6"/>
  <c r="G80" i="6" s="1"/>
  <c r="E81" i="6"/>
  <c r="G81" i="6" s="1"/>
  <c r="E82" i="6"/>
  <c r="G82" i="6" s="1"/>
  <c r="E83" i="6"/>
  <c r="G83" i="6" s="1"/>
  <c r="E84" i="6"/>
  <c r="G84" i="6" s="1"/>
  <c r="E85" i="6"/>
  <c r="G85" i="6" s="1"/>
  <c r="E86" i="6"/>
  <c r="G86" i="6" s="1"/>
  <c r="E87" i="6"/>
  <c r="G87" i="6" s="1"/>
  <c r="E88" i="6"/>
  <c r="G88" i="6" s="1"/>
  <c r="E91" i="6"/>
  <c r="E92" i="6"/>
  <c r="G92" i="6" s="1"/>
  <c r="E93" i="6"/>
  <c r="G93" i="6" s="1"/>
  <c r="E94" i="6"/>
  <c r="G94" i="6" s="1"/>
  <c r="E95" i="6"/>
  <c r="G95" i="6" s="1"/>
  <c r="E96" i="6"/>
  <c r="G96" i="6" s="1"/>
  <c r="E97" i="6"/>
  <c r="G97" i="6" s="1"/>
  <c r="E98" i="6"/>
  <c r="G98" i="6" s="1"/>
  <c r="E99" i="6"/>
  <c r="G99" i="6" s="1"/>
  <c r="E100" i="6"/>
  <c r="G100" i="6" s="1"/>
  <c r="E101" i="6"/>
  <c r="G101" i="6" s="1"/>
  <c r="E102" i="6"/>
  <c r="G102" i="6" s="1"/>
  <c r="E103" i="6"/>
  <c r="G103" i="6" s="1"/>
  <c r="E104" i="6"/>
  <c r="G104" i="6" s="1"/>
  <c r="E105" i="6"/>
  <c r="G105" i="6" s="1"/>
  <c r="E106" i="6"/>
  <c r="G106" i="6" s="1"/>
  <c r="E107" i="6"/>
  <c r="G107" i="6" s="1"/>
  <c r="E108" i="6"/>
  <c r="G108" i="6" s="1"/>
  <c r="E109" i="6"/>
  <c r="G109" i="6" s="1"/>
  <c r="E110" i="6"/>
  <c r="G110" i="6" s="1"/>
  <c r="E111" i="6"/>
  <c r="G111" i="6" s="1"/>
  <c r="E112" i="6"/>
  <c r="G112" i="6" s="1"/>
  <c r="E113" i="6"/>
  <c r="G113" i="6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2" i="6"/>
  <c r="G122" i="6" s="1"/>
  <c r="E123" i="6"/>
  <c r="G123" i="6" s="1"/>
  <c r="E124" i="6"/>
  <c r="G124" i="6" s="1"/>
  <c r="E125" i="6"/>
  <c r="G125" i="6" s="1"/>
  <c r="E126" i="6"/>
  <c r="G126" i="6" s="1"/>
  <c r="E127" i="6"/>
  <c r="G127" i="6" s="1"/>
  <c r="E128" i="6"/>
  <c r="G128" i="6" s="1"/>
  <c r="E129" i="6"/>
  <c r="G129" i="6" s="1"/>
  <c r="E130" i="6"/>
  <c r="G130" i="6" s="1"/>
  <c r="E131" i="6"/>
  <c r="G131" i="6" s="1"/>
  <c r="E132" i="6"/>
  <c r="G132" i="6" s="1"/>
  <c r="E133" i="6"/>
  <c r="G133" i="6" s="1"/>
  <c r="E134" i="6"/>
  <c r="G134" i="6" s="1"/>
  <c r="E137" i="6"/>
  <c r="E138" i="6"/>
  <c r="G138" i="6" s="1"/>
  <c r="E139" i="6"/>
  <c r="G139" i="6" s="1"/>
  <c r="E140" i="6"/>
  <c r="G140" i="6" s="1"/>
  <c r="E141" i="6"/>
  <c r="G141" i="6" s="1"/>
  <c r="E142" i="6"/>
  <c r="G142" i="6" s="1"/>
  <c r="E143" i="6"/>
  <c r="G143" i="6" s="1"/>
  <c r="E144" i="6"/>
  <c r="G144" i="6" s="1"/>
  <c r="E145" i="6"/>
  <c r="G145" i="6" s="1"/>
  <c r="E146" i="6"/>
  <c r="G146" i="6" s="1"/>
  <c r="E147" i="6"/>
  <c r="G147" i="6" s="1"/>
  <c r="E148" i="6"/>
  <c r="G148" i="6" s="1"/>
  <c r="E149" i="6"/>
  <c r="G149" i="6" s="1"/>
  <c r="E150" i="6"/>
  <c r="G150" i="6" s="1"/>
  <c r="E151" i="6"/>
  <c r="G151" i="6" s="1"/>
  <c r="E152" i="6"/>
  <c r="G152" i="6" s="1"/>
  <c r="E153" i="6"/>
  <c r="G153" i="6" s="1"/>
  <c r="E154" i="6"/>
  <c r="G154" i="6" s="1"/>
  <c r="E155" i="6"/>
  <c r="G155" i="6" s="1"/>
  <c r="E156" i="6"/>
  <c r="G156" i="6" s="1"/>
  <c r="E157" i="6"/>
  <c r="G157" i="6" s="1"/>
  <c r="E158" i="6"/>
  <c r="G158" i="6" s="1"/>
  <c r="G225" i="6" l="1"/>
  <c r="G46" i="6"/>
  <c r="G4" i="6"/>
  <c r="G183" i="6"/>
  <c r="G91" i="6"/>
  <c r="G269" i="6"/>
  <c r="G137" i="6"/>
  <c r="C279" i="6"/>
  <c r="C281" i="6"/>
  <c r="E281" i="6" s="1"/>
  <c r="G281" i="6" s="1"/>
  <c r="C283" i="6"/>
  <c r="E283" i="6" s="1"/>
  <c r="G283" i="6" s="1"/>
  <c r="C292" i="6"/>
  <c r="E292" i="6" s="1"/>
  <c r="G292" i="6" s="1"/>
  <c r="C184" i="6"/>
  <c r="E184" i="6" l="1"/>
  <c r="E279" i="6"/>
  <c r="G358" i="6"/>
  <c r="C356" i="6" l="1"/>
  <c r="G184" i="6"/>
  <c r="G279" i="6"/>
  <c r="C185" i="5"/>
  <c r="C308" i="5"/>
  <c r="C116" i="5"/>
  <c r="C183" i="5"/>
  <c r="C178" i="5"/>
  <c r="C307" i="5"/>
  <c r="C155" i="5"/>
  <c r="C129" i="5"/>
  <c r="C149" i="5"/>
  <c r="C250" i="5"/>
  <c r="C257" i="5"/>
  <c r="C150" i="5"/>
  <c r="C239" i="5"/>
  <c r="C173" i="5"/>
  <c r="C125" i="5"/>
  <c r="C117" i="5"/>
  <c r="C255" i="5"/>
  <c r="C114" i="5"/>
  <c r="C164" i="5"/>
  <c r="C4" i="5"/>
  <c r="E356" i="6" l="1"/>
  <c r="G356" i="6"/>
  <c r="C311" i="5"/>
  <c r="C267" i="5"/>
  <c r="C223" i="5"/>
  <c r="C181" i="5"/>
  <c r="C135" i="5"/>
  <c r="C89" i="5"/>
  <c r="C44" i="5"/>
  <c r="C323" i="5"/>
  <c r="E323" i="5"/>
  <c r="E89" i="5"/>
  <c r="E314" i="5"/>
  <c r="E315" i="5"/>
  <c r="E316" i="5"/>
  <c r="E317" i="5"/>
  <c r="E318" i="5"/>
  <c r="E319" i="5"/>
  <c r="E320" i="5"/>
  <c r="E321" i="5"/>
  <c r="E322" i="5"/>
  <c r="E313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269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25" i="5"/>
  <c r="E184" i="5"/>
  <c r="E185" i="5"/>
  <c r="E223" i="5" s="1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183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37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91" i="5"/>
  <c r="E88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46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" i="5"/>
  <c r="E44" i="5" s="1"/>
  <c r="E311" i="5" l="1"/>
  <c r="E267" i="5"/>
  <c r="E181" i="5"/>
  <c r="E135" i="5"/>
  <c r="C324" i="5"/>
  <c r="C229" i="5"/>
  <c r="C252" i="5"/>
  <c r="C138" i="5"/>
  <c r="C113" i="5"/>
  <c r="C122" i="5"/>
  <c r="C175" i="5"/>
  <c r="C310" i="5"/>
  <c r="C294" i="5"/>
  <c r="C160" i="5"/>
  <c r="C221" i="5"/>
  <c r="C111" i="5"/>
  <c r="C109" i="5"/>
  <c r="C316" i="5"/>
  <c r="C158" i="5"/>
  <c r="C102" i="5"/>
  <c r="C110" i="5"/>
  <c r="C47" i="5"/>
  <c r="C146" i="5"/>
  <c r="C295" i="5"/>
  <c r="C278" i="5"/>
  <c r="C296" i="5"/>
  <c r="C286" i="5"/>
  <c r="C139" i="5"/>
  <c r="C190" i="5"/>
  <c r="C141" i="5"/>
  <c r="C253" i="5"/>
  <c r="C245" i="5"/>
  <c r="C249" i="5"/>
  <c r="C243" i="5"/>
  <c r="C241" i="5"/>
  <c r="C123" i="5"/>
  <c r="C103" i="5"/>
  <c r="C222" i="5"/>
  <c r="C124" i="5"/>
  <c r="C105" i="5"/>
  <c r="C144" i="5"/>
  <c r="E324" i="5" l="1"/>
  <c r="C244" i="5"/>
  <c r="C157" i="5"/>
  <c r="C106" i="5"/>
  <c r="C72" i="5"/>
  <c r="C118" i="5"/>
  <c r="C218" i="5"/>
  <c r="C121" i="5"/>
  <c r="C242" i="5" l="1"/>
  <c r="C161" i="5"/>
  <c r="C216" i="5"/>
  <c r="C289" i="5" l="1"/>
  <c r="C97" i="5"/>
  <c r="C112" i="5"/>
  <c r="C133" i="5" l="1"/>
  <c r="C147" i="5" l="1"/>
  <c r="C265" i="5"/>
  <c r="C55" i="5"/>
  <c r="C49" i="5"/>
  <c r="C48" i="5"/>
  <c r="C98" i="5"/>
  <c r="C35" i="5"/>
  <c r="C236" i="5"/>
  <c r="C38" i="5"/>
  <c r="C53" i="5"/>
  <c r="C196" i="5"/>
  <c r="C100" i="5"/>
  <c r="C96" i="5"/>
  <c r="C230" i="5"/>
  <c r="C277" i="5"/>
  <c r="C54" i="5"/>
  <c r="C57" i="5"/>
  <c r="C56" i="5"/>
  <c r="C171" i="5"/>
  <c r="C58" i="5"/>
  <c r="C235" i="5"/>
  <c r="C59" i="5"/>
  <c r="C51" i="5" l="1"/>
  <c r="C9" i="5"/>
  <c r="C46" i="5" l="1"/>
  <c r="C28" i="5"/>
  <c r="C275" i="5"/>
  <c r="C15" i="5"/>
  <c r="C225" i="5"/>
  <c r="C80" i="5"/>
  <c r="C71" i="5"/>
  <c r="C233" i="5"/>
  <c r="C7" i="5"/>
  <c r="C195" i="5"/>
  <c r="C52" i="5"/>
  <c r="C32" i="5"/>
  <c r="C6" i="5"/>
  <c r="C43" i="5"/>
  <c r="C41" i="5"/>
  <c r="C40" i="5"/>
  <c r="C81" i="5"/>
  <c r="C67" i="5"/>
  <c r="C131" i="5" l="1"/>
  <c r="C247" i="5"/>
  <c r="C302" i="5" l="1"/>
  <c r="C220" i="5"/>
  <c r="E320" i="4" l="1"/>
  <c r="C320" i="4"/>
  <c r="E327" i="5" l="1"/>
  <c r="C319" i="4" l="1"/>
  <c r="C281" i="4"/>
  <c r="C283" i="4"/>
  <c r="C105" i="4" l="1"/>
  <c r="C124" i="4"/>
  <c r="C138" i="4"/>
  <c r="C119" i="4"/>
  <c r="C102" i="4"/>
  <c r="C133" i="4"/>
  <c r="C144" i="4"/>
  <c r="C108" i="4"/>
  <c r="C131" i="4"/>
  <c r="C132" i="4"/>
  <c r="C278" i="4"/>
  <c r="C286" i="4"/>
  <c r="C296" i="4"/>
  <c r="C159" i="4"/>
  <c r="C156" i="4"/>
  <c r="C158" i="4"/>
  <c r="C118" i="4"/>
  <c r="C307" i="4"/>
  <c r="C154" i="4"/>
  <c r="C103" i="4"/>
  <c r="C252" i="4"/>
  <c r="C125" i="4"/>
  <c r="C50" i="4"/>
  <c r="C218" i="4"/>
  <c r="C161" i="4"/>
  <c r="C114" i="4"/>
  <c r="C101" i="4"/>
  <c r="E318" i="4"/>
  <c r="C134" i="4"/>
  <c r="C165" i="4"/>
  <c r="C217" i="4"/>
  <c r="C222" i="4"/>
  <c r="C289" i="4"/>
  <c r="C109" i="4"/>
  <c r="C148" i="4" l="1"/>
  <c r="C185" i="4"/>
  <c r="C149" i="4"/>
  <c r="C115" i="4"/>
  <c r="C178" i="4"/>
  <c r="C129" i="4"/>
  <c r="C155" i="4"/>
  <c r="C113" i="4"/>
  <c r="C122" i="4"/>
  <c r="C4" i="4"/>
  <c r="C117" i="4"/>
  <c r="C221" i="4"/>
  <c r="C255" i="4"/>
  <c r="C164" i="4"/>
  <c r="C173" i="4"/>
  <c r="C257" i="4"/>
  <c r="C167" i="4"/>
  <c r="C106" i="4" l="1"/>
  <c r="C245" i="4"/>
  <c r="C249" i="4"/>
  <c r="C243" i="4"/>
  <c r="C241" i="4"/>
  <c r="C146" i="4"/>
  <c r="C150" i="4"/>
  <c r="C239" i="4"/>
  <c r="C139" i="4"/>
  <c r="C186" i="4"/>
  <c r="C294" i="4"/>
  <c r="C295" i="4"/>
  <c r="C121" i="4"/>
  <c r="C47" i="4"/>
  <c r="C96" i="4"/>
  <c r="C180" i="4" l="1"/>
  <c r="C127" i="4"/>
  <c r="C216" i="4"/>
  <c r="C97" i="4"/>
  <c r="C141" i="4"/>
  <c r="C181" i="4" s="1"/>
  <c r="C190" i="4"/>
  <c r="C183" i="4"/>
  <c r="C111" i="4"/>
  <c r="C92" i="4"/>
  <c r="C250" i="4"/>
  <c r="C225" i="4"/>
  <c r="C57" i="4"/>
  <c r="C196" i="4"/>
  <c r="C9" i="4"/>
  <c r="C52" i="4"/>
  <c r="C42" i="4"/>
  <c r="C32" i="4"/>
  <c r="C51" i="4"/>
  <c r="C209" i="4"/>
  <c r="C195" i="4"/>
  <c r="C236" i="4"/>
  <c r="C7" i="4"/>
  <c r="E317" i="4"/>
  <c r="E316" i="4"/>
  <c r="E315" i="4"/>
  <c r="C58" i="4"/>
  <c r="C59" i="4"/>
  <c r="C72" i="4"/>
  <c r="C53" i="4"/>
  <c r="C171" i="4"/>
  <c r="C267" i="4" l="1"/>
  <c r="C80" i="4"/>
  <c r="C54" i="4"/>
  <c r="C35" i="4" l="1"/>
  <c r="C38" i="4"/>
  <c r="C201" i="4"/>
  <c r="C223" i="4" s="1"/>
  <c r="C297" i="4"/>
  <c r="C311" i="4" s="1"/>
  <c r="C67" i="4"/>
  <c r="C89" i="4" s="1"/>
  <c r="C98" i="4"/>
  <c r="C135" i="4" s="1"/>
  <c r="C40" i="4"/>
  <c r="C44" i="4" l="1"/>
  <c r="E43" i="4"/>
  <c r="E133" i="4"/>
  <c r="E87" i="4"/>
  <c r="E323" i="4" l="1"/>
  <c r="E314" i="4"/>
  <c r="E313" i="4"/>
  <c r="E319" i="4" s="1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7" i="4"/>
  <c r="E276" i="4"/>
  <c r="E275" i="4"/>
  <c r="E274" i="4"/>
  <c r="E273" i="4"/>
  <c r="E272" i="4"/>
  <c r="E271" i="4"/>
  <c r="E270" i="4"/>
  <c r="E269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1" i="4"/>
  <c r="E230" i="4"/>
  <c r="E229" i="4"/>
  <c r="E228" i="4"/>
  <c r="E227" i="4"/>
  <c r="E226" i="4"/>
  <c r="E225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8" i="4"/>
  <c r="E207" i="4"/>
  <c r="E206" i="4"/>
  <c r="E205" i="4"/>
  <c r="E204" i="4"/>
  <c r="E203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0" i="4"/>
  <c r="E179" i="4"/>
  <c r="E178" i="4"/>
  <c r="E177" i="4"/>
  <c r="E176" i="4"/>
  <c r="E175" i="4"/>
  <c r="E174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3" i="4"/>
  <c r="E142" i="4"/>
  <c r="E141" i="4"/>
  <c r="E140" i="4"/>
  <c r="E139" i="4"/>
  <c r="E138" i="4"/>
  <c r="E137" i="4"/>
  <c r="E134" i="4"/>
  <c r="E132" i="4"/>
  <c r="E131" i="4"/>
  <c r="E130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7" i="4"/>
  <c r="E96" i="4"/>
  <c r="E95" i="4"/>
  <c r="E94" i="4"/>
  <c r="E93" i="4"/>
  <c r="E92" i="4"/>
  <c r="E91" i="4"/>
  <c r="E88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4" i="4" l="1"/>
  <c r="E267" i="4"/>
  <c r="E311" i="4"/>
  <c r="E223" i="4"/>
  <c r="E278" i="4"/>
  <c r="E232" i="4"/>
  <c r="E185" i="4"/>
  <c r="E144" i="4"/>
  <c r="E181" i="4" s="1"/>
  <c r="E98" i="4"/>
  <c r="E135" i="4" s="1"/>
  <c r="E209" i="4"/>
  <c r="E71" i="4"/>
  <c r="E89" i="4" s="1"/>
  <c r="E129" i="4"/>
  <c r="E245" i="4"/>
  <c r="E294" i="4"/>
  <c r="E173" i="4"/>
  <c r="C340" i="3"/>
  <c r="C336" i="3" l="1"/>
  <c r="E44" i="3"/>
  <c r="C44" i="3"/>
  <c r="E89" i="3"/>
  <c r="C89" i="3"/>
  <c r="E134" i="3"/>
  <c r="C134" i="3"/>
  <c r="E179" i="3"/>
  <c r="C179" i="3"/>
  <c r="E223" i="3"/>
  <c r="C223" i="3"/>
  <c r="E263" i="3"/>
  <c r="C263" i="3"/>
  <c r="C308" i="3"/>
  <c r="C338" i="3" s="1"/>
  <c r="E336" i="3"/>
  <c r="E335" i="3"/>
  <c r="C123" i="3"/>
  <c r="C104" i="3"/>
  <c r="C156" i="3"/>
  <c r="C107" i="3"/>
  <c r="C113" i="3"/>
  <c r="C165" i="3"/>
  <c r="C137" i="3"/>
  <c r="C121" i="3"/>
  <c r="C174" i="3"/>
  <c r="C275" i="3"/>
  <c r="C4" i="3"/>
  <c r="C191" i="3"/>
  <c r="C186" i="3"/>
  <c r="C141" i="3"/>
  <c r="C255" i="3"/>
  <c r="C128" i="3"/>
  <c r="C127" i="3"/>
  <c r="C120" i="3"/>
  <c r="C129" i="3"/>
  <c r="C194" i="3"/>
  <c r="C145" i="3"/>
  <c r="C306" i="3"/>
  <c r="C307" i="3"/>
  <c r="C158" i="3"/>
  <c r="C115" i="3"/>
  <c r="C126" i="3"/>
  <c r="C188" i="3"/>
  <c r="C233" i="3"/>
  <c r="C172" i="3"/>
  <c r="C175" i="3"/>
  <c r="C142" i="3"/>
  <c r="C130" i="3"/>
  <c r="C270" i="3"/>
  <c r="C278" i="3"/>
  <c r="C272" i="3"/>
  <c r="C106" i="3"/>
  <c r="C111" i="3"/>
  <c r="C152" i="3"/>
  <c r="C197" i="3"/>
  <c r="C159" i="3"/>
  <c r="C166" i="3"/>
  <c r="C168" i="3"/>
  <c r="C117" i="3"/>
  <c r="C171" i="3"/>
  <c r="C315" i="3"/>
  <c r="C304" i="3"/>
  <c r="C110" i="3"/>
  <c r="C103" i="3"/>
  <c r="C105" i="3"/>
  <c r="C50" i="3"/>
  <c r="C241" i="3"/>
  <c r="C242" i="3"/>
  <c r="C192" i="3" l="1"/>
  <c r="C320" i="3"/>
  <c r="C277" i="3"/>
  <c r="C257" i="3"/>
  <c r="C162" i="3"/>
  <c r="C265" i="3"/>
  <c r="C262" i="3"/>
  <c r="C261" i="3"/>
  <c r="C259" i="3"/>
  <c r="C269" i="3"/>
  <c r="C198" i="3"/>
  <c r="C193" i="3"/>
  <c r="C149" i="3"/>
  <c r="C112" i="3"/>
  <c r="C296" i="3"/>
  <c r="C118" i="3"/>
  <c r="C202" i="3"/>
  <c r="C147" i="3"/>
  <c r="C47" i="3" l="1"/>
  <c r="C108" i="3" l="1"/>
  <c r="C325" i="3"/>
  <c r="C267" i="3"/>
  <c r="C273" i="3"/>
  <c r="C322" i="3"/>
  <c r="C114" i="3"/>
  <c r="C99" i="3"/>
  <c r="C235" i="3"/>
  <c r="C153" i="3" l="1"/>
  <c r="C125" i="3"/>
  <c r="C122" i="3"/>
  <c r="C83" i="3" l="1"/>
  <c r="C220" i="3" l="1"/>
  <c r="C319" i="3"/>
  <c r="C217" i="3"/>
  <c r="C218" i="3"/>
  <c r="C71" i="3"/>
  <c r="C72" i="3"/>
  <c r="C285" i="3"/>
  <c r="C81" i="3"/>
  <c r="C55" i="3"/>
  <c r="C100" i="3"/>
  <c r="C35" i="3"/>
  <c r="C254" i="3"/>
  <c r="C48" i="3"/>
  <c r="C49" i="3"/>
  <c r="C53" i="3"/>
  <c r="C102" i="3"/>
  <c r="C98" i="3"/>
  <c r="C252" i="3"/>
  <c r="C54" i="3"/>
  <c r="C57" i="3"/>
  <c r="C56" i="3"/>
  <c r="C58" i="3"/>
  <c r="C253" i="3"/>
  <c r="C59" i="3"/>
  <c r="C16" i="3"/>
  <c r="C251" i="3"/>
  <c r="C52" i="3"/>
  <c r="C9" i="3"/>
  <c r="C42" i="3"/>
  <c r="C32" i="3"/>
  <c r="C208" i="3"/>
  <c r="C227" i="3"/>
  <c r="C5" i="3"/>
  <c r="C51" i="3"/>
  <c r="C250" i="3"/>
  <c r="C31" i="3"/>
  <c r="C7" i="3"/>
  <c r="C34" i="3"/>
  <c r="C40" i="3"/>
  <c r="C6" i="3"/>
  <c r="C82" i="3"/>
  <c r="C140" i="3" l="1"/>
  <c r="C76" i="3"/>
  <c r="C201" i="3"/>
  <c r="E340" i="3" l="1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2" i="3"/>
  <c r="E221" i="3"/>
  <c r="E220" i="3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5" i="3"/>
  <c r="E94" i="3"/>
  <c r="E93" i="3"/>
  <c r="E92" i="3"/>
  <c r="E91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8" i="3" l="1"/>
  <c r="E338" i="3" s="1"/>
  <c r="E96" i="3"/>
  <c r="E181" i="3"/>
  <c r="E4" i="3"/>
  <c r="E337" i="2"/>
  <c r="C337" i="2"/>
  <c r="C335" i="2"/>
  <c r="C308" i="2"/>
  <c r="C263" i="2"/>
  <c r="C223" i="2"/>
  <c r="C179" i="2"/>
  <c r="C134" i="2"/>
  <c r="C89" i="2"/>
  <c r="C44" i="2"/>
  <c r="E335" i="2"/>
  <c r="E263" i="2"/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15" i="2"/>
  <c r="E314" i="2"/>
  <c r="E313" i="2"/>
  <c r="E312" i="2"/>
  <c r="E311" i="2"/>
  <c r="E310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34" i="2" l="1"/>
  <c r="E223" i="2"/>
  <c r="E308" i="2"/>
  <c r="E89" i="2"/>
  <c r="E179" i="2"/>
  <c r="E30" i="2"/>
  <c r="E44" i="2" s="1"/>
  <c r="E253" i="2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72" i="1" l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<sst xmlns="http://schemas.openxmlformats.org/spreadsheetml/2006/main" count="2598" uniqueCount="440">
  <si>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</si>
  <si>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</si>
  <si>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</si>
  <si>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</si>
  <si>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</si>
  <si>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</si>
  <si>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</si>
  <si>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</si>
  <si>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</si>
  <si>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</si>
  <si>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</si>
  <si>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</si>
  <si>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</si>
  <si>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</si>
  <si>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</si>
  <si>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</si>
  <si>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</si>
  <si>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</si>
  <si>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</si>
  <si>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</si>
  <si>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</si>
  <si>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</si>
  <si>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</si>
  <si>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</si>
  <si>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</si>
  <si>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</si>
  <si>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</si>
  <si>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</si>
  <si>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</si>
  <si>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</si>
  <si>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</si>
  <si>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</si>
  <si>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</si>
  <si>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</si>
  <si>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</si>
  <si>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</si>
  <si>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</si>
  <si>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</si>
  <si>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</si>
  <si>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</si>
  <si>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</si>
  <si>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</si>
  <si>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</si>
  <si>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</si>
  <si>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</si>
  <si>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</si>
  <si>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</si>
  <si>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</si>
  <si>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</si>
  <si>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</si>
  <si>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</si>
  <si>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</si>
  <si>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</si>
  <si>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</si>
  <si>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</si>
  <si>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</si>
  <si>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</si>
  <si>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</si>
  <si>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</si>
  <si>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</si>
  <si>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</si>
  <si>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</si>
  <si>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</si>
  <si>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</si>
  <si>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</si>
  <si>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</si>
  <si>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</si>
  <si>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</si>
  <si>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</si>
  <si>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</si>
  <si>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</si>
  <si>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</si>
  <si>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</si>
  <si>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</si>
  <si>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</si>
  <si>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</si>
  <si>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</si>
  <si>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</si>
  <si>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</si>
  <si>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</si>
  <si>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</si>
  <si>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</si>
  <si>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</si>
  <si>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</si>
  <si>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</si>
  <si>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</si>
  <si>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</si>
  <si>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</si>
  <si>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</si>
  <si>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</si>
  <si>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</si>
  <si>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</si>
  <si>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</si>
  <si>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</si>
  <si>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</si>
  <si>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</si>
  <si>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</si>
  <si>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</si>
  <si>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</si>
  <si>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</si>
  <si>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</si>
  <si>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</si>
  <si>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</si>
  <si>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</si>
  <si>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</si>
  <si>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</si>
  <si>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</si>
  <si>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</si>
  <si>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</si>
  <si>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</si>
  <si>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</si>
  <si>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</si>
  <si>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</si>
  <si>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</si>
  <si>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</si>
  <si>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</si>
  <si>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</si>
  <si>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</si>
  <si>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</si>
  <si>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</si>
  <si>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</si>
  <si>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</si>
  <si>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</si>
  <si>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</si>
  <si>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</si>
  <si>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</si>
  <si>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</si>
  <si>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</si>
  <si>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</si>
  <si>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</si>
  <si>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</si>
  <si>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</si>
  <si>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</si>
  <si>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</si>
  <si>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</si>
  <si>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</si>
  <si>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</si>
  <si>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</si>
  <si>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</si>
  <si>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</si>
  <si>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</si>
  <si>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</si>
  <si>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</si>
  <si>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</si>
  <si>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</si>
  <si>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</si>
  <si>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</si>
  <si>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</si>
  <si>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</si>
  <si>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</si>
  <si>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</si>
  <si>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</si>
  <si>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</si>
  <si>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</si>
  <si>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</si>
  <si>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</si>
  <si>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</si>
  <si>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</si>
  <si>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</si>
  <si>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</si>
  <si>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</si>
  <si>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</si>
  <si>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</si>
  <si>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</si>
  <si>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</si>
  <si>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</si>
  <si>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</si>
  <si>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</si>
  <si>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</si>
  <si>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</si>
  <si>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</si>
  <si>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</si>
  <si>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</si>
  <si>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</si>
  <si>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</si>
  <si>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</si>
  <si>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</si>
  <si>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</si>
  <si>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</si>
  <si>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</si>
  <si>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</si>
  <si>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</si>
  <si>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</si>
  <si>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</si>
  <si>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</si>
  <si>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</si>
  <si>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</si>
  <si>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</si>
  <si>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</si>
  <si>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</si>
  <si>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</si>
  <si>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</si>
  <si>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</si>
  <si>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</si>
  <si>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</si>
  <si>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</si>
  <si>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</si>
  <si>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</si>
  <si>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</si>
  <si>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</si>
  <si>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</si>
  <si>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</si>
  <si>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</si>
  <si>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</si>
  <si>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</si>
  <si>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</si>
  <si>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</si>
  <si>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</si>
  <si>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</si>
  <si>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</si>
  <si>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</si>
  <si>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</si>
  <si>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</si>
  <si>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</si>
  <si>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</si>
  <si>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</si>
  <si>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</si>
  <si>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</si>
  <si>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</si>
  <si>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</si>
  <si>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</si>
  <si>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</si>
  <si>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</si>
  <si>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</si>
  <si>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</si>
  <si>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</si>
  <si>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</si>
  <si>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</si>
  <si>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</si>
  <si>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</si>
  <si>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</si>
  <si>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</si>
  <si>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</si>
  <si>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</si>
  <si>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</si>
  <si>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</si>
  <si>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</si>
  <si>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</si>
  <si>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</si>
  <si>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</si>
  <si>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</si>
  <si>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</si>
  <si>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</si>
  <si>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</si>
  <si>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</si>
  <si>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</si>
  <si>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</si>
  <si>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</si>
  <si>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</si>
  <si>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</si>
  <si>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</si>
  <si>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</si>
  <si>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</si>
  <si>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</si>
  <si>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</si>
  <si>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</si>
  <si>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</si>
  <si>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</si>
  <si>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</si>
  <si>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</si>
  <si>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</si>
  <si>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</si>
  <si>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</si>
  <si>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</si>
  <si>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</si>
  <si>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</si>
  <si>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</si>
  <si>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</si>
  <si>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</si>
  <si>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</si>
  <si>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</si>
  <si>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</si>
  <si>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</si>
  <si>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</si>
  <si>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</si>
  <si>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</si>
  <si>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</si>
  <si>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</si>
  <si>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</si>
  <si>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</si>
  <si>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</si>
  <si>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</si>
  <si>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</si>
  <si>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</si>
  <si>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</si>
  <si>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</si>
  <si>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</si>
  <si>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</si>
  <si>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</si>
  <si>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</si>
  <si>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</si>
  <si>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</si>
  <si>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</si>
  <si>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</si>
  <si>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</si>
  <si>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</si>
  <si>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</si>
  <si>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</si>
  <si>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</si>
  <si>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</si>
  <si>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</si>
  <si>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</si>
  <si>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</si>
  <si>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</si>
  <si>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</si>
  <si>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</si>
  <si>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</si>
  <si>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</si>
  <si>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</si>
  <si>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</si>
  <si>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</si>
  <si>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</si>
  <si>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</si>
  <si>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</si>
  <si>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</si>
  <si>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</si>
  <si>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</si>
  <si>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</si>
  <si>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</si>
  <si>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</si>
  <si>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</si>
  <si>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</si>
  <si>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</si>
  <si>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</si>
  <si>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</si>
  <si>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</si>
  <si>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</si>
  <si>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</si>
  <si>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</si>
  <si>
    <t>INVENTARIO 29 DE ABRIL</t>
  </si>
  <si>
    <t>CHISTORRA FRITZ ECO</t>
  </si>
  <si>
    <t>CHISTORRA XO</t>
  </si>
  <si>
    <t>GOUDA REMBRANT</t>
  </si>
  <si>
    <t>CHISTORRA FRTZ GOURMET</t>
  </si>
  <si>
    <t>COSTILLAS BBQ</t>
  </si>
  <si>
    <t>PICADA DE PCO</t>
  </si>
  <si>
    <t>CHORIZO DE PAVO OBERTAL PZA</t>
  </si>
  <si>
    <t>CHORIZO A LA SIDRA OBERTAL PZA</t>
  </si>
  <si>
    <t>CHORIZO ITALIANO OBERTAL PZA</t>
  </si>
  <si>
    <t>CHORIZO PAMPLONA OBERTAL KG</t>
  </si>
  <si>
    <t>CHORIZO RANCHERO OBERTAL</t>
  </si>
  <si>
    <t>CHORIZO SALAMANCA OBERTAL KG</t>
  </si>
  <si>
    <t>PECHUGA DE PAVO PREMIUM</t>
  </si>
  <si>
    <t>ROASTBEEF AHUMADO OBERTAL</t>
  </si>
  <si>
    <t>INVENTARIO 3 DE JULIO</t>
  </si>
  <si>
    <t>CHAROLA CARNES FRIAS</t>
  </si>
  <si>
    <t>SALCHICHA SCHUBLING</t>
  </si>
  <si>
    <t>CULATELLO TAVERNETA</t>
  </si>
  <si>
    <t>LOMO EMBUCHADO FRITZ</t>
  </si>
  <si>
    <t>SALCHICHA FRITZ C/MEJORANA</t>
  </si>
  <si>
    <t>QUESO AZUL DANES</t>
  </si>
  <si>
    <t>QUESO AZUL CAMBOZOLA</t>
  </si>
  <si>
    <t>QUESO CAMEMBERT</t>
  </si>
  <si>
    <t>QUESO DE PUERCO FRITZ</t>
  </si>
  <si>
    <t>JAMON DE PAVO FRITZ</t>
  </si>
  <si>
    <t>GALANTINA</t>
  </si>
  <si>
    <t>EMPUJE</t>
  </si>
  <si>
    <t>CORTES MADURADOS CHOICE</t>
  </si>
  <si>
    <t>BISTEC DEL 7</t>
  </si>
  <si>
    <t>MANTEQUILLA KERRYGOLD</t>
  </si>
  <si>
    <t>JAMON DE LOMO COCIDO FRITZ</t>
  </si>
  <si>
    <t>SALCHICHA FRITZ FRANKFURT</t>
  </si>
  <si>
    <t>MORCILLA OBERTAL</t>
  </si>
  <si>
    <t>MANCHEGO ENVINADO</t>
  </si>
  <si>
    <t>PATE FRITZ</t>
  </si>
  <si>
    <t>SALCHICHA KRAKAUER</t>
  </si>
  <si>
    <t>CARNE AL PASTOR PRECOCIDA</t>
  </si>
  <si>
    <t>PUNTAS DE CHULETA</t>
  </si>
  <si>
    <t>PANZA DE RES XKG</t>
  </si>
  <si>
    <t>GOUDA URUGUAYO</t>
  </si>
  <si>
    <t>KILOS B</t>
  </si>
  <si>
    <t>TARAS</t>
  </si>
  <si>
    <t>KILOS N</t>
  </si>
  <si>
    <t>SALCHICHA PARA HOT DOG FUD</t>
  </si>
  <si>
    <t>HOLANDES PATRON</t>
  </si>
  <si>
    <t>REAL IBERICO</t>
  </si>
  <si>
    <t>REDONDO IGLESIAS</t>
  </si>
  <si>
    <t>YOGHURT 1 LITRO</t>
  </si>
  <si>
    <t>CHAMORRO ROSTIZADO</t>
  </si>
  <si>
    <t>RICARDI DE CABRA</t>
  </si>
  <si>
    <t>QUESO DE CABRA PANFILO PZA.</t>
  </si>
  <si>
    <t>PORK BELLY</t>
  </si>
  <si>
    <t>RIB-EYE STERLING SILVER KG</t>
  </si>
  <si>
    <t>QUESO DE CABRA EN CUNA PZA</t>
  </si>
  <si>
    <t>MANCHEGO CASA DEL CAMPO PZA</t>
  </si>
  <si>
    <t>CREMA DE OVEJA PZA</t>
  </si>
  <si>
    <t>CABRA DE CREMA PZA</t>
  </si>
  <si>
    <t>CORTE ESTRELLA KG</t>
  </si>
  <si>
    <t>AGUAYON KG</t>
  </si>
  <si>
    <t>GRASA DE PCO KG</t>
  </si>
  <si>
    <t>PUNTAS DE CHULETA KG</t>
  </si>
  <si>
    <t>JAMON DE LOMO COCIDO FRITZ KG</t>
  </si>
  <si>
    <t>MANTEQUILLA KERRYGOLD PZA</t>
  </si>
  <si>
    <t>EMPUJE KG</t>
  </si>
  <si>
    <t>GALANTINA KG</t>
  </si>
  <si>
    <t>JAMON DE PAVO FRITZ KG</t>
  </si>
  <si>
    <t>QUESO DE PUERCO FRITZ KG</t>
  </si>
  <si>
    <t>RETAZO DE POLLO KG</t>
  </si>
  <si>
    <t>CODOS KG</t>
  </si>
  <si>
    <t>QUESO IBERICO LA LEYENDA</t>
  </si>
  <si>
    <t>QUESO GRANA PADANO PZA</t>
  </si>
  <si>
    <t>QUESO IDIAZABAL</t>
  </si>
  <si>
    <t>SUB TOTAL NETO</t>
  </si>
  <si>
    <t>TOTAL NETO</t>
  </si>
  <si>
    <t>SALSA MACHA CACAHUATE</t>
  </si>
  <si>
    <t>CHIMICHURRI</t>
  </si>
  <si>
    <t>SALSA DE CHAPULIN 250ML</t>
  </si>
  <si>
    <t>SLASA HABANERA DINAMITA</t>
  </si>
  <si>
    <t>SAL DE CHAPULIN</t>
  </si>
  <si>
    <t>MACHA MANGO CHIPOTLE</t>
  </si>
  <si>
    <t>SALSA DE CHAPULIN 150ML</t>
  </si>
  <si>
    <t>MACHA TAMARINDO CHIPOTLE</t>
  </si>
  <si>
    <t>MACHA DE CHAPULIN</t>
  </si>
  <si>
    <t>MACHA SEMILLAS ACEITE</t>
  </si>
  <si>
    <t>MACHA CACAHUATE OAXACA</t>
  </si>
  <si>
    <t>MACHA ACITE DE OLIVO</t>
  </si>
  <si>
    <t>SALSA DE GUSANO DE MAGUEY 250ML</t>
  </si>
  <si>
    <t>SALSA OAXAQUEÑA</t>
  </si>
  <si>
    <t>SAL DE GUSANO DE MAGUEY 70G</t>
  </si>
  <si>
    <t>CREMA DE BRIE</t>
  </si>
  <si>
    <t>QUESO PARMIGIANO</t>
  </si>
  <si>
    <t>MANCHEGO SEMICURADO CASAS DEL</t>
  </si>
  <si>
    <t xml:space="preserve">BLUE CHESSE </t>
  </si>
  <si>
    <t>INVENTARIO 28 DE AGOSTO</t>
  </si>
  <si>
    <t>INVENTARIO 2 DE OCUTUBRE</t>
  </si>
  <si>
    <t>C. 13 C Sur 8301, Campestre Mayorazgo, 72468 Puebla, Pue.</t>
  </si>
  <si>
    <t>PECHUGA DE PAVO OVAL</t>
  </si>
  <si>
    <t>QUESO FONDUE</t>
  </si>
  <si>
    <t>BABY BACK RIBS</t>
  </si>
  <si>
    <t>PULPA FINA DE RES</t>
  </si>
  <si>
    <t>FILETE MIGNON</t>
  </si>
  <si>
    <t>ROLLO FRITO ROLLO HORNEADO</t>
  </si>
  <si>
    <t>TOSTADA TRADICIONAL 140G</t>
  </si>
  <si>
    <t>TORTIHARINAS</t>
  </si>
  <si>
    <t>TOSTADA HORNEADA .500 KILO</t>
  </si>
  <si>
    <t>TOSTADA HORNEADA .250 G</t>
  </si>
  <si>
    <t>CREMA DE QUESO SEMICURADO</t>
  </si>
  <si>
    <t>CREMA DE QUESO CURADO</t>
  </si>
  <si>
    <t>CREMA DE QUESO DE CABRA</t>
  </si>
  <si>
    <t>PAVO HORNEADO 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</si>
</sst>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  <xf numFmtId="2" fontId="6" fillId="2" borderId="0" xfId="0" applyNumberFormat="1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2" fontId="0" fillId="0" borderId="0" xfId="1" applyNumberFormat="1" applyFont="1" applyFill="1"/>
    <xf numFmtId="2" fontId="0" fillId="0" borderId="0" xfId="0" applyNumberFormat="1" applyFont="1" applyFill="1"/>
    <xf numFmtId="0" fontId="0" fillId="0" borderId="0" xfId="0" applyFont="1" applyFill="1" applyAlignment="1">
      <alignment wrapText="1"/>
    </xf>
    <xf numFmtId="164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ill="1" applyAlignment="1">
      <alignment horizontal="right"/>
    </xf>
    <xf numFmtId="0" fontId="9" fillId="0" borderId="0" xfId="0" applyFont="1" applyFill="1"/>
    <xf numFmtId="2" fontId="11" fillId="0" borderId="0" xfId="0" applyNumberFormat="1" applyFont="1" applyFill="1"/>
    <xf numFmtId="164" fontId="6" fillId="0" borderId="0" xfId="0" applyNumberFormat="1" applyFont="1" applyFill="1"/>
    <xf numFmtId="164" fontId="11" fillId="0" borderId="0" xfId="0" applyNumberFormat="1" applyFont="1" applyFill="1"/>
    <xf numFmtId="0" fontId="10" fillId="0" borderId="0" xfId="0" applyFont="1" applyFill="1" applyAlignment="1">
      <alignment horizontal="righ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2" fontId="7" fillId="0" borderId="0" xfId="0" applyNumberFormat="1" applyFont="1" applyFill="1" applyAlignment="1">
      <alignment horizontal="center" vertical="center" wrapText="1"/>
    </xf>
    <xf numFmtId="2" fontId="12" fillId="0" borderId="0" xfId="0" applyNumberFormat="1" applyFont="1" applyFill="1"/>
    <xf numFmtId="2" fontId="10" fillId="0" borderId="0" xfId="0" applyNumberFormat="1" applyFont="1" applyFill="1"/>
    <xf numFmtId="0" fontId="9" fillId="0" borderId="0" xfId="0" applyFont="1" applyFill="1" applyAlignment="1">
      <alignment wrapText="1"/>
    </xf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3" fillId="0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1133475</xdr:colOff>
      <xdr:row>2</xdr:row>
      <xdr:rowOff>315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85800" cy="63848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28576</xdr:rowOff>
    </xdr:from>
    <xdr:to>
      <xdr:col>4</xdr:col>
      <xdr:colOff>942975</xdr:colOff>
      <xdr:row>2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28576"/>
          <a:ext cx="752475" cy="6095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400051</xdr:colOff>
      <xdr:row>0</xdr:row>
      <xdr:rowOff>28577</xdr:rowOff>
    </xdr:from>
    <xdr:to>
      <xdr:col>4</xdr:col>
      <xdr:colOff>1009651</xdr:colOff>
      <xdr:row>1</xdr:row>
      <xdr:rowOff>298644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1" y="28577"/>
          <a:ext cx="609600" cy="6034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0</xdr:row>
      <xdr:rowOff>28578</xdr:rowOff>
    </xdr:from>
    <xdr:to>
      <xdr:col>6</xdr:col>
      <xdr:colOff>895350</xdr:colOff>
      <xdr:row>1</xdr:row>
      <xdr:rowOff>297767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28578"/>
          <a:ext cx="600075" cy="60256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600076</xdr:colOff>
      <xdr:row>0</xdr:row>
      <xdr:rowOff>19053</xdr:rowOff>
    </xdr:from>
    <xdr:to>
      <xdr:col>6</xdr:col>
      <xdr:colOff>1143009</xdr:colOff>
      <xdr:row>1</xdr:row>
      <xdr:rowOff>285750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6" y="19053"/>
          <a:ext cx="542933" cy="60007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B22" sqref="B22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6" t="s">
        <v>272</v>
      </c>
      <c r="B1" s="76"/>
      <c r="C1" s="76"/>
      <c r="D1" s="76"/>
      <c r="E1" s="76"/>
      <c r="F1" s="4"/>
      <c r="G1" s="4"/>
    </row>
    <row r="2" spans="1:7" ht="24" thickBot="1" x14ac:dyDescent="0.4">
      <c r="A2" s="77" t="s">
        <v>0</v>
      </c>
      <c r="B2" s="77"/>
      <c r="C2" s="77"/>
      <c r="D2" s="77"/>
      <c r="E2" s="7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322" workbookViewId="0">
      <selection activeCell="F37" sqref="F3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6" t="s">
        <v>312</v>
      </c>
      <c r="B1" s="76"/>
      <c r="C1" s="76"/>
      <c r="D1" s="76"/>
      <c r="E1" s="76"/>
      <c r="F1" s="4"/>
      <c r="G1" s="4"/>
    </row>
    <row r="2" spans="1:7" ht="24" thickBot="1" x14ac:dyDescent="0.4">
      <c r="A2" s="77" t="s">
        <v>0</v>
      </c>
      <c r="B2" s="77"/>
      <c r="C2" s="77"/>
      <c r="D2" s="77"/>
      <c r="E2" s="7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1.972+8.38+43</f>
        <v>53.352000000000004</v>
      </c>
      <c r="D4" s="35">
        <v>170</v>
      </c>
      <c r="E4" s="40">
        <f>C4*D4</f>
        <v>9069.84</v>
      </c>
    </row>
    <row r="5" spans="1:7" x14ac:dyDescent="0.25">
      <c r="A5" s="31">
        <v>2</v>
      </c>
      <c r="B5" s="9" t="s">
        <v>103</v>
      </c>
      <c r="C5" s="12">
        <f>4.74+1.77</f>
        <v>6.51</v>
      </c>
      <c r="D5" s="35">
        <v>118</v>
      </c>
      <c r="E5" s="40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12">
        <v>4.54</v>
      </c>
      <c r="D6" s="35">
        <v>98</v>
      </c>
      <c r="E6" s="40">
        <f t="shared" si="0"/>
        <v>444.92</v>
      </c>
    </row>
    <row r="7" spans="1:7" x14ac:dyDescent="0.25">
      <c r="A7" s="31">
        <v>4</v>
      </c>
      <c r="B7" s="9" t="s">
        <v>104</v>
      </c>
      <c r="C7" s="12">
        <f>5.18+5.195</f>
        <v>10.375</v>
      </c>
      <c r="D7" s="35">
        <v>116</v>
      </c>
      <c r="E7" s="40">
        <f t="shared" si="0"/>
        <v>1203.5</v>
      </c>
    </row>
    <row r="8" spans="1:7" x14ac:dyDescent="0.25">
      <c r="A8" s="31">
        <v>5</v>
      </c>
      <c r="B8" s="9" t="s">
        <v>105</v>
      </c>
      <c r="C8" s="12">
        <v>1.68</v>
      </c>
      <c r="D8" s="35">
        <v>98</v>
      </c>
      <c r="E8" s="40">
        <f t="shared" si="0"/>
        <v>164.64</v>
      </c>
    </row>
    <row r="9" spans="1:7" x14ac:dyDescent="0.25">
      <c r="A9" s="31">
        <v>6</v>
      </c>
      <c r="B9" s="9" t="s">
        <v>106</v>
      </c>
      <c r="C9" s="12">
        <f>7.86+3.58+12.17</f>
        <v>23.61</v>
      </c>
      <c r="D9" s="35">
        <v>95</v>
      </c>
      <c r="E9" s="40">
        <f t="shared" si="0"/>
        <v>2242.9499999999998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9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f>2.248+1</f>
        <v>3.2480000000000002</v>
      </c>
      <c r="D15" s="35">
        <v>630</v>
      </c>
      <c r="E15" s="40">
        <f t="shared" si="0"/>
        <v>2046.2400000000002</v>
      </c>
    </row>
    <row r="16" spans="1:7" x14ac:dyDescent="0.25">
      <c r="A16" s="31">
        <v>15</v>
      </c>
      <c r="B16" s="9" t="s">
        <v>96</v>
      </c>
      <c r="C16" s="12">
        <f>6.43+1.756</f>
        <v>8.1859999999999999</v>
      </c>
      <c r="D16" s="35">
        <v>110</v>
      </c>
      <c r="E16" s="40">
        <f t="shared" si="0"/>
        <v>900.46</v>
      </c>
    </row>
    <row r="17" spans="1:5" x14ac:dyDescent="0.25">
      <c r="A17" s="31">
        <v>16</v>
      </c>
      <c r="B17" s="9" t="s">
        <v>7</v>
      </c>
      <c r="C17" s="12">
        <v>6.3</v>
      </c>
      <c r="D17" s="35">
        <v>165</v>
      </c>
      <c r="E17" s="40">
        <f t="shared" si="0"/>
        <v>1039.5</v>
      </c>
    </row>
    <row r="18" spans="1:5" x14ac:dyDescent="0.25">
      <c r="A18" s="31">
        <v>17</v>
      </c>
      <c r="B18" s="9" t="s">
        <v>6</v>
      </c>
      <c r="C18" s="12">
        <v>16</v>
      </c>
      <c r="D18" s="35">
        <v>12</v>
      </c>
      <c r="E18" s="40">
        <f t="shared" si="0"/>
        <v>192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7</v>
      </c>
      <c r="D22" s="35">
        <v>59</v>
      </c>
      <c r="E22" s="40">
        <f t="shared" si="0"/>
        <v>413</v>
      </c>
    </row>
    <row r="23" spans="1:5" x14ac:dyDescent="0.25">
      <c r="A23" s="31">
        <v>22</v>
      </c>
      <c r="B23" s="9" t="s">
        <v>9</v>
      </c>
      <c r="C23" s="12">
        <v>2</v>
      </c>
      <c r="D23" s="35">
        <v>82</v>
      </c>
      <c r="E23" s="40">
        <f t="shared" si="0"/>
        <v>164</v>
      </c>
    </row>
    <row r="24" spans="1:5" x14ac:dyDescent="0.25">
      <c r="A24" s="31">
        <v>23</v>
      </c>
      <c r="B24" s="9" t="s">
        <v>10</v>
      </c>
      <c r="C24" s="12">
        <v>1</v>
      </c>
      <c r="D24" s="35">
        <v>82</v>
      </c>
      <c r="E24" s="40">
        <f t="shared" si="0"/>
        <v>82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0</v>
      </c>
      <c r="D27" s="35">
        <v>12</v>
      </c>
      <c r="E27" s="40">
        <f t="shared" si="0"/>
        <v>0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8.34</v>
      </c>
      <c r="D30" s="35">
        <v>104</v>
      </c>
      <c r="E30" s="40">
        <f t="shared" si="0"/>
        <v>867.36</v>
      </c>
    </row>
    <row r="31" spans="1:5" x14ac:dyDescent="0.25">
      <c r="A31" s="31">
        <v>31</v>
      </c>
      <c r="B31" s="9" t="s">
        <v>132</v>
      </c>
      <c r="C31" s="12">
        <v>3.516</v>
      </c>
      <c r="D31" s="35">
        <v>590</v>
      </c>
      <c r="E31" s="40">
        <f t="shared" si="0"/>
        <v>2074.44</v>
      </c>
    </row>
    <row r="32" spans="1:5" x14ac:dyDescent="0.25">
      <c r="A32" s="31">
        <v>32</v>
      </c>
      <c r="B32" s="9" t="s">
        <v>133</v>
      </c>
      <c r="C32" s="12">
        <f>5.125+14</f>
        <v>19.125</v>
      </c>
      <c r="D32" s="35">
        <v>103</v>
      </c>
      <c r="E32" s="40">
        <f t="shared" si="0"/>
        <v>1969.875</v>
      </c>
    </row>
    <row r="33" spans="1:5" x14ac:dyDescent="0.25">
      <c r="A33" s="31">
        <v>33</v>
      </c>
      <c r="B33" s="9" t="s">
        <v>134</v>
      </c>
      <c r="C33" s="12">
        <v>1.4750000000000001</v>
      </c>
      <c r="D33" s="35">
        <v>135</v>
      </c>
      <c r="E33" s="40">
        <f t="shared" si="0"/>
        <v>199.125</v>
      </c>
    </row>
    <row r="34" spans="1:5" x14ac:dyDescent="0.25">
      <c r="A34" s="31">
        <v>34</v>
      </c>
      <c r="B34" s="9" t="s">
        <v>135</v>
      </c>
      <c r="C34" s="12">
        <f>5.94+2.32</f>
        <v>8.26</v>
      </c>
      <c r="D34" s="35">
        <v>315</v>
      </c>
      <c r="E34" s="40">
        <f t="shared" si="0"/>
        <v>2601.9</v>
      </c>
    </row>
    <row r="35" spans="1:5" x14ac:dyDescent="0.25">
      <c r="A35" s="31">
        <v>35</v>
      </c>
      <c r="B35" s="9" t="s">
        <v>136</v>
      </c>
      <c r="C35" s="12">
        <v>9.7200000000000006</v>
      </c>
      <c r="D35" s="35">
        <v>160</v>
      </c>
      <c r="E35" s="40">
        <f t="shared" si="0"/>
        <v>1555.2</v>
      </c>
    </row>
    <row r="36" spans="1:5" x14ac:dyDescent="0.25">
      <c r="A36" s="31">
        <v>36</v>
      </c>
      <c r="B36" s="9" t="s">
        <v>137</v>
      </c>
      <c r="C36" s="12">
        <v>2.44</v>
      </c>
      <c r="D36" s="35">
        <v>112</v>
      </c>
      <c r="E36" s="40">
        <f t="shared" si="0"/>
        <v>273.27999999999997</v>
      </c>
    </row>
    <row r="37" spans="1:5" x14ac:dyDescent="0.25">
      <c r="A37" s="31">
        <v>37</v>
      </c>
      <c r="B37" s="9" t="s">
        <v>138</v>
      </c>
      <c r="C37" s="12">
        <v>3</v>
      </c>
      <c r="D37" s="35">
        <v>26</v>
      </c>
      <c r="E37" s="40">
        <f t="shared" si="0"/>
        <v>78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8.9700000000000006</v>
      </c>
      <c r="D39" s="35">
        <v>70</v>
      </c>
      <c r="E39" s="40">
        <f t="shared" si="0"/>
        <v>627.90000000000009</v>
      </c>
    </row>
    <row r="40" spans="1:5" x14ac:dyDescent="0.25">
      <c r="A40" s="31">
        <v>40</v>
      </c>
      <c r="B40" s="9" t="s">
        <v>141</v>
      </c>
      <c r="C40" s="12">
        <f>9.63+55.8</f>
        <v>65.429999999999993</v>
      </c>
      <c r="D40" s="35">
        <v>140</v>
      </c>
      <c r="E40" s="40">
        <f t="shared" si="0"/>
        <v>9160.1999999999989</v>
      </c>
    </row>
    <row r="41" spans="1:5" x14ac:dyDescent="0.25">
      <c r="A41" s="31">
        <v>43</v>
      </c>
      <c r="B41" s="9" t="s">
        <v>142</v>
      </c>
      <c r="C41" s="12">
        <v>9.23</v>
      </c>
      <c r="D41" s="35">
        <v>50</v>
      </c>
      <c r="E41" s="40">
        <f t="shared" si="0"/>
        <v>461.5</v>
      </c>
    </row>
    <row r="42" spans="1:5" x14ac:dyDescent="0.25">
      <c r="A42" s="31">
        <v>44</v>
      </c>
      <c r="B42" s="9" t="s">
        <v>143</v>
      </c>
      <c r="C42" s="12">
        <f>5.755+1.96</f>
        <v>7.7149999999999999</v>
      </c>
      <c r="D42" s="35">
        <v>590</v>
      </c>
      <c r="E42" s="40">
        <f t="shared" si="0"/>
        <v>4551.8500000000004</v>
      </c>
    </row>
    <row r="43" spans="1:5" x14ac:dyDescent="0.25">
      <c r="A43" s="31">
        <v>45</v>
      </c>
      <c r="B43" s="9" t="s">
        <v>144</v>
      </c>
      <c r="C43" s="12">
        <v>5.77</v>
      </c>
      <c r="D43" s="35">
        <v>90</v>
      </c>
      <c r="E43" s="40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23">
        <f>SUM(C4:C43)</f>
        <v>297.79199999999992</v>
      </c>
      <c r="D44" s="15"/>
      <c r="E44" s="37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6</v>
      </c>
      <c r="D46" s="35">
        <v>165</v>
      </c>
      <c r="E46" s="40">
        <f t="shared" si="0"/>
        <v>990</v>
      </c>
    </row>
    <row r="47" spans="1:5" x14ac:dyDescent="0.25">
      <c r="A47" s="31">
        <v>47</v>
      </c>
      <c r="B47" s="9" t="s">
        <v>55</v>
      </c>
      <c r="C47" s="12">
        <f>3.612+775+18.5+2.8+2.1+4.1+1988.6</f>
        <v>2794.712</v>
      </c>
      <c r="D47" s="35">
        <v>125</v>
      </c>
      <c r="E47" s="40">
        <f t="shared" si="0"/>
        <v>349339</v>
      </c>
    </row>
    <row r="48" spans="1:5" x14ac:dyDescent="0.25">
      <c r="A48" s="31">
        <v>49</v>
      </c>
      <c r="B48" s="9" t="s">
        <v>145</v>
      </c>
      <c r="C48" s="12">
        <f>0.72+4.57+8.1</f>
        <v>13.39</v>
      </c>
      <c r="D48" s="35">
        <v>92</v>
      </c>
      <c r="E48" s="40">
        <f t="shared" si="0"/>
        <v>1231.8800000000001</v>
      </c>
    </row>
    <row r="49" spans="1:5" x14ac:dyDescent="0.25">
      <c r="A49" s="31">
        <v>50</v>
      </c>
      <c r="B49" s="9" t="s">
        <v>146</v>
      </c>
      <c r="C49" s="12">
        <f>0.458+4.7+10.05</f>
        <v>15.208000000000002</v>
      </c>
      <c r="D49" s="35">
        <v>92</v>
      </c>
      <c r="E49" s="40">
        <f t="shared" si="0"/>
        <v>1399.1360000000002</v>
      </c>
    </row>
    <row r="50" spans="1:5" x14ac:dyDescent="0.25">
      <c r="A50" s="31">
        <v>51</v>
      </c>
      <c r="B50" s="9" t="s">
        <v>147</v>
      </c>
      <c r="C50" s="12">
        <f>9.022+28.1</f>
        <v>37.122</v>
      </c>
      <c r="D50" s="35">
        <v>214</v>
      </c>
      <c r="E50" s="40">
        <f t="shared" si="0"/>
        <v>7944.1080000000002</v>
      </c>
    </row>
    <row r="51" spans="1:5" x14ac:dyDescent="0.25">
      <c r="A51" s="31">
        <v>52</v>
      </c>
      <c r="B51" s="9" t="s">
        <v>148</v>
      </c>
      <c r="C51" s="12">
        <f>20.6+12.72+12.69</f>
        <v>46.01</v>
      </c>
      <c r="D51" s="35">
        <v>100</v>
      </c>
      <c r="E51" s="40">
        <f t="shared" si="0"/>
        <v>4601</v>
      </c>
    </row>
    <row r="52" spans="1:5" x14ac:dyDescent="0.25">
      <c r="A52" s="31">
        <v>53</v>
      </c>
      <c r="B52" s="9" t="s">
        <v>149</v>
      </c>
      <c r="C52" s="12">
        <v>11.46</v>
      </c>
      <c r="D52" s="35">
        <v>82</v>
      </c>
      <c r="E52" s="40">
        <f t="shared" si="0"/>
        <v>939.72</v>
      </c>
    </row>
    <row r="53" spans="1:5" x14ac:dyDescent="0.25">
      <c r="A53" s="31">
        <v>54</v>
      </c>
      <c r="B53" s="9" t="s">
        <v>150</v>
      </c>
      <c r="C53" s="12">
        <f>33+69+5.38</f>
        <v>107.38</v>
      </c>
      <c r="D53" s="35">
        <v>110</v>
      </c>
      <c r="E53" s="40">
        <f t="shared" si="0"/>
        <v>11811.8</v>
      </c>
    </row>
    <row r="54" spans="1:5" x14ac:dyDescent="0.25">
      <c r="A54" s="31">
        <v>55</v>
      </c>
      <c r="B54" s="9" t="s">
        <v>31</v>
      </c>
      <c r="C54" s="12">
        <f>9+4.56+10.33+10.38</f>
        <v>34.270000000000003</v>
      </c>
      <c r="D54" s="35">
        <v>175</v>
      </c>
      <c r="E54" s="40">
        <f t="shared" si="0"/>
        <v>5997.2500000000009</v>
      </c>
    </row>
    <row r="55" spans="1:5" x14ac:dyDescent="0.25">
      <c r="A55" s="31">
        <v>56</v>
      </c>
      <c r="B55" s="9" t="s">
        <v>32</v>
      </c>
      <c r="C55" s="12">
        <v>1.8120000000000001</v>
      </c>
      <c r="D55" s="35">
        <v>140</v>
      </c>
      <c r="E55" s="40">
        <f t="shared" si="0"/>
        <v>253.68</v>
      </c>
    </row>
    <row r="56" spans="1:5" x14ac:dyDescent="0.25">
      <c r="A56" s="31">
        <v>57</v>
      </c>
      <c r="B56" s="9" t="s">
        <v>33</v>
      </c>
      <c r="C56" s="12">
        <f>5.298+1.076+24.1+6.5+9.43+12.78+90</f>
        <v>149.184</v>
      </c>
      <c r="D56" s="35">
        <v>74</v>
      </c>
      <c r="E56" s="40">
        <f t="shared" si="0"/>
        <v>11039.616</v>
      </c>
    </row>
    <row r="57" spans="1:5" x14ac:dyDescent="0.25">
      <c r="A57" s="31">
        <v>58</v>
      </c>
      <c r="B57" s="9" t="s">
        <v>34</v>
      </c>
      <c r="C57" s="12">
        <f>9.695+27.8+28.7+27</f>
        <v>93.195000000000007</v>
      </c>
      <c r="D57" s="35">
        <v>58</v>
      </c>
      <c r="E57" s="40">
        <f t="shared" si="0"/>
        <v>5405.31</v>
      </c>
    </row>
    <row r="58" spans="1:5" x14ac:dyDescent="0.25">
      <c r="A58" s="31">
        <v>59</v>
      </c>
      <c r="B58" s="9" t="s">
        <v>35</v>
      </c>
      <c r="C58" s="12">
        <f>2.894+4.46+29.3+28.2+14.8</f>
        <v>79.653999999999996</v>
      </c>
      <c r="D58" s="35">
        <v>58</v>
      </c>
      <c r="E58" s="40">
        <f t="shared" si="0"/>
        <v>4619.9319999999998</v>
      </c>
    </row>
    <row r="59" spans="1:5" x14ac:dyDescent="0.25">
      <c r="A59" s="31">
        <v>60</v>
      </c>
      <c r="B59" s="9" t="s">
        <v>36</v>
      </c>
      <c r="C59" s="12">
        <f>8.07+2.58+53.6+15.8+3.5</f>
        <v>83.55</v>
      </c>
      <c r="D59" s="35">
        <v>80</v>
      </c>
      <c r="E59" s="40">
        <f t="shared" si="0"/>
        <v>6684</v>
      </c>
    </row>
    <row r="60" spans="1:5" x14ac:dyDescent="0.25">
      <c r="A60" s="31">
        <v>61</v>
      </c>
      <c r="B60" s="9" t="s">
        <v>37</v>
      </c>
      <c r="C60" s="12">
        <f>3+1</f>
        <v>4</v>
      </c>
      <c r="D60" s="35">
        <v>59</v>
      </c>
      <c r="E60" s="40">
        <f t="shared" si="0"/>
        <v>236</v>
      </c>
    </row>
    <row r="61" spans="1:5" x14ac:dyDescent="0.25">
      <c r="A61" s="31">
        <v>62</v>
      </c>
      <c r="B61" s="9" t="s">
        <v>15</v>
      </c>
      <c r="C61" s="12">
        <v>5</v>
      </c>
      <c r="D61" s="35">
        <v>62</v>
      </c>
      <c r="E61" s="40">
        <f t="shared" si="0"/>
        <v>310</v>
      </c>
    </row>
    <row r="62" spans="1:5" x14ac:dyDescent="0.25">
      <c r="A62" s="31">
        <v>63</v>
      </c>
      <c r="B62" s="9" t="s">
        <v>16</v>
      </c>
      <c r="C62" s="12">
        <v>2</v>
      </c>
      <c r="D62" s="35">
        <v>61</v>
      </c>
      <c r="E62" s="40">
        <f t="shared" si="0"/>
        <v>122</v>
      </c>
    </row>
    <row r="63" spans="1:5" x14ac:dyDescent="0.25">
      <c r="A63" s="31">
        <v>64</v>
      </c>
      <c r="B63" s="9" t="s">
        <v>18</v>
      </c>
      <c r="C63" s="12">
        <v>2</v>
      </c>
      <c r="D63" s="35">
        <v>40</v>
      </c>
      <c r="E63" s="40">
        <f t="shared" si="0"/>
        <v>80</v>
      </c>
    </row>
    <row r="64" spans="1:5" x14ac:dyDescent="0.25">
      <c r="A64" s="31">
        <v>65</v>
      </c>
      <c r="B64" s="9" t="s">
        <v>38</v>
      </c>
      <c r="C64" s="12">
        <v>8</v>
      </c>
      <c r="D64" s="35">
        <v>20</v>
      </c>
      <c r="E64" s="40">
        <f t="shared" si="0"/>
        <v>160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29</v>
      </c>
      <c r="E65" s="40">
        <f t="shared" si="0"/>
        <v>145</v>
      </c>
    </row>
    <row r="66" spans="1:5" x14ac:dyDescent="0.25">
      <c r="A66" s="31">
        <v>68</v>
      </c>
      <c r="B66" s="9" t="s">
        <v>40</v>
      </c>
      <c r="C66" s="12">
        <v>30</v>
      </c>
      <c r="D66" s="35">
        <v>60</v>
      </c>
      <c r="E66" s="40">
        <f t="shared" si="0"/>
        <v>1800</v>
      </c>
    </row>
    <row r="67" spans="1:5" x14ac:dyDescent="0.25">
      <c r="A67" s="31">
        <v>69</v>
      </c>
      <c r="B67" s="9" t="s">
        <v>41</v>
      </c>
      <c r="C67" s="12">
        <f>7.21+5.18+0.25+0.535+0.58+1.5+1.47</f>
        <v>16.725000000000001</v>
      </c>
      <c r="D67" s="35">
        <v>210</v>
      </c>
      <c r="E67" s="40">
        <f t="shared" si="0"/>
        <v>3512.2500000000005</v>
      </c>
    </row>
    <row r="68" spans="1:5" x14ac:dyDescent="0.25">
      <c r="A68" s="31">
        <v>71</v>
      </c>
      <c r="B68" s="9" t="s">
        <v>151</v>
      </c>
      <c r="C68" s="12">
        <v>2</v>
      </c>
      <c r="D68" s="35">
        <v>85</v>
      </c>
      <c r="E68" s="40">
        <f t="shared" si="0"/>
        <v>170</v>
      </c>
    </row>
    <row r="69" spans="1:5" x14ac:dyDescent="0.25">
      <c r="A69" s="31">
        <v>72</v>
      </c>
      <c r="B69" s="9" t="s">
        <v>152</v>
      </c>
      <c r="C69" s="12">
        <v>0</v>
      </c>
      <c r="D69" s="35">
        <v>95</v>
      </c>
      <c r="E69" s="40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12">
        <v>3</v>
      </c>
      <c r="D70" s="35">
        <v>46</v>
      </c>
      <c r="E70" s="40">
        <f t="shared" si="1"/>
        <v>138</v>
      </c>
    </row>
    <row r="71" spans="1:5" x14ac:dyDescent="0.25">
      <c r="A71" s="31">
        <v>80</v>
      </c>
      <c r="B71" s="9" t="s">
        <v>52</v>
      </c>
      <c r="C71" s="12">
        <f>1.5+15.1+2.16</f>
        <v>18.760000000000002</v>
      </c>
      <c r="D71" s="35">
        <v>113</v>
      </c>
      <c r="E71" s="40">
        <f t="shared" si="1"/>
        <v>2119.88</v>
      </c>
    </row>
    <row r="72" spans="1:5" x14ac:dyDescent="0.25">
      <c r="A72" s="31">
        <v>81</v>
      </c>
      <c r="B72" s="9" t="s">
        <v>53</v>
      </c>
      <c r="C72" s="12">
        <f>51.1+43.01+12.8+5.48</f>
        <v>112.39</v>
      </c>
      <c r="D72" s="35">
        <v>84</v>
      </c>
      <c r="E72" s="40">
        <f t="shared" si="1"/>
        <v>9440.76</v>
      </c>
    </row>
    <row r="73" spans="1:5" x14ac:dyDescent="0.25">
      <c r="A73" s="31">
        <v>82</v>
      </c>
      <c r="B73" s="9" t="s">
        <v>153</v>
      </c>
      <c r="C73" s="12">
        <v>5</v>
      </c>
      <c r="D73" s="35">
        <v>69</v>
      </c>
      <c r="E73" s="40">
        <f t="shared" si="1"/>
        <v>345</v>
      </c>
    </row>
    <row r="74" spans="1:5" x14ac:dyDescent="0.25">
      <c r="A74" s="31">
        <v>83</v>
      </c>
      <c r="B74" s="9" t="s">
        <v>100</v>
      </c>
      <c r="C74" s="12">
        <v>15</v>
      </c>
      <c r="D74" s="35">
        <v>26</v>
      </c>
      <c r="E74" s="40">
        <f t="shared" si="1"/>
        <v>390</v>
      </c>
    </row>
    <row r="75" spans="1:5" x14ac:dyDescent="0.25">
      <c r="A75" s="31">
        <v>84</v>
      </c>
      <c r="B75" s="9" t="s">
        <v>54</v>
      </c>
      <c r="C75" s="12">
        <v>1.39</v>
      </c>
      <c r="D75" s="35">
        <v>280</v>
      </c>
      <c r="E75" s="40">
        <f t="shared" si="1"/>
        <v>389.2</v>
      </c>
    </row>
    <row r="76" spans="1:5" x14ac:dyDescent="0.25">
      <c r="A76" s="31">
        <v>85</v>
      </c>
      <c r="B76" s="9" t="s">
        <v>154</v>
      </c>
      <c r="C76" s="12">
        <v>72</v>
      </c>
      <c r="D76" s="35">
        <v>26</v>
      </c>
      <c r="E76" s="40">
        <f t="shared" si="1"/>
        <v>1872</v>
      </c>
    </row>
    <row r="77" spans="1:5" x14ac:dyDescent="0.25">
      <c r="A77" s="34">
        <v>87</v>
      </c>
      <c r="B77" s="9" t="s">
        <v>155</v>
      </c>
      <c r="C77" s="12">
        <v>10</v>
      </c>
      <c r="D77" s="35">
        <v>50</v>
      </c>
      <c r="E77" s="40">
        <f t="shared" si="1"/>
        <v>500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1"/>
        <v>680</v>
      </c>
    </row>
    <row r="79" spans="1:5" x14ac:dyDescent="0.25">
      <c r="A79" s="34">
        <v>89</v>
      </c>
      <c r="B79" s="9" t="s">
        <v>157</v>
      </c>
      <c r="C79" s="12">
        <v>21</v>
      </c>
      <c r="D79" s="35">
        <v>12</v>
      </c>
      <c r="E79" s="40">
        <f t="shared" si="1"/>
        <v>252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1+10</f>
        <v>11</v>
      </c>
      <c r="D81" s="35">
        <v>110</v>
      </c>
      <c r="E81" s="40">
        <f t="shared" si="1"/>
        <v>1210</v>
      </c>
    </row>
    <row r="82" spans="1:5" x14ac:dyDescent="0.25">
      <c r="A82" s="34">
        <v>98</v>
      </c>
      <c r="B82" s="9" t="s">
        <v>166</v>
      </c>
      <c r="C82" s="12">
        <f>19.8+90</f>
        <v>109.8</v>
      </c>
      <c r="D82" s="35">
        <v>45</v>
      </c>
      <c r="E82" s="40">
        <f t="shared" si="1"/>
        <v>4941</v>
      </c>
    </row>
    <row r="83" spans="1:5" x14ac:dyDescent="0.25">
      <c r="A83" s="34">
        <v>92</v>
      </c>
      <c r="B83" s="9" t="s">
        <v>160</v>
      </c>
      <c r="C83" s="12">
        <v>2</v>
      </c>
      <c r="D83" s="35">
        <v>75</v>
      </c>
      <c r="E83" s="40">
        <f t="shared" si="1"/>
        <v>150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1"/>
        <v>375</v>
      </c>
    </row>
    <row r="85" spans="1:5" x14ac:dyDescent="0.25">
      <c r="A85" s="34">
        <v>94</v>
      </c>
      <c r="B85" s="9" t="s">
        <v>162</v>
      </c>
      <c r="C85" s="12">
        <v>7.5</v>
      </c>
      <c r="D85" s="35">
        <v>60</v>
      </c>
      <c r="E85" s="40">
        <f t="shared" si="1"/>
        <v>450</v>
      </c>
    </row>
    <row r="86" spans="1:5" x14ac:dyDescent="0.25">
      <c r="A86" s="34">
        <v>95</v>
      </c>
      <c r="B86" s="9" t="s">
        <v>163</v>
      </c>
      <c r="C86" s="12">
        <v>26</v>
      </c>
      <c r="D86" s="35">
        <v>19</v>
      </c>
      <c r="E86" s="40">
        <f t="shared" si="1"/>
        <v>494</v>
      </c>
    </row>
    <row r="87" spans="1:5" x14ac:dyDescent="0.25">
      <c r="A87" s="34">
        <v>96</v>
      </c>
      <c r="B87" s="9" t="s">
        <v>164</v>
      </c>
      <c r="C87" s="12">
        <v>50</v>
      </c>
      <c r="D87" s="35">
        <v>20</v>
      </c>
      <c r="E87" s="40">
        <f t="shared" si="1"/>
        <v>1000</v>
      </c>
    </row>
    <row r="88" spans="1:5" x14ac:dyDescent="0.25">
      <c r="A88" s="34">
        <v>97</v>
      </c>
      <c r="B88" s="9" t="s">
        <v>165</v>
      </c>
      <c r="C88" s="12">
        <v>49</v>
      </c>
      <c r="D88" s="35">
        <v>22</v>
      </c>
      <c r="E88" s="40">
        <f t="shared" si="1"/>
        <v>1078</v>
      </c>
    </row>
    <row r="89" spans="1:5" ht="15.75" thickBot="1" x14ac:dyDescent="0.3">
      <c r="A89" s="32"/>
      <c r="B89" s="22" t="s">
        <v>17</v>
      </c>
      <c r="C89" s="23">
        <f>SUM(C46:C88)</f>
        <v>4076.5120000000006</v>
      </c>
      <c r="D89" s="36"/>
      <c r="E89" s="37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21</v>
      </c>
      <c r="D91" s="35">
        <v>24</v>
      </c>
      <c r="E91" s="40">
        <f t="shared" si="1"/>
        <v>504</v>
      </c>
    </row>
    <row r="92" spans="1:5" x14ac:dyDescent="0.25">
      <c r="A92" s="34">
        <v>100</v>
      </c>
      <c r="B92" s="9" t="s">
        <v>168</v>
      </c>
      <c r="C92" s="12">
        <v>36</v>
      </c>
      <c r="D92" s="35">
        <v>17</v>
      </c>
      <c r="E92" s="40">
        <f t="shared" si="1"/>
        <v>612</v>
      </c>
    </row>
    <row r="93" spans="1:5" x14ac:dyDescent="0.25">
      <c r="A93" s="34">
        <v>101</v>
      </c>
      <c r="B93" s="9" t="s">
        <v>169</v>
      </c>
      <c r="C93" s="13">
        <v>19</v>
      </c>
      <c r="D93" s="35">
        <v>14</v>
      </c>
      <c r="E93" s="40">
        <f t="shared" si="1"/>
        <v>266</v>
      </c>
    </row>
    <row r="94" spans="1:5" x14ac:dyDescent="0.25">
      <c r="A94" s="34">
        <v>102</v>
      </c>
      <c r="B94" s="9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f>1.688+0.276</f>
        <v>1.964</v>
      </c>
      <c r="D96" s="35">
        <v>60</v>
      </c>
      <c r="E96" s="40">
        <f t="shared" si="1"/>
        <v>117.84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9+10.12</f>
        <v>19.119999999999997</v>
      </c>
      <c r="D98" s="35">
        <v>88</v>
      </c>
      <c r="E98" s="40">
        <f t="shared" si="1"/>
        <v>1682.5599999999997</v>
      </c>
    </row>
    <row r="99" spans="1:5" x14ac:dyDescent="0.25">
      <c r="A99" s="34">
        <v>107</v>
      </c>
      <c r="B99" s="9" t="s">
        <v>174</v>
      </c>
      <c r="C99" s="12">
        <f>7.3+12.14+2.048</f>
        <v>21.488</v>
      </c>
      <c r="D99" s="35">
        <v>98</v>
      </c>
      <c r="E99" s="40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12">
        <f>1.4+14.3</f>
        <v>15.700000000000001</v>
      </c>
      <c r="D100" s="35">
        <v>80</v>
      </c>
      <c r="E100" s="40">
        <f t="shared" si="1"/>
        <v>1256</v>
      </c>
    </row>
    <row r="101" spans="1:5" x14ac:dyDescent="0.25">
      <c r="A101" s="34">
        <v>109</v>
      </c>
      <c r="B101" s="9" t="s">
        <v>177</v>
      </c>
      <c r="C101" s="12">
        <f>3.612+0.265+6.9+9.8</f>
        <v>20.577000000000002</v>
      </c>
      <c r="D101" s="35">
        <v>94</v>
      </c>
      <c r="E101" s="40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12">
        <f>4+2.23</f>
        <v>6.23</v>
      </c>
      <c r="D102" s="35">
        <v>60</v>
      </c>
      <c r="E102" s="40">
        <f t="shared" si="1"/>
        <v>373.8</v>
      </c>
    </row>
    <row r="103" spans="1:5" x14ac:dyDescent="0.25">
      <c r="A103" s="34">
        <v>111</v>
      </c>
      <c r="B103" s="9" t="s">
        <v>179</v>
      </c>
      <c r="C103" s="12">
        <f>11.3-3.9+12.52-2.2</f>
        <v>17.720000000000002</v>
      </c>
      <c r="D103" s="35">
        <v>80</v>
      </c>
      <c r="E103" s="40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12">
        <f>1.4+2.94+538.1+91.5+627.5</f>
        <v>1261.44</v>
      </c>
      <c r="D104" s="35">
        <v>36</v>
      </c>
      <c r="E104" s="40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12">
        <f>9.14-3.9+7.26</f>
        <v>12.5</v>
      </c>
      <c r="D105" s="35">
        <v>74</v>
      </c>
      <c r="E105" s="40">
        <f t="shared" si="1"/>
        <v>925</v>
      </c>
    </row>
    <row r="106" spans="1:5" x14ac:dyDescent="0.25">
      <c r="A106" s="34">
        <v>114</v>
      </c>
      <c r="B106" s="9" t="s">
        <v>182</v>
      </c>
      <c r="C106" s="12">
        <f>1.16+2.16</f>
        <v>3.3200000000000003</v>
      </c>
      <c r="D106" s="35">
        <v>98</v>
      </c>
      <c r="E106" s="40">
        <f t="shared" si="1"/>
        <v>325.36</v>
      </c>
    </row>
    <row r="107" spans="1:5" x14ac:dyDescent="0.25">
      <c r="A107" s="34">
        <v>115</v>
      </c>
      <c r="B107" s="9" t="s">
        <v>183</v>
      </c>
      <c r="C107" s="12">
        <f>10.24-3.9+9.16+24.6+59.2</f>
        <v>99.300000000000011</v>
      </c>
      <c r="D107" s="35">
        <v>96</v>
      </c>
      <c r="E107" s="40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12">
        <f>70.4+11.48</f>
        <v>81.88000000000001</v>
      </c>
      <c r="D108" s="35">
        <v>90</v>
      </c>
      <c r="E108" s="40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12">
        <v>5</v>
      </c>
      <c r="D109" s="35">
        <v>108</v>
      </c>
      <c r="E109" s="40">
        <f t="shared" si="1"/>
        <v>540</v>
      </c>
    </row>
    <row r="110" spans="1:5" x14ac:dyDescent="0.25">
      <c r="A110" s="34">
        <v>118</v>
      </c>
      <c r="B110" s="9" t="s">
        <v>267</v>
      </c>
      <c r="C110" s="12">
        <f>9.46-3.9+3.78+30.4+382</f>
        <v>421.74</v>
      </c>
      <c r="D110" s="35">
        <v>10</v>
      </c>
      <c r="E110" s="40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12">
        <f>4.48+14.22-2.2+36.6</f>
        <v>53.100000000000009</v>
      </c>
      <c r="D111" s="35">
        <v>58</v>
      </c>
      <c r="E111" s="40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12">
        <f>3.22+63.56</f>
        <v>66.78</v>
      </c>
      <c r="D112" s="35">
        <v>280</v>
      </c>
      <c r="E112" s="40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12">
        <v>61.2</v>
      </c>
      <c r="D113" s="35">
        <v>64</v>
      </c>
      <c r="E113" s="40">
        <f t="shared" si="1"/>
        <v>3916.8</v>
      </c>
    </row>
    <row r="114" spans="1:5" x14ac:dyDescent="0.25">
      <c r="A114" s="34">
        <v>122</v>
      </c>
      <c r="B114" s="9" t="s">
        <v>263</v>
      </c>
      <c r="C114" s="12">
        <f>26.3+1+4.99</f>
        <v>32.29</v>
      </c>
      <c r="D114" s="35">
        <v>74</v>
      </c>
      <c r="E114" s="40">
        <f t="shared" si="1"/>
        <v>2389.46</v>
      </c>
    </row>
    <row r="115" spans="1:5" x14ac:dyDescent="0.25">
      <c r="A115" s="34">
        <v>123</v>
      </c>
      <c r="B115" s="9" t="s">
        <v>262</v>
      </c>
      <c r="C115" s="12">
        <f>7.12+64.5+15.3+92.8+79.2+9.3+36.4</f>
        <v>304.62</v>
      </c>
      <c r="D115" s="35">
        <v>110</v>
      </c>
      <c r="E115" s="40">
        <f t="shared" si="1"/>
        <v>33508.199999999997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20.16-3.9+16.02-3.9+12.68-3.9+6.8+10.3</f>
        <v>54.260000000000005</v>
      </c>
      <c r="D117" s="35">
        <v>74</v>
      </c>
      <c r="E117" s="40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12">
        <f>10.07-2.2</f>
        <v>7.87</v>
      </c>
      <c r="D118" s="35">
        <v>210</v>
      </c>
      <c r="E118" s="40">
        <f t="shared" si="1"/>
        <v>1652.7</v>
      </c>
    </row>
    <row r="119" spans="1:5" x14ac:dyDescent="0.25">
      <c r="A119" s="34">
        <v>127</v>
      </c>
      <c r="B119" s="9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v>13.8</v>
      </c>
      <c r="D120" s="35">
        <v>42</v>
      </c>
      <c r="E120" s="40">
        <f t="shared" si="1"/>
        <v>579.6</v>
      </c>
    </row>
    <row r="121" spans="1:5" x14ac:dyDescent="0.25">
      <c r="A121" s="34">
        <v>129</v>
      </c>
      <c r="B121" s="9" t="s">
        <v>256</v>
      </c>
      <c r="C121" s="12">
        <f>1.48+25.4</f>
        <v>26.88</v>
      </c>
      <c r="D121" s="35">
        <v>75</v>
      </c>
      <c r="E121" s="40">
        <f t="shared" si="1"/>
        <v>2016</v>
      </c>
    </row>
    <row r="122" spans="1:5" x14ac:dyDescent="0.25">
      <c r="A122" s="34">
        <v>130</v>
      </c>
      <c r="B122" s="9" t="s">
        <v>255</v>
      </c>
      <c r="C122" s="12">
        <f>6.06-3.9</f>
        <v>2.1599999999999997</v>
      </c>
      <c r="D122" s="35">
        <v>78</v>
      </c>
      <c r="E122" s="40">
        <f t="shared" si="1"/>
        <v>168.48</v>
      </c>
    </row>
    <row r="123" spans="1:5" x14ac:dyDescent="0.25">
      <c r="A123" s="34">
        <v>131</v>
      </c>
      <c r="B123" s="9" t="s">
        <v>254</v>
      </c>
      <c r="C123" s="12">
        <f>12.06-3.9+12.1+13.8</f>
        <v>34.06</v>
      </c>
      <c r="D123" s="35">
        <v>120</v>
      </c>
      <c r="E123" s="40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12">
        <v>0</v>
      </c>
      <c r="D124" s="35">
        <v>120</v>
      </c>
      <c r="E124" s="40">
        <f t="shared" si="1"/>
        <v>0</v>
      </c>
    </row>
    <row r="125" spans="1:5" x14ac:dyDescent="0.25">
      <c r="A125" s="34">
        <v>133</v>
      </c>
      <c r="B125" s="9" t="s">
        <v>252</v>
      </c>
      <c r="C125" s="12">
        <f>6-3.9</f>
        <v>2.1</v>
      </c>
      <c r="D125" s="35">
        <v>173</v>
      </c>
      <c r="E125" s="40">
        <f t="shared" si="1"/>
        <v>363.3</v>
      </c>
    </row>
    <row r="126" spans="1:5" x14ac:dyDescent="0.25">
      <c r="A126" s="34">
        <v>134</v>
      </c>
      <c r="B126" s="9" t="s">
        <v>251</v>
      </c>
      <c r="C126" s="12">
        <f>0.86+1.32+9.32+6.8+22.6+4.8+53+101.3</f>
        <v>200</v>
      </c>
      <c r="D126" s="35">
        <v>116</v>
      </c>
      <c r="E126" s="40">
        <f t="shared" si="1"/>
        <v>23200</v>
      </c>
    </row>
    <row r="127" spans="1:5" x14ac:dyDescent="0.25">
      <c r="A127" s="34">
        <v>135</v>
      </c>
      <c r="B127" s="9" t="s">
        <v>250</v>
      </c>
      <c r="C127" s="12">
        <f>3.3+82+49.4</f>
        <v>134.69999999999999</v>
      </c>
      <c r="D127" s="35">
        <v>86</v>
      </c>
      <c r="E127" s="40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12">
        <f>2.22+19.8</f>
        <v>22.02</v>
      </c>
      <c r="D128" s="35">
        <v>48</v>
      </c>
      <c r="E128" s="40">
        <f t="shared" si="1"/>
        <v>1056.96</v>
      </c>
    </row>
    <row r="129" spans="1:5" x14ac:dyDescent="0.25">
      <c r="A129" s="34">
        <v>137</v>
      </c>
      <c r="B129" s="9" t="s">
        <v>248</v>
      </c>
      <c r="C129" s="12">
        <f>41.5+0.69+14.84+9.72+1.26+34.54+10.1+60.7+44.4+27.4+183.7+19.5+389.4</f>
        <v>837.75</v>
      </c>
      <c r="D129" s="35">
        <v>184</v>
      </c>
      <c r="E129" s="40">
        <f t="shared" si="1"/>
        <v>154146</v>
      </c>
    </row>
    <row r="130" spans="1:5" x14ac:dyDescent="0.25">
      <c r="A130" s="34">
        <v>138</v>
      </c>
      <c r="B130" s="9" t="s">
        <v>247</v>
      </c>
      <c r="C130" s="12">
        <f>15.3+89.3</f>
        <v>104.6</v>
      </c>
      <c r="D130" s="35">
        <v>177</v>
      </c>
      <c r="E130" s="40">
        <f t="shared" si="1"/>
        <v>18514.2</v>
      </c>
    </row>
    <row r="131" spans="1:5" x14ac:dyDescent="0.25">
      <c r="A131" s="34">
        <v>139</v>
      </c>
      <c r="B131" s="9" t="s">
        <v>246</v>
      </c>
      <c r="C131" s="12">
        <f>8.16-3.9+11.16+10.46</f>
        <v>25.880000000000003</v>
      </c>
      <c r="D131" s="35">
        <v>187</v>
      </c>
      <c r="E131" s="40">
        <f t="shared" si="1"/>
        <v>4839.5600000000004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4049.049</v>
      </c>
      <c r="D134" s="38"/>
      <c r="E134" s="37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12</v>
      </c>
      <c r="D136" s="35">
        <v>80</v>
      </c>
      <c r="E136" s="40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12">
        <f>3.18+5.98+89.1+41.2+39.2+13.1</f>
        <v>191.75999999999996</v>
      </c>
      <c r="D137" s="35">
        <v>63</v>
      </c>
      <c r="E137" s="40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12">
        <v>38.4</v>
      </c>
      <c r="D138" s="35">
        <v>220</v>
      </c>
      <c r="E138" s="40">
        <f t="shared" si="3"/>
        <v>8448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3"/>
        <v>112</v>
      </c>
    </row>
    <row r="140" spans="1:5" x14ac:dyDescent="0.25">
      <c r="A140" s="34">
        <v>146</v>
      </c>
      <c r="B140" s="9" t="s">
        <v>239</v>
      </c>
      <c r="C140" s="12">
        <f>13.5+1.02+6.3</f>
        <v>20.82</v>
      </c>
      <c r="D140" s="35">
        <v>134</v>
      </c>
      <c r="E140" s="40">
        <f t="shared" si="3"/>
        <v>2789.88</v>
      </c>
    </row>
    <row r="141" spans="1:5" x14ac:dyDescent="0.25">
      <c r="A141" s="34">
        <v>147</v>
      </c>
      <c r="B141" s="9" t="s">
        <v>238</v>
      </c>
      <c r="C141" s="12">
        <f>6.74+0.52+11.3</f>
        <v>18.560000000000002</v>
      </c>
      <c r="D141" s="35">
        <v>95</v>
      </c>
      <c r="E141" s="40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12">
        <f>7.22+9.18+1</f>
        <v>17.399999999999999</v>
      </c>
      <c r="D142" s="35">
        <v>130</v>
      </c>
      <c r="E142" s="40">
        <f t="shared" si="3"/>
        <v>2262</v>
      </c>
    </row>
    <row r="143" spans="1:5" x14ac:dyDescent="0.25">
      <c r="A143" s="34">
        <v>149</v>
      </c>
      <c r="B143" s="9" t="s">
        <v>236</v>
      </c>
      <c r="C143" s="12">
        <f>4.26+0.83</f>
        <v>5.09</v>
      </c>
      <c r="D143" s="35">
        <v>173</v>
      </c>
      <c r="E143" s="40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4.82+7.9-3.9+62.3+10.3+118.4+110</f>
        <v>309.82</v>
      </c>
      <c r="D145" s="35">
        <v>132</v>
      </c>
      <c r="E145" s="40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v>0</v>
      </c>
      <c r="D147" s="35">
        <v>154</v>
      </c>
      <c r="E147" s="40">
        <f t="shared" si="3"/>
        <v>0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9.76-2.2+1.2+11.8</f>
        <v>20.560000000000002</v>
      </c>
      <c r="D149" s="35">
        <v>98</v>
      </c>
      <c r="E149" s="40">
        <f t="shared" si="3"/>
        <v>2014.88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</v>
      </c>
      <c r="D151" s="35">
        <v>900</v>
      </c>
      <c r="E151" s="40">
        <f t="shared" si="3"/>
        <v>1422</v>
      </c>
    </row>
    <row r="152" spans="1:5" x14ac:dyDescent="0.25">
      <c r="A152" s="34">
        <v>158</v>
      </c>
      <c r="B152" s="9" t="s">
        <v>228</v>
      </c>
      <c r="C152" s="12">
        <f>14.72+37.9</f>
        <v>52.62</v>
      </c>
      <c r="D152" s="35">
        <v>71</v>
      </c>
      <c r="E152" s="40">
        <f t="shared" si="3"/>
        <v>3736.02</v>
      </c>
    </row>
    <row r="153" spans="1:5" x14ac:dyDescent="0.25">
      <c r="A153" s="34">
        <v>159</v>
      </c>
      <c r="B153" s="9" t="s">
        <v>227</v>
      </c>
      <c r="C153" s="12">
        <f>9.74-3.9+4.8</f>
        <v>10.64</v>
      </c>
      <c r="D153" s="35">
        <v>78</v>
      </c>
      <c r="E153" s="40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9" t="s">
        <v>225</v>
      </c>
      <c r="C155" s="12">
        <v>30.7</v>
      </c>
      <c r="D155" s="35">
        <v>120</v>
      </c>
      <c r="E155" s="40">
        <f t="shared" si="3"/>
        <v>3684</v>
      </c>
    </row>
    <row r="156" spans="1:5" x14ac:dyDescent="0.25">
      <c r="A156" s="34">
        <v>162</v>
      </c>
      <c r="B156" s="9" t="s">
        <v>21</v>
      </c>
      <c r="C156" s="12">
        <f>4.89+3.8</f>
        <v>8.69</v>
      </c>
      <c r="D156" s="35">
        <v>600</v>
      </c>
      <c r="E156" s="40">
        <f t="shared" si="3"/>
        <v>5214</v>
      </c>
    </row>
    <row r="157" spans="1:5" x14ac:dyDescent="0.25">
      <c r="A157" s="34">
        <v>163</v>
      </c>
      <c r="B157" s="9" t="s">
        <v>224</v>
      </c>
      <c r="C157" s="12">
        <f>37.9+18.8+92.6</f>
        <v>149.30000000000001</v>
      </c>
      <c r="D157" s="35">
        <v>187</v>
      </c>
      <c r="E157" s="40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12">
        <f>93.6+114.2</f>
        <v>207.8</v>
      </c>
      <c r="D158" s="35">
        <v>136</v>
      </c>
      <c r="E158" s="40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12">
        <f>2.96+7.14+20.8+54.2</f>
        <v>85.1</v>
      </c>
      <c r="D159" s="35">
        <v>30</v>
      </c>
      <c r="E159" s="40">
        <f t="shared" si="3"/>
        <v>2553</v>
      </c>
    </row>
    <row r="160" spans="1:5" x14ac:dyDescent="0.25">
      <c r="A160" s="34">
        <v>166</v>
      </c>
      <c r="B160" s="9" t="s">
        <v>23</v>
      </c>
      <c r="C160" s="12">
        <f>6.77+7.8</f>
        <v>14.57</v>
      </c>
      <c r="D160" s="35">
        <v>600</v>
      </c>
      <c r="E160" s="40">
        <f t="shared" si="3"/>
        <v>8742</v>
      </c>
    </row>
    <row r="161" spans="1:5" x14ac:dyDescent="0.25">
      <c r="A161" s="34">
        <v>167</v>
      </c>
      <c r="B161" s="9" t="s">
        <v>222</v>
      </c>
      <c r="C161" s="12">
        <f>94.6+89.1+116.7+90.1</f>
        <v>390.5</v>
      </c>
      <c r="D161" s="35">
        <v>116</v>
      </c>
      <c r="E161" s="40">
        <f t="shared" si="3"/>
        <v>45298</v>
      </c>
    </row>
    <row r="162" spans="1:5" x14ac:dyDescent="0.25">
      <c r="A162" s="34">
        <v>168</v>
      </c>
      <c r="B162" s="9" t="s">
        <v>221</v>
      </c>
      <c r="C162" s="12">
        <f>1.53+44.75</f>
        <v>46.28</v>
      </c>
      <c r="D162" s="35">
        <v>280</v>
      </c>
      <c r="E162" s="40">
        <f t="shared" si="3"/>
        <v>12958.4</v>
      </c>
    </row>
    <row r="163" spans="1:5" x14ac:dyDescent="0.25">
      <c r="A163" s="34">
        <v>169</v>
      </c>
      <c r="B163" s="9" t="s">
        <v>274</v>
      </c>
      <c r="C163" s="12">
        <f>94.1+71</f>
        <v>165.1</v>
      </c>
      <c r="D163" s="35">
        <v>94</v>
      </c>
      <c r="E163" s="40">
        <f t="shared" si="3"/>
        <v>15519.4</v>
      </c>
    </row>
    <row r="164" spans="1:5" x14ac:dyDescent="0.25">
      <c r="A164" s="34">
        <v>170</v>
      </c>
      <c r="B164" s="9" t="s">
        <v>324</v>
      </c>
      <c r="C164" s="12">
        <f>74.9+67.5+105.9</f>
        <v>248.3</v>
      </c>
      <c r="D164" s="35">
        <v>116</v>
      </c>
      <c r="E164" s="40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12">
        <f>19.08-2.2+147.6+18.3+15.6</f>
        <v>198.38</v>
      </c>
      <c r="D165" s="35">
        <v>72</v>
      </c>
      <c r="E165" s="40">
        <f t="shared" si="3"/>
        <v>14283.36</v>
      </c>
    </row>
    <row r="166" spans="1:5" x14ac:dyDescent="0.25">
      <c r="A166" s="34">
        <v>172</v>
      </c>
      <c r="B166" s="9" t="s">
        <v>218</v>
      </c>
      <c r="C166" s="12">
        <v>8.6</v>
      </c>
      <c r="D166" s="35">
        <v>158</v>
      </c>
      <c r="E166" s="40">
        <f t="shared" si="3"/>
        <v>1358.8</v>
      </c>
    </row>
    <row r="167" spans="1:5" x14ac:dyDescent="0.25">
      <c r="A167" s="34">
        <v>173</v>
      </c>
      <c r="B167" s="9" t="s">
        <v>217</v>
      </c>
      <c r="C167" s="12">
        <f>9.14-3.9</f>
        <v>5.24</v>
      </c>
      <c r="D167" s="35">
        <v>134</v>
      </c>
      <c r="E167" s="40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12">
        <f>18.78-3.9+2.8</f>
        <v>17.68</v>
      </c>
      <c r="D168" s="35">
        <v>74</v>
      </c>
      <c r="E168" s="40">
        <f t="shared" si="3"/>
        <v>1308.32</v>
      </c>
    </row>
    <row r="169" spans="1:5" x14ac:dyDescent="0.25">
      <c r="A169" s="34">
        <v>175</v>
      </c>
      <c r="B169" s="9" t="s">
        <v>215</v>
      </c>
      <c r="C169" s="12">
        <f>14.8+24.6+524.9</f>
        <v>564.29999999999995</v>
      </c>
      <c r="D169" s="35">
        <v>66</v>
      </c>
      <c r="E169" s="40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12">
        <f>4.82+53+119.9</f>
        <v>177.72</v>
      </c>
      <c r="D170" s="35">
        <v>66</v>
      </c>
      <c r="E170" s="40">
        <f t="shared" si="3"/>
        <v>11729.52</v>
      </c>
    </row>
    <row r="171" spans="1:5" x14ac:dyDescent="0.25">
      <c r="A171" s="34">
        <v>177</v>
      </c>
      <c r="B171" s="9" t="s">
        <v>213</v>
      </c>
      <c r="C171" s="12">
        <f>21.32-3.9+21.96+8.3</f>
        <v>47.680000000000007</v>
      </c>
      <c r="D171" s="35">
        <v>170</v>
      </c>
      <c r="E171" s="40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12">
        <f>172.1+171.9+245.4+51.4</f>
        <v>640.79999999999995</v>
      </c>
      <c r="D172" s="35">
        <v>72</v>
      </c>
      <c r="E172" s="40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12">
        <v>48.7</v>
      </c>
      <c r="D173" s="35">
        <v>92</v>
      </c>
      <c r="E173" s="40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12">
        <f>10.68-3.9+30.7</f>
        <v>37.479999999999997</v>
      </c>
      <c r="D174" s="35">
        <v>100</v>
      </c>
      <c r="E174" s="40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12">
        <v>63.5</v>
      </c>
      <c r="D175" s="35">
        <v>149</v>
      </c>
      <c r="E175" s="40">
        <f t="shared" si="3"/>
        <v>9461.5</v>
      </c>
    </row>
    <row r="176" spans="1:5" x14ac:dyDescent="0.25">
      <c r="A176" s="34">
        <v>181</v>
      </c>
      <c r="B176" s="9" t="s">
        <v>209</v>
      </c>
      <c r="C176" s="12">
        <v>82.5</v>
      </c>
      <c r="D176" s="35">
        <v>51</v>
      </c>
      <c r="E176" s="40">
        <f t="shared" si="3"/>
        <v>4207.5</v>
      </c>
    </row>
    <row r="177" spans="1:5" x14ac:dyDescent="0.25">
      <c r="A177" s="34">
        <v>182</v>
      </c>
      <c r="B177" s="9" t="s">
        <v>208</v>
      </c>
      <c r="C177" s="12">
        <v>23.9</v>
      </c>
      <c r="D177" s="35">
        <v>120</v>
      </c>
      <c r="E177" s="40">
        <f t="shared" si="3"/>
        <v>2868</v>
      </c>
    </row>
    <row r="178" spans="1:5" x14ac:dyDescent="0.25">
      <c r="A178" s="34">
        <v>184</v>
      </c>
      <c r="B178" s="9" t="s">
        <v>206</v>
      </c>
      <c r="C178" s="12">
        <f>7+6.42+1.32</f>
        <v>14.74</v>
      </c>
      <c r="D178" s="35">
        <v>184</v>
      </c>
      <c r="E178" s="40">
        <f t="shared" si="3"/>
        <v>2712.16</v>
      </c>
    </row>
    <row r="179" spans="1:5" ht="15.75" thickBot="1" x14ac:dyDescent="0.3">
      <c r="A179" s="32"/>
      <c r="B179" s="22" t="s">
        <v>17</v>
      </c>
      <c r="C179" s="23">
        <f>SUM(C136:C178)</f>
        <v>3978.8099999999986</v>
      </c>
      <c r="D179" s="15"/>
      <c r="E179" s="37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f>89.9+55</f>
        <v>144.9</v>
      </c>
      <c r="D181" s="35">
        <v>180</v>
      </c>
      <c r="E181" s="40">
        <f t="shared" si="3"/>
        <v>26082</v>
      </c>
    </row>
    <row r="182" spans="1:5" x14ac:dyDescent="0.25">
      <c r="A182" s="34">
        <v>186</v>
      </c>
      <c r="B182" s="9" t="s">
        <v>204</v>
      </c>
      <c r="C182" s="12">
        <v>124.4</v>
      </c>
      <c r="D182" s="35">
        <v>182</v>
      </c>
      <c r="E182" s="40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f>3.584+2.86+13.2+22.3+7.43</f>
        <v>49.374000000000002</v>
      </c>
      <c r="D184" s="35">
        <v>58</v>
      </c>
      <c r="E184" s="40">
        <f t="shared" si="3"/>
        <v>2863.692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4.08+9.74-3.9+3.6</f>
        <v>13.52</v>
      </c>
      <c r="D186" s="35">
        <v>120</v>
      </c>
      <c r="E186" s="40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12">
        <f>4.08+61</f>
        <v>65.08</v>
      </c>
      <c r="D187" s="35">
        <v>14</v>
      </c>
      <c r="E187" s="40">
        <f t="shared" si="3"/>
        <v>911.12</v>
      </c>
    </row>
    <row r="188" spans="1:5" x14ac:dyDescent="0.25">
      <c r="A188" s="34">
        <v>192</v>
      </c>
      <c r="B188" s="9" t="s">
        <v>198</v>
      </c>
      <c r="C188" s="12">
        <f>6.8+47.7+8.8</f>
        <v>63.3</v>
      </c>
      <c r="D188" s="35">
        <v>40</v>
      </c>
      <c r="E188" s="40">
        <f t="shared" si="3"/>
        <v>2532</v>
      </c>
    </row>
    <row r="189" spans="1:5" x14ac:dyDescent="0.25">
      <c r="A189" s="34">
        <v>193</v>
      </c>
      <c r="B189" s="9" t="s">
        <v>197</v>
      </c>
      <c r="C189" s="12">
        <v>24.3</v>
      </c>
      <c r="D189" s="35">
        <v>20</v>
      </c>
      <c r="E189" s="40">
        <f t="shared" si="3"/>
        <v>486</v>
      </c>
    </row>
    <row r="190" spans="1:5" x14ac:dyDescent="0.25">
      <c r="A190" s="34">
        <v>194</v>
      </c>
      <c r="B190" s="9" t="s">
        <v>196</v>
      </c>
      <c r="C190" s="12">
        <v>28.6</v>
      </c>
      <c r="D190" s="35">
        <v>32</v>
      </c>
      <c r="E190" s="40">
        <f t="shared" si="3"/>
        <v>915.2</v>
      </c>
    </row>
    <row r="191" spans="1:5" x14ac:dyDescent="0.25">
      <c r="A191" s="34">
        <v>195</v>
      </c>
      <c r="B191" s="9" t="s">
        <v>93</v>
      </c>
      <c r="C191" s="12">
        <f>3.64+12.86-2.2+82.8</f>
        <v>97.1</v>
      </c>
      <c r="D191" s="35">
        <v>38</v>
      </c>
      <c r="E191" s="40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12">
        <f>27.1+34.1</f>
        <v>61.2</v>
      </c>
      <c r="D192" s="35">
        <v>95</v>
      </c>
      <c r="E192" s="40">
        <f t="shared" si="3"/>
        <v>5814</v>
      </c>
    </row>
    <row r="193" spans="1:5" x14ac:dyDescent="0.25">
      <c r="A193" s="34">
        <v>197</v>
      </c>
      <c r="B193" s="9" t="s">
        <v>91</v>
      </c>
      <c r="C193" s="12">
        <v>1.18</v>
      </c>
      <c r="D193" s="35">
        <v>420</v>
      </c>
      <c r="E193" s="40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12">
        <f>67+29.294-2.2</f>
        <v>94.093999999999994</v>
      </c>
      <c r="D194" s="35">
        <v>184</v>
      </c>
      <c r="E194" s="40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12">
        <v>1.5</v>
      </c>
      <c r="D195" s="35">
        <v>50</v>
      </c>
      <c r="E195" s="40">
        <f t="shared" si="3"/>
        <v>75</v>
      </c>
    </row>
    <row r="196" spans="1:5" x14ac:dyDescent="0.25">
      <c r="A196" s="34">
        <v>200</v>
      </c>
      <c r="B196" s="9" t="s">
        <v>290</v>
      </c>
      <c r="C196" s="12">
        <v>140.4</v>
      </c>
      <c r="D196" s="35">
        <v>57</v>
      </c>
      <c r="E196" s="40">
        <f t="shared" si="3"/>
        <v>8002.8</v>
      </c>
    </row>
    <row r="197" spans="1:5" x14ac:dyDescent="0.25">
      <c r="A197" s="34">
        <v>201</v>
      </c>
      <c r="B197" s="9" t="s">
        <v>88</v>
      </c>
      <c r="C197" s="12">
        <f>4.46+13.84+14.3+61.2</f>
        <v>93.800000000000011</v>
      </c>
      <c r="D197" s="35">
        <v>42</v>
      </c>
      <c r="E197" s="40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12">
        <f>13.2+20</f>
        <v>33.200000000000003</v>
      </c>
      <c r="D198" s="35">
        <v>98</v>
      </c>
      <c r="E198" s="40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12">
        <v>121</v>
      </c>
      <c r="D199" s="35">
        <v>120</v>
      </c>
      <c r="E199" s="40">
        <f t="shared" si="3"/>
        <v>14520</v>
      </c>
    </row>
    <row r="200" spans="1:5" x14ac:dyDescent="0.25">
      <c r="A200" s="34">
        <v>204</v>
      </c>
      <c r="B200" s="9" t="s">
        <v>85</v>
      </c>
      <c r="C200" s="12">
        <f>25+130</f>
        <v>155</v>
      </c>
      <c r="D200" s="35">
        <v>105</v>
      </c>
      <c r="E200" s="40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12">
        <f>21.52-2.2</f>
        <v>19.32</v>
      </c>
      <c r="D201" s="35">
        <v>70</v>
      </c>
      <c r="E201" s="40">
        <f t="shared" si="4"/>
        <v>1352.4</v>
      </c>
    </row>
    <row r="202" spans="1:5" x14ac:dyDescent="0.25">
      <c r="A202" s="34">
        <v>206</v>
      </c>
      <c r="B202" s="9" t="s">
        <v>83</v>
      </c>
      <c r="C202" s="12">
        <f>21.56-2.2+0.8</f>
        <v>20.16</v>
      </c>
      <c r="D202" s="35">
        <v>100</v>
      </c>
      <c r="E202" s="40">
        <f t="shared" si="4"/>
        <v>2016</v>
      </c>
    </row>
    <row r="203" spans="1:5" x14ac:dyDescent="0.25">
      <c r="A203" s="34">
        <v>207</v>
      </c>
      <c r="B203" s="9" t="s">
        <v>79</v>
      </c>
      <c r="C203" s="12">
        <f>3.22+1.43</f>
        <v>4.6500000000000004</v>
      </c>
      <c r="D203" s="35">
        <v>160</v>
      </c>
      <c r="E203" s="40">
        <f t="shared" si="4"/>
        <v>744</v>
      </c>
    </row>
    <row r="204" spans="1:5" x14ac:dyDescent="0.25">
      <c r="A204" s="34">
        <v>208</v>
      </c>
      <c r="B204" s="9" t="s">
        <v>82</v>
      </c>
      <c r="C204" s="12">
        <f>1.5+30</f>
        <v>31.5</v>
      </c>
      <c r="D204" s="35">
        <v>93</v>
      </c>
      <c r="E204" s="40">
        <f t="shared" si="4"/>
        <v>2929.5</v>
      </c>
    </row>
    <row r="205" spans="1:5" x14ac:dyDescent="0.25">
      <c r="A205" s="34">
        <v>209</v>
      </c>
      <c r="B205" s="9" t="s">
        <v>81</v>
      </c>
      <c r="C205" s="12">
        <v>12</v>
      </c>
      <c r="D205" s="35">
        <v>75</v>
      </c>
      <c r="E205" s="40">
        <f t="shared" si="4"/>
        <v>900</v>
      </c>
    </row>
    <row r="206" spans="1:5" x14ac:dyDescent="0.25">
      <c r="A206" s="34">
        <v>210</v>
      </c>
      <c r="B206" s="9" t="s">
        <v>80</v>
      </c>
      <c r="C206" s="12">
        <v>5.5</v>
      </c>
      <c r="D206" s="35">
        <v>65</v>
      </c>
      <c r="E206" s="40">
        <f t="shared" si="4"/>
        <v>357.5</v>
      </c>
    </row>
    <row r="207" spans="1:5" x14ac:dyDescent="0.25">
      <c r="A207" s="34">
        <v>211</v>
      </c>
      <c r="B207" s="9" t="s">
        <v>279</v>
      </c>
      <c r="C207" s="12">
        <v>9</v>
      </c>
      <c r="D207" s="35">
        <v>36</v>
      </c>
      <c r="E207" s="40">
        <f t="shared" si="4"/>
        <v>324</v>
      </c>
    </row>
    <row r="208" spans="1:5" x14ac:dyDescent="0.25">
      <c r="A208" s="34">
        <v>212</v>
      </c>
      <c r="B208" s="9" t="s">
        <v>97</v>
      </c>
      <c r="C208" s="12">
        <v>2.2000000000000002</v>
      </c>
      <c r="D208" s="35">
        <v>80</v>
      </c>
      <c r="E208" s="40">
        <f t="shared" si="4"/>
        <v>176</v>
      </c>
    </row>
    <row r="209" spans="1:5" x14ac:dyDescent="0.25">
      <c r="A209" s="34">
        <v>213</v>
      </c>
      <c r="B209" s="9" t="s">
        <v>78</v>
      </c>
      <c r="C209" s="12">
        <f>30+2.24</f>
        <v>32.24</v>
      </c>
      <c r="D209" s="35">
        <v>58</v>
      </c>
      <c r="E209" s="40">
        <f t="shared" si="4"/>
        <v>1869.92</v>
      </c>
    </row>
    <row r="210" spans="1:5" x14ac:dyDescent="0.25">
      <c r="A210" s="34">
        <v>214</v>
      </c>
      <c r="B210" s="9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3</v>
      </c>
      <c r="D211" s="35">
        <v>36</v>
      </c>
      <c r="E211" s="40">
        <f t="shared" si="4"/>
        <v>108</v>
      </c>
    </row>
    <row r="212" spans="1:5" x14ac:dyDescent="0.25">
      <c r="A212" s="34">
        <v>216</v>
      </c>
      <c r="B212" s="9" t="s">
        <v>19</v>
      </c>
      <c r="C212" s="12">
        <v>5</v>
      </c>
      <c r="D212" s="35">
        <v>60</v>
      </c>
      <c r="E212" s="40">
        <f t="shared" si="4"/>
        <v>300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2</v>
      </c>
      <c r="D214" s="35">
        <v>40</v>
      </c>
      <c r="E214" s="40">
        <f t="shared" si="4"/>
        <v>80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80</v>
      </c>
      <c r="D216" s="35">
        <v>30</v>
      </c>
      <c r="E216" s="40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12">
        <f>1.25+0.15</f>
        <v>1.4</v>
      </c>
      <c r="D217" s="35">
        <v>370</v>
      </c>
      <c r="E217" s="40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12">
        <v>0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43" t="s">
        <v>68</v>
      </c>
      <c r="C220" s="12">
        <v>0</v>
      </c>
      <c r="D220" s="35">
        <v>51</v>
      </c>
      <c r="E220" s="40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12">
        <v>13</v>
      </c>
      <c r="D221" s="35">
        <v>21</v>
      </c>
      <c r="E221" s="40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si="4"/>
        <v>0</v>
      </c>
    </row>
    <row r="223" spans="1:5" ht="15.75" thickBot="1" x14ac:dyDescent="0.3">
      <c r="A223" s="32"/>
      <c r="B223" s="22" t="s">
        <v>17</v>
      </c>
      <c r="C223" s="23">
        <f>SUM(C181:C222)</f>
        <v>1552.9180000000003</v>
      </c>
      <c r="D223" s="38"/>
      <c r="E223" s="37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11</v>
      </c>
      <c r="D225" s="35">
        <v>40</v>
      </c>
      <c r="E225" s="40">
        <f t="shared" si="4"/>
        <v>440</v>
      </c>
    </row>
    <row r="226" spans="1:5" ht="17.25" customHeight="1" x14ac:dyDescent="0.25">
      <c r="A226" s="34">
        <v>228</v>
      </c>
      <c r="B226" s="9" t="s">
        <v>64</v>
      </c>
      <c r="C226" s="12">
        <v>10.5</v>
      </c>
      <c r="D226" s="35">
        <v>60</v>
      </c>
      <c r="E226" s="40">
        <f t="shared" si="4"/>
        <v>630</v>
      </c>
    </row>
    <row r="227" spans="1:5" ht="17.25" customHeight="1" x14ac:dyDescent="0.25">
      <c r="A227" s="34">
        <v>229</v>
      </c>
      <c r="B227" s="9" t="s">
        <v>63</v>
      </c>
      <c r="C227" s="12">
        <f>5.7+2.37</f>
        <v>8.07</v>
      </c>
      <c r="D227" s="35">
        <v>315</v>
      </c>
      <c r="E227" s="40">
        <f t="shared" si="4"/>
        <v>2542.0500000000002</v>
      </c>
    </row>
    <row r="228" spans="1:5" ht="17.25" customHeight="1" x14ac:dyDescent="0.25">
      <c r="A228" s="34">
        <v>231</v>
      </c>
      <c r="B228" s="9" t="s">
        <v>62</v>
      </c>
      <c r="C228" s="12">
        <f>12.3+134.5+69.7</f>
        <v>216.5</v>
      </c>
      <c r="D228" s="35">
        <v>18</v>
      </c>
      <c r="E228" s="40">
        <f t="shared" si="4"/>
        <v>3897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5</v>
      </c>
      <c r="D232" s="35">
        <v>130</v>
      </c>
      <c r="E232" s="40">
        <f t="shared" si="4"/>
        <v>650</v>
      </c>
    </row>
    <row r="233" spans="1:5" ht="17.25" customHeight="1" x14ac:dyDescent="0.25">
      <c r="A233" s="34">
        <v>236</v>
      </c>
      <c r="B233" s="9" t="s">
        <v>57</v>
      </c>
      <c r="C233" s="12">
        <f>165.4+50.7+46.6</f>
        <v>262.70000000000005</v>
      </c>
      <c r="D233" s="35">
        <v>36</v>
      </c>
      <c r="E233" s="40">
        <f t="shared" si="4"/>
        <v>9457.2000000000007</v>
      </c>
    </row>
    <row r="234" spans="1:5" ht="17.25" customHeight="1" x14ac:dyDescent="0.25">
      <c r="A234" s="34">
        <v>237</v>
      </c>
      <c r="B234" s="9" t="s">
        <v>56</v>
      </c>
      <c r="C234" s="14">
        <v>215.5</v>
      </c>
      <c r="D234" s="35">
        <v>177</v>
      </c>
      <c r="E234" s="40">
        <f t="shared" si="4"/>
        <v>38143.5</v>
      </c>
    </row>
    <row r="235" spans="1:5" ht="17.25" customHeight="1" x14ac:dyDescent="0.25">
      <c r="A235" s="34">
        <v>238</v>
      </c>
      <c r="B235" s="9" t="s">
        <v>50</v>
      </c>
      <c r="C235" s="12">
        <v>0</v>
      </c>
      <c r="D235" s="35">
        <v>160</v>
      </c>
      <c r="E235" s="40">
        <f t="shared" si="4"/>
        <v>0</v>
      </c>
    </row>
    <row r="236" spans="1:5" ht="17.25" customHeight="1" x14ac:dyDescent="0.25">
      <c r="A236" s="34">
        <v>239</v>
      </c>
      <c r="B236" s="9" t="s">
        <v>49</v>
      </c>
      <c r="C236" s="12">
        <v>3.66</v>
      </c>
      <c r="D236" s="35">
        <v>76</v>
      </c>
      <c r="E236" s="40">
        <f t="shared" si="4"/>
        <v>278.16000000000003</v>
      </c>
    </row>
    <row r="237" spans="1:5" ht="17.25" customHeight="1" x14ac:dyDescent="0.25">
      <c r="A237" s="34">
        <v>240</v>
      </c>
      <c r="B237" s="43" t="s">
        <v>48</v>
      </c>
      <c r="C237" s="12">
        <v>0</v>
      </c>
      <c r="D237" s="35">
        <v>120</v>
      </c>
      <c r="E237" s="40">
        <f t="shared" si="4"/>
        <v>0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f>7+26</f>
        <v>33</v>
      </c>
      <c r="D239" s="35">
        <v>26</v>
      </c>
      <c r="E239" s="40">
        <f t="shared" si="4"/>
        <v>858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1.22+3.1+4.46+38.4</f>
        <v>47.18</v>
      </c>
      <c r="D241" s="35">
        <v>98</v>
      </c>
      <c r="E241" s="40">
        <f t="shared" si="4"/>
        <v>4623.6400000000003</v>
      </c>
    </row>
    <row r="242" spans="1:5" ht="17.25" customHeight="1" x14ac:dyDescent="0.25">
      <c r="A242" s="34">
        <v>245</v>
      </c>
      <c r="B242" s="9" t="s">
        <v>43</v>
      </c>
      <c r="C242" s="12">
        <f>13.8-2.2+23.3</f>
        <v>34.900000000000006</v>
      </c>
      <c r="D242" s="35">
        <v>125</v>
      </c>
      <c r="E242" s="40">
        <f t="shared" si="4"/>
        <v>4362.5000000000009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14</v>
      </c>
      <c r="D244" s="35">
        <v>20</v>
      </c>
      <c r="E244" s="40">
        <f t="shared" si="4"/>
        <v>280</v>
      </c>
    </row>
    <row r="245" spans="1:5" ht="17.25" customHeight="1" x14ac:dyDescent="0.25">
      <c r="A245" s="34">
        <v>248</v>
      </c>
      <c r="B245" s="9" t="s">
        <v>30</v>
      </c>
      <c r="C245" s="12">
        <v>2.44</v>
      </c>
      <c r="D245" s="35">
        <v>360</v>
      </c>
      <c r="E245" s="40">
        <f t="shared" si="4"/>
        <v>878.4</v>
      </c>
    </row>
    <row r="246" spans="1:5" ht="17.25" customHeight="1" x14ac:dyDescent="0.25">
      <c r="A246" s="34">
        <v>249</v>
      </c>
      <c r="B246" s="9" t="s">
        <v>29</v>
      </c>
      <c r="C246" s="12">
        <v>0.44400000000000001</v>
      </c>
      <c r="D246" s="35">
        <v>184</v>
      </c>
      <c r="E246" s="40">
        <f t="shared" si="4"/>
        <v>81.695999999999998</v>
      </c>
    </row>
    <row r="247" spans="1:5" ht="17.25" customHeight="1" x14ac:dyDescent="0.25">
      <c r="A247" s="34">
        <v>250</v>
      </c>
      <c r="B247" s="45" t="s">
        <v>28</v>
      </c>
      <c r="C247" s="12">
        <v>0</v>
      </c>
      <c r="D247" s="35">
        <v>59</v>
      </c>
      <c r="E247" s="40">
        <f t="shared" si="4"/>
        <v>0</v>
      </c>
    </row>
    <row r="248" spans="1:5" ht="17.25" customHeight="1" x14ac:dyDescent="0.25">
      <c r="A248" s="34">
        <v>251</v>
      </c>
      <c r="B248" s="9" t="s">
        <v>98</v>
      </c>
      <c r="C248" s="12">
        <v>8.9700000000000006</v>
      </c>
      <c r="D248" s="35">
        <v>50</v>
      </c>
      <c r="E248" s="40">
        <f t="shared" si="4"/>
        <v>448.50000000000006</v>
      </c>
    </row>
    <row r="249" spans="1:5" ht="17.25" customHeight="1" x14ac:dyDescent="0.25">
      <c r="A249" s="34">
        <v>252</v>
      </c>
      <c r="B249" s="9" t="s">
        <v>99</v>
      </c>
      <c r="C249" s="12">
        <v>0</v>
      </c>
      <c r="D249" s="35">
        <v>45</v>
      </c>
      <c r="E249" s="40">
        <f t="shared" si="4"/>
        <v>0</v>
      </c>
    </row>
    <row r="250" spans="1:5" ht="17.25" customHeight="1" x14ac:dyDescent="0.25">
      <c r="A250" s="34">
        <v>253</v>
      </c>
      <c r="B250" s="9" t="s">
        <v>95</v>
      </c>
      <c r="C250" s="12">
        <f>3.066+1.025</f>
        <v>4.0909999999999993</v>
      </c>
      <c r="D250" s="35">
        <v>350</v>
      </c>
      <c r="E250" s="40">
        <f t="shared" si="4"/>
        <v>1431.8499999999997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2</v>
      </c>
      <c r="D251" s="39">
        <v>70</v>
      </c>
      <c r="E251" s="40">
        <f t="shared" si="4"/>
        <v>140</v>
      </c>
    </row>
    <row r="252" spans="1:5" s="6" customFormat="1" ht="17.25" customHeight="1" x14ac:dyDescent="0.25">
      <c r="A252" s="34">
        <v>255</v>
      </c>
      <c r="B252" s="44" t="s">
        <v>184</v>
      </c>
      <c r="C252" s="14">
        <v>0</v>
      </c>
      <c r="D252" s="39">
        <v>125</v>
      </c>
      <c r="E252" s="40">
        <f t="shared" si="4"/>
        <v>0</v>
      </c>
    </row>
    <row r="253" spans="1:5" ht="17.25" customHeight="1" x14ac:dyDescent="0.25">
      <c r="A253" s="34">
        <v>256</v>
      </c>
      <c r="B253" s="9" t="s">
        <v>25</v>
      </c>
      <c r="C253" s="12">
        <f>7.015+10+7.16+7.9</f>
        <v>32.075000000000003</v>
      </c>
      <c r="D253" s="35">
        <v>120</v>
      </c>
      <c r="E253" s="40">
        <f t="shared" si="4"/>
        <v>3849.0000000000005</v>
      </c>
    </row>
    <row r="254" spans="1:5" x14ac:dyDescent="0.25">
      <c r="A254" s="34">
        <v>257</v>
      </c>
      <c r="B254" s="9" t="s">
        <v>24</v>
      </c>
      <c r="C254" s="12">
        <f>3.812+7.2</f>
        <v>11.012</v>
      </c>
      <c r="D254" s="35">
        <v>160</v>
      </c>
      <c r="E254" s="40">
        <f t="shared" si="4"/>
        <v>1761.92</v>
      </c>
    </row>
    <row r="255" spans="1:5" x14ac:dyDescent="0.25">
      <c r="A255" s="34">
        <v>258</v>
      </c>
      <c r="B255" s="9" t="s">
        <v>185</v>
      </c>
      <c r="C255" s="12">
        <v>14.1</v>
      </c>
      <c r="D255" s="35">
        <v>10</v>
      </c>
      <c r="E255" s="40">
        <f t="shared" si="4"/>
        <v>141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2.44+5.66+24.8</f>
        <v>32.9</v>
      </c>
      <c r="D257" s="35">
        <v>350</v>
      </c>
      <c r="E257" s="40">
        <f t="shared" si="4"/>
        <v>11515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4.26+4.87+4.96+9.7</f>
        <v>23.79</v>
      </c>
      <c r="D259" s="35">
        <v>745</v>
      </c>
      <c r="E259" s="40">
        <f t="shared" si="4"/>
        <v>17723.55</v>
      </c>
    </row>
    <row r="260" spans="1:5" x14ac:dyDescent="0.25">
      <c r="A260" s="34">
        <v>263</v>
      </c>
      <c r="B260" s="9" t="s">
        <v>190</v>
      </c>
      <c r="C260" s="12">
        <v>1.56</v>
      </c>
      <c r="D260" s="35">
        <v>168</v>
      </c>
      <c r="E260" s="40">
        <f t="shared" si="4"/>
        <v>262.08</v>
      </c>
    </row>
    <row r="261" spans="1:5" x14ac:dyDescent="0.25">
      <c r="A261" s="34">
        <v>264</v>
      </c>
      <c r="B261" s="9" t="s">
        <v>191</v>
      </c>
      <c r="C261" s="12">
        <f>3.64+0.632</f>
        <v>4.2720000000000002</v>
      </c>
      <c r="D261" s="35">
        <v>555</v>
      </c>
      <c r="E261" s="40">
        <f t="shared" si="4"/>
        <v>2370.96</v>
      </c>
    </row>
    <row r="262" spans="1:5" x14ac:dyDescent="0.25">
      <c r="A262" s="34">
        <v>265</v>
      </c>
      <c r="B262" s="9" t="s">
        <v>192</v>
      </c>
      <c r="C262" s="41">
        <f>1.9+6.36+6.14+5.03</f>
        <v>19.43</v>
      </c>
      <c r="D262" s="35">
        <v>587</v>
      </c>
      <c r="E262" s="40">
        <f t="shared" si="4"/>
        <v>11405.41</v>
      </c>
    </row>
    <row r="263" spans="1:5" ht="15.75" thickBot="1" x14ac:dyDescent="0.3">
      <c r="A263" s="32"/>
      <c r="B263" s="22" t="s">
        <v>17</v>
      </c>
      <c r="C263" s="23">
        <f>SUM(C225:C262)</f>
        <v>1039.8939999999998</v>
      </c>
      <c r="D263" s="38"/>
      <c r="E263" s="37">
        <f>SUM(E225:E262)</f>
        <v>121707.41600000001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1.2+4.95+4.95</f>
        <v>11.100000000000001</v>
      </c>
      <c r="D265" s="35">
        <v>341</v>
      </c>
      <c r="E265" s="40">
        <f t="shared" ref="E265:E329" si="5">C265*D265</f>
        <v>3785.1000000000004</v>
      </c>
    </row>
    <row r="266" spans="1:5" x14ac:dyDescent="0.25">
      <c r="A266" s="34">
        <v>267</v>
      </c>
      <c r="B266" s="9" t="s">
        <v>194</v>
      </c>
      <c r="C266" s="12">
        <f>3.28+0.836</f>
        <v>4.1159999999999997</v>
      </c>
      <c r="D266" s="35">
        <v>659</v>
      </c>
      <c r="E266" s="40">
        <f t="shared" si="5"/>
        <v>2712.444</v>
      </c>
    </row>
    <row r="267" spans="1:5" x14ac:dyDescent="0.25">
      <c r="A267" s="34">
        <v>268</v>
      </c>
      <c r="B267" s="9" t="s">
        <v>195</v>
      </c>
      <c r="C267" s="12">
        <f>2.38+0.624+3.86</f>
        <v>6.8639999999999999</v>
      </c>
      <c r="D267" s="35">
        <v>689</v>
      </c>
      <c r="E267" s="40">
        <f t="shared" si="5"/>
        <v>4729.2960000000003</v>
      </c>
    </row>
    <row r="268" spans="1:5" x14ac:dyDescent="0.25">
      <c r="A268" s="34">
        <v>269</v>
      </c>
      <c r="B268" s="9" t="s">
        <v>126</v>
      </c>
      <c r="C268" s="12">
        <v>9</v>
      </c>
      <c r="D268" s="35">
        <v>810</v>
      </c>
      <c r="E268" s="40">
        <f t="shared" si="5"/>
        <v>7290</v>
      </c>
    </row>
    <row r="269" spans="1:5" x14ac:dyDescent="0.25">
      <c r="A269" s="34">
        <v>270</v>
      </c>
      <c r="B269" s="9" t="s">
        <v>125</v>
      </c>
      <c r="C269" s="12">
        <f>1.3+5.07</f>
        <v>6.37</v>
      </c>
      <c r="D269" s="35">
        <v>741</v>
      </c>
      <c r="E269" s="40">
        <f t="shared" si="5"/>
        <v>4720.17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5"/>
        <v>0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v>84.7</v>
      </c>
      <c r="D272" s="35">
        <v>280</v>
      </c>
      <c r="E272" s="40">
        <f t="shared" si="5"/>
        <v>23716</v>
      </c>
    </row>
    <row r="273" spans="1:5" x14ac:dyDescent="0.25">
      <c r="A273" s="34">
        <v>274</v>
      </c>
      <c r="B273" s="9" t="s">
        <v>121</v>
      </c>
      <c r="C273" s="12">
        <v>4.22</v>
      </c>
      <c r="D273" s="35">
        <v>644</v>
      </c>
      <c r="E273" s="40">
        <f t="shared" si="5"/>
        <v>2717.68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5"/>
        <v>8482.5</v>
      </c>
    </row>
    <row r="275" spans="1:5" x14ac:dyDescent="0.25">
      <c r="A275" s="34">
        <v>276</v>
      </c>
      <c r="B275" s="9" t="s">
        <v>119</v>
      </c>
      <c r="C275" s="12">
        <f>3.38+25.4</f>
        <v>28.779999999999998</v>
      </c>
      <c r="D275" s="35">
        <v>95</v>
      </c>
      <c r="E275" s="40">
        <f t="shared" si="5"/>
        <v>2734.1</v>
      </c>
    </row>
    <row r="276" spans="1:5" x14ac:dyDescent="0.25">
      <c r="A276" s="34">
        <v>277</v>
      </c>
      <c r="B276" s="9" t="s">
        <v>286</v>
      </c>
      <c r="C276" s="12">
        <v>20</v>
      </c>
      <c r="D276" s="35">
        <v>28</v>
      </c>
      <c r="E276" s="40">
        <f t="shared" si="5"/>
        <v>560</v>
      </c>
    </row>
    <row r="277" spans="1:5" x14ac:dyDescent="0.25">
      <c r="A277" s="34">
        <v>278</v>
      </c>
      <c r="B277" s="9" t="s">
        <v>118</v>
      </c>
      <c r="C277" s="12">
        <f>1.22+20.7</f>
        <v>21.919999999999998</v>
      </c>
      <c r="D277" s="35">
        <v>442</v>
      </c>
      <c r="E277" s="40">
        <f t="shared" si="5"/>
        <v>9688.64</v>
      </c>
    </row>
    <row r="278" spans="1:5" x14ac:dyDescent="0.25">
      <c r="A278" s="34">
        <v>279</v>
      </c>
      <c r="B278" s="9" t="s">
        <v>116</v>
      </c>
      <c r="C278" s="12">
        <f>167.4+112.7</f>
        <v>280.10000000000002</v>
      </c>
      <c r="D278" s="35">
        <v>164</v>
      </c>
      <c r="E278" s="40">
        <f t="shared" si="5"/>
        <v>45936.4</v>
      </c>
    </row>
    <row r="279" spans="1:5" x14ac:dyDescent="0.25">
      <c r="A279" s="34">
        <v>280</v>
      </c>
      <c r="B279" s="9" t="s">
        <v>115</v>
      </c>
      <c r="C279" s="12">
        <v>24.9</v>
      </c>
      <c r="D279" s="35">
        <v>600</v>
      </c>
      <c r="E279" s="40">
        <f t="shared" si="5"/>
        <v>14940</v>
      </c>
    </row>
    <row r="280" spans="1:5" x14ac:dyDescent="0.25">
      <c r="A280" s="34">
        <v>281</v>
      </c>
      <c r="B280" s="9" t="s">
        <v>114</v>
      </c>
      <c r="C280" s="12">
        <v>0</v>
      </c>
      <c r="D280" s="35">
        <v>900</v>
      </c>
      <c r="E280" s="40">
        <f t="shared" si="5"/>
        <v>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f>34.4+148.2</f>
        <v>182.6</v>
      </c>
      <c r="D284" s="35">
        <v>68</v>
      </c>
      <c r="E284" s="40">
        <f t="shared" si="5"/>
        <v>12416.8</v>
      </c>
    </row>
    <row r="285" spans="1:5" x14ac:dyDescent="0.25">
      <c r="A285" s="34">
        <v>286</v>
      </c>
      <c r="B285" s="9" t="s">
        <v>276</v>
      </c>
      <c r="C285" s="12">
        <v>0</v>
      </c>
      <c r="D285" s="35">
        <v>80</v>
      </c>
      <c r="E285" s="40">
        <f t="shared" si="5"/>
        <v>0</v>
      </c>
    </row>
    <row r="286" spans="1:5" x14ac:dyDescent="0.25">
      <c r="A286" s="34">
        <v>287</v>
      </c>
      <c r="B286" s="9" t="s">
        <v>277</v>
      </c>
      <c r="C286" s="12">
        <v>10</v>
      </c>
      <c r="D286" s="35">
        <v>46</v>
      </c>
      <c r="E286" s="40">
        <f t="shared" si="5"/>
        <v>460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5"/>
        <v>2200</v>
      </c>
    </row>
    <row r="288" spans="1:5" x14ac:dyDescent="0.25">
      <c r="A288" s="34">
        <v>289</v>
      </c>
      <c r="B288" s="9" t="s">
        <v>280</v>
      </c>
      <c r="C288" s="12">
        <v>11</v>
      </c>
      <c r="D288" s="35">
        <v>80</v>
      </c>
      <c r="E288" s="40">
        <f t="shared" si="5"/>
        <v>880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10</v>
      </c>
      <c r="D291" s="35">
        <v>85</v>
      </c>
      <c r="E291" s="40">
        <f t="shared" si="5"/>
        <v>850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5"/>
        <v>183</v>
      </c>
    </row>
    <row r="293" spans="1:5" x14ac:dyDescent="0.25">
      <c r="A293" s="34">
        <v>294</v>
      </c>
      <c r="B293" s="9" t="s">
        <v>287</v>
      </c>
      <c r="C293" s="12">
        <v>5</v>
      </c>
      <c r="D293" s="35">
        <v>79</v>
      </c>
      <c r="E293" s="40">
        <f t="shared" si="5"/>
        <v>395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43" t="s">
        <v>289</v>
      </c>
      <c r="C295" s="12">
        <v>0</v>
      </c>
      <c r="D295" s="35">
        <v>90</v>
      </c>
      <c r="E295" s="40">
        <f t="shared" si="5"/>
        <v>0</v>
      </c>
    </row>
    <row r="296" spans="1:5" x14ac:dyDescent="0.25">
      <c r="A296" s="34">
        <v>297</v>
      </c>
      <c r="B296" s="9" t="s">
        <v>291</v>
      </c>
      <c r="C296" s="12">
        <f>6.18+0.52+40.8</f>
        <v>47.5</v>
      </c>
      <c r="D296" s="35">
        <v>44</v>
      </c>
      <c r="E296" s="40">
        <f t="shared" si="5"/>
        <v>2090</v>
      </c>
    </row>
    <row r="297" spans="1:5" x14ac:dyDescent="0.25">
      <c r="A297" s="34">
        <v>298</v>
      </c>
      <c r="B297" s="9" t="s">
        <v>292</v>
      </c>
      <c r="C297" s="12">
        <v>18.2</v>
      </c>
      <c r="D297" s="35">
        <v>400</v>
      </c>
      <c r="E297" s="40">
        <f t="shared" si="5"/>
        <v>7280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5"/>
        <v>14310</v>
      </c>
    </row>
    <row r="299" spans="1:5" x14ac:dyDescent="0.25">
      <c r="A299" s="34">
        <v>300</v>
      </c>
      <c r="B299" s="9" t="s">
        <v>294</v>
      </c>
      <c r="C299" s="12">
        <v>54</v>
      </c>
      <c r="D299" s="35">
        <v>565</v>
      </c>
      <c r="E299" s="40">
        <f t="shared" si="5"/>
        <v>30510</v>
      </c>
    </row>
    <row r="300" spans="1:5" x14ac:dyDescent="0.25">
      <c r="A300" s="34">
        <v>301</v>
      </c>
      <c r="B300" s="9" t="s">
        <v>295</v>
      </c>
      <c r="C300" s="12">
        <v>28.6</v>
      </c>
      <c r="D300" s="35">
        <v>460</v>
      </c>
      <c r="E300" s="40">
        <f t="shared" si="5"/>
        <v>13156</v>
      </c>
    </row>
    <row r="301" spans="1:5" x14ac:dyDescent="0.25">
      <c r="A301" s="34">
        <v>302</v>
      </c>
      <c r="B301" s="9" t="s">
        <v>296</v>
      </c>
      <c r="C301" s="12">
        <v>36.4</v>
      </c>
      <c r="D301" s="35">
        <v>490</v>
      </c>
      <c r="E301" s="40">
        <f t="shared" si="5"/>
        <v>17836</v>
      </c>
    </row>
    <row r="302" spans="1:5" x14ac:dyDescent="0.25">
      <c r="A302" s="34">
        <v>303</v>
      </c>
      <c r="B302" s="9" t="s">
        <v>297</v>
      </c>
      <c r="C302" s="12">
        <v>18.2</v>
      </c>
      <c r="D302" s="35">
        <v>400</v>
      </c>
      <c r="E302" s="40">
        <f t="shared" si="5"/>
        <v>7280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0.36+12.67</f>
        <v>13.03</v>
      </c>
      <c r="D304" s="35">
        <v>82</v>
      </c>
      <c r="E304" s="40">
        <f t="shared" si="5"/>
        <v>1068.46</v>
      </c>
    </row>
    <row r="305" spans="1:5" x14ac:dyDescent="0.25">
      <c r="A305" s="34">
        <v>306</v>
      </c>
      <c r="B305" s="9" t="s">
        <v>300</v>
      </c>
      <c r="C305" s="12">
        <f>0.907+0.907</f>
        <v>1.8140000000000001</v>
      </c>
      <c r="D305" s="35">
        <v>212</v>
      </c>
      <c r="E305" s="40">
        <f t="shared" si="5"/>
        <v>384.56799999999998</v>
      </c>
    </row>
    <row r="306" spans="1:5" x14ac:dyDescent="0.25">
      <c r="A306" s="34">
        <v>307</v>
      </c>
      <c r="B306" s="9" t="s">
        <v>301</v>
      </c>
      <c r="C306" s="12">
        <f>107.9+84.1+27.4</f>
        <v>219.4</v>
      </c>
      <c r="D306" s="35">
        <v>116</v>
      </c>
      <c r="E306" s="40">
        <f t="shared" si="5"/>
        <v>25450.400000000001</v>
      </c>
    </row>
    <row r="307" spans="1:5" x14ac:dyDescent="0.25">
      <c r="A307" s="34">
        <v>308</v>
      </c>
      <c r="B307" s="9" t="s">
        <v>302</v>
      </c>
      <c r="C307" s="12">
        <f>0.98+16.7</f>
        <v>17.68</v>
      </c>
      <c r="D307" s="35">
        <v>210</v>
      </c>
      <c r="E307" s="40">
        <f t="shared" si="5"/>
        <v>3712.7999999999997</v>
      </c>
    </row>
    <row r="308" spans="1:5" ht="15.75" thickBot="1" x14ac:dyDescent="0.3">
      <c r="A308" s="32"/>
      <c r="B308" s="22" t="s">
        <v>17</v>
      </c>
      <c r="C308" s="23">
        <f>SUM(C265:C307)</f>
        <v>1248.7340000000002</v>
      </c>
      <c r="D308" s="38"/>
      <c r="E308" s="37">
        <f>SUM(E265:E307)</f>
        <v>273210.95799999998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46</v>
      </c>
      <c r="D311" s="35">
        <v>110</v>
      </c>
      <c r="E311" s="40">
        <f t="shared" si="5"/>
        <v>5060</v>
      </c>
    </row>
    <row r="312" spans="1:5" x14ac:dyDescent="0.25">
      <c r="A312" s="34">
        <v>311</v>
      </c>
      <c r="B312" s="9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2.94</v>
      </c>
      <c r="D313" s="35">
        <v>775</v>
      </c>
      <c r="E313" s="40">
        <f t="shared" si="5"/>
        <v>2278.5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v>40.86</v>
      </c>
      <c r="D315" s="35">
        <v>50</v>
      </c>
      <c r="E315" s="40">
        <f t="shared" si="5"/>
        <v>2043</v>
      </c>
    </row>
    <row r="316" spans="1:5" x14ac:dyDescent="0.25">
      <c r="A316" s="34">
        <v>315</v>
      </c>
      <c r="B316" s="9" t="s">
        <v>309</v>
      </c>
      <c r="C316" s="12">
        <f>3.08+6</f>
        <v>9.08</v>
      </c>
      <c r="D316" s="35">
        <v>64</v>
      </c>
      <c r="E316" s="40">
        <f t="shared" si="5"/>
        <v>581.12</v>
      </c>
    </row>
    <row r="317" spans="1:5" x14ac:dyDescent="0.25">
      <c r="A317" s="34">
        <v>316</v>
      </c>
      <c r="B317" s="9" t="s">
        <v>310</v>
      </c>
      <c r="C317" s="12">
        <f>1.66+4.52</f>
        <v>6.18</v>
      </c>
      <c r="D317" s="35">
        <v>170</v>
      </c>
      <c r="E317" s="40">
        <f t="shared" si="5"/>
        <v>1050.5999999999999</v>
      </c>
    </row>
    <row r="318" spans="1:5" x14ac:dyDescent="0.25">
      <c r="A318" s="34">
        <v>317</v>
      </c>
      <c r="B318" s="9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2.85+1.56</f>
        <v>4.41</v>
      </c>
      <c r="D319" s="35">
        <v>195</v>
      </c>
      <c r="E319" s="40">
        <f t="shared" si="5"/>
        <v>859.95</v>
      </c>
    </row>
    <row r="320" spans="1:5" x14ac:dyDescent="0.25">
      <c r="A320" s="34">
        <v>319</v>
      </c>
      <c r="B320" s="9" t="s">
        <v>314</v>
      </c>
      <c r="C320" s="12">
        <f>85+60+60+60</f>
        <v>265</v>
      </c>
      <c r="D320" s="35">
        <v>5</v>
      </c>
      <c r="E320" s="40">
        <f t="shared" si="5"/>
        <v>1325</v>
      </c>
    </row>
    <row r="321" spans="1:5" x14ac:dyDescent="0.25">
      <c r="A321" s="34">
        <v>320</v>
      </c>
      <c r="B321" s="9" t="s">
        <v>315</v>
      </c>
      <c r="C321" s="12">
        <f>1.814+1.814</f>
        <v>3.6280000000000001</v>
      </c>
      <c r="D321" s="35">
        <v>242</v>
      </c>
      <c r="E321" s="40">
        <f t="shared" si="5"/>
        <v>877.976</v>
      </c>
    </row>
    <row r="322" spans="1:5" x14ac:dyDescent="0.25">
      <c r="A322" s="34">
        <v>321</v>
      </c>
      <c r="B322" s="9" t="s">
        <v>316</v>
      </c>
      <c r="C322" s="12">
        <f>0.88+0.4+3.3</f>
        <v>4.58</v>
      </c>
      <c r="D322" s="35">
        <v>290</v>
      </c>
      <c r="E322" s="40">
        <f t="shared" si="5"/>
        <v>1328.2</v>
      </c>
    </row>
    <row r="323" spans="1:5" x14ac:dyDescent="0.25">
      <c r="A323" s="34">
        <v>322</v>
      </c>
      <c r="B323" s="9" t="s">
        <v>317</v>
      </c>
      <c r="C323" s="12">
        <v>8</v>
      </c>
      <c r="D323" s="35">
        <v>40</v>
      </c>
      <c r="E323" s="40">
        <f t="shared" si="5"/>
        <v>320</v>
      </c>
    </row>
    <row r="324" spans="1:5" x14ac:dyDescent="0.25">
      <c r="A324" s="34">
        <v>323</v>
      </c>
      <c r="B324" s="9" t="s">
        <v>318</v>
      </c>
      <c r="C324" s="12">
        <v>6</v>
      </c>
      <c r="D324" s="35">
        <v>70</v>
      </c>
      <c r="E324" s="40">
        <f t="shared" si="5"/>
        <v>420</v>
      </c>
    </row>
    <row r="325" spans="1:5" ht="18" customHeight="1" x14ac:dyDescent="0.25">
      <c r="A325" s="34">
        <v>324</v>
      </c>
      <c r="B325" s="9" t="s">
        <v>319</v>
      </c>
      <c r="C325" s="12">
        <f>4.66+4.74</f>
        <v>9.4</v>
      </c>
      <c r="D325" s="35">
        <v>400</v>
      </c>
      <c r="E325" s="40">
        <f t="shared" si="5"/>
        <v>3760</v>
      </c>
    </row>
    <row r="326" spans="1:5" ht="18" customHeight="1" x14ac:dyDescent="0.25">
      <c r="A326" s="34">
        <v>325</v>
      </c>
      <c r="B326" s="9" t="s">
        <v>320</v>
      </c>
      <c r="C326" s="12">
        <v>110</v>
      </c>
      <c r="D326" s="35">
        <v>360</v>
      </c>
      <c r="E326" s="40">
        <f t="shared" si="5"/>
        <v>39600</v>
      </c>
    </row>
    <row r="327" spans="1:5" ht="18" customHeight="1" x14ac:dyDescent="0.25">
      <c r="A327" s="34">
        <v>326</v>
      </c>
      <c r="B327" s="9" t="s">
        <v>321</v>
      </c>
      <c r="C327" s="12">
        <v>2.4</v>
      </c>
      <c r="D327" s="35">
        <v>235</v>
      </c>
      <c r="E327" s="40">
        <f t="shared" si="5"/>
        <v>564</v>
      </c>
    </row>
    <row r="328" spans="1:5" ht="18" customHeight="1" x14ac:dyDescent="0.25">
      <c r="A328" s="34">
        <v>327</v>
      </c>
      <c r="B328" s="9" t="s">
        <v>170</v>
      </c>
      <c r="C328" s="12">
        <v>1279</v>
      </c>
      <c r="D328" s="35">
        <v>114</v>
      </c>
      <c r="E328" s="40">
        <f t="shared" si="5"/>
        <v>145806</v>
      </c>
    </row>
    <row r="329" spans="1:5" ht="18" customHeight="1" x14ac:dyDescent="0.25">
      <c r="A329" s="34">
        <v>328</v>
      </c>
      <c r="B329" s="9" t="s">
        <v>322</v>
      </c>
      <c r="C329" s="12">
        <f>103.3+119.4+91.1+122.4+92.1</f>
        <v>528.29999999999995</v>
      </c>
      <c r="D329" s="35">
        <v>116</v>
      </c>
      <c r="E329" s="40">
        <f t="shared" si="5"/>
        <v>61282.799999999996</v>
      </c>
    </row>
    <row r="330" spans="1:5" ht="18" customHeight="1" x14ac:dyDescent="0.25">
      <c r="A330" s="34">
        <v>329</v>
      </c>
      <c r="B330" s="9" t="s">
        <v>323</v>
      </c>
      <c r="C330" s="12">
        <f>8.3+40.9</f>
        <v>49.2</v>
      </c>
      <c r="D330" s="35">
        <v>450</v>
      </c>
      <c r="E330" s="40">
        <f t="shared" ref="E330:E334" si="7">C330*D330</f>
        <v>22140</v>
      </c>
    </row>
    <row r="331" spans="1:5" ht="18" customHeight="1" x14ac:dyDescent="0.25">
      <c r="A331" s="34">
        <v>330</v>
      </c>
      <c r="B331" s="9" t="s">
        <v>325</v>
      </c>
      <c r="C331" s="12">
        <v>52.4</v>
      </c>
      <c r="D331" s="35">
        <v>116</v>
      </c>
      <c r="E331" s="40">
        <f t="shared" si="7"/>
        <v>6078.4</v>
      </c>
    </row>
    <row r="332" spans="1:5" ht="18" customHeight="1" x14ac:dyDescent="0.25">
      <c r="A332" s="34">
        <v>331</v>
      </c>
      <c r="B332" s="9" t="s">
        <v>326</v>
      </c>
      <c r="C332" s="12">
        <f>94.5+2.8</f>
        <v>97.3</v>
      </c>
      <c r="D332" s="35">
        <v>3</v>
      </c>
      <c r="E332" s="40">
        <f t="shared" si="7"/>
        <v>291.89999999999998</v>
      </c>
    </row>
    <row r="333" spans="1:5" ht="18" customHeight="1" x14ac:dyDescent="0.25">
      <c r="A333" s="34">
        <v>332</v>
      </c>
      <c r="B333" s="9" t="s">
        <v>327</v>
      </c>
      <c r="C333" s="12">
        <v>136.9</v>
      </c>
      <c r="D333" s="35">
        <v>110</v>
      </c>
      <c r="E333" s="40">
        <f t="shared" si="7"/>
        <v>15059</v>
      </c>
    </row>
    <row r="334" spans="1:5" ht="18" customHeight="1" x14ac:dyDescent="0.25">
      <c r="A334" s="34">
        <v>333</v>
      </c>
      <c r="B334" s="9" t="s">
        <v>328</v>
      </c>
      <c r="C334" s="12">
        <v>5.3</v>
      </c>
      <c r="D334" s="35">
        <v>50</v>
      </c>
      <c r="E334" s="40">
        <f t="shared" si="7"/>
        <v>265</v>
      </c>
    </row>
    <row r="335" spans="1:5" ht="17.25" customHeight="1" x14ac:dyDescent="0.3">
      <c r="A335" s="26"/>
      <c r="B335" s="22" t="s">
        <v>17</v>
      </c>
      <c r="C335" s="46">
        <f>SUM(C310:C334)</f>
        <v>2666.8780000000006</v>
      </c>
      <c r="D335" s="2"/>
      <c r="E335" s="24">
        <f>SUM(E310:E334)</f>
        <v>310991.44600000005</v>
      </c>
    </row>
    <row r="336" spans="1:5" ht="18.75" x14ac:dyDescent="0.3">
      <c r="C336" s="18"/>
      <c r="E336" s="2"/>
    </row>
    <row r="337" spans="1:5" ht="18.75" x14ac:dyDescent="0.3">
      <c r="B337" s="3" t="s">
        <v>270</v>
      </c>
      <c r="C337" s="42">
        <f>C335+C308+C263+C223+C179+C134+C89+C44</f>
        <v>18910.587</v>
      </c>
      <c r="D337" s="25" t="s">
        <v>271</v>
      </c>
      <c r="E337" s="2">
        <f>E335+E308+E263+E223+E179+E134+E89+E44</f>
        <v>2112071.9180000001</v>
      </c>
    </row>
    <row r="338" spans="1:5" x14ac:dyDescent="0.25">
      <c r="C338" s="18"/>
    </row>
    <row r="339" spans="1:5" x14ac:dyDescent="0.25">
      <c r="A339" s="8">
        <v>289</v>
      </c>
      <c r="B339" s="9" t="s">
        <v>117</v>
      </c>
      <c r="C339" s="12">
        <v>684</v>
      </c>
      <c r="D339" s="17">
        <v>1E-3</v>
      </c>
      <c r="E339" s="11">
        <f t="shared" ref="E339" si="8">C339*D339</f>
        <v>0.68400000000000005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opLeftCell="A306" zoomScaleNormal="100" workbookViewId="0">
      <selection activeCell="B16" sqref="B16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6" t="s">
        <v>329</v>
      </c>
      <c r="B1" s="76"/>
      <c r="C1" s="76"/>
      <c r="D1" s="76"/>
      <c r="E1" s="76"/>
      <c r="F1" s="4"/>
      <c r="G1" s="4"/>
    </row>
    <row r="2" spans="1:7" ht="24" thickBot="1" x14ac:dyDescent="0.4">
      <c r="A2" s="77" t="s">
        <v>0</v>
      </c>
      <c r="B2" s="77"/>
      <c r="C2" s="77"/>
      <c r="D2" s="77"/>
      <c r="E2" s="77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5.75+2.952+5.5+31.5</f>
        <v>45.701999999999998</v>
      </c>
      <c r="D4" s="35">
        <v>170</v>
      </c>
      <c r="E4" s="40">
        <f>C4*D4</f>
        <v>7769.34</v>
      </c>
    </row>
    <row r="5" spans="1:7" x14ac:dyDescent="0.25">
      <c r="A5" s="31">
        <v>2</v>
      </c>
      <c r="B5" s="9" t="s">
        <v>103</v>
      </c>
      <c r="C5" s="12">
        <f>1.88+7.2</f>
        <v>9.08</v>
      </c>
      <c r="D5" s="35">
        <v>118</v>
      </c>
      <c r="E5" s="40">
        <f t="shared" ref="E5:E68" si="0">C5*D5</f>
        <v>1071.44</v>
      </c>
    </row>
    <row r="6" spans="1:7" x14ac:dyDescent="0.25">
      <c r="A6" s="31">
        <v>3</v>
      </c>
      <c r="B6" s="9" t="s">
        <v>102</v>
      </c>
      <c r="C6" s="12">
        <f>15.36+1.2</f>
        <v>16.559999999999999</v>
      </c>
      <c r="D6" s="35">
        <v>98</v>
      </c>
      <c r="E6" s="40">
        <f t="shared" si="0"/>
        <v>1622.8799999999999</v>
      </c>
    </row>
    <row r="7" spans="1:7" x14ac:dyDescent="0.25">
      <c r="A7" s="31">
        <v>4</v>
      </c>
      <c r="B7" s="9" t="s">
        <v>104</v>
      </c>
      <c r="C7" s="12">
        <f>10.54+1.3+15.5</f>
        <v>27.34</v>
      </c>
      <c r="D7" s="35">
        <v>116</v>
      </c>
      <c r="E7" s="40">
        <f t="shared" si="0"/>
        <v>3171.44</v>
      </c>
    </row>
    <row r="8" spans="1:7" x14ac:dyDescent="0.25">
      <c r="A8" s="31">
        <v>5</v>
      </c>
      <c r="B8" s="9" t="s">
        <v>105</v>
      </c>
      <c r="C8" s="12">
        <v>1.36</v>
      </c>
      <c r="D8" s="35">
        <v>98</v>
      </c>
      <c r="E8" s="40">
        <f t="shared" si="0"/>
        <v>133.28</v>
      </c>
    </row>
    <row r="9" spans="1:7" x14ac:dyDescent="0.25">
      <c r="A9" s="31">
        <v>6</v>
      </c>
      <c r="B9" s="9" t="s">
        <v>106</v>
      </c>
      <c r="C9" s="12">
        <f>15.9+0.615+24.5</f>
        <v>41.015000000000001</v>
      </c>
      <c r="D9" s="35">
        <v>95</v>
      </c>
      <c r="E9" s="40">
        <f t="shared" si="0"/>
        <v>3896.4250000000002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43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v>1.5</v>
      </c>
      <c r="D15" s="35">
        <v>630</v>
      </c>
      <c r="E15" s="40">
        <f t="shared" si="0"/>
        <v>945</v>
      </c>
    </row>
    <row r="16" spans="1:7" x14ac:dyDescent="0.25">
      <c r="A16" s="31">
        <v>15</v>
      </c>
      <c r="B16" s="9" t="s">
        <v>96</v>
      </c>
      <c r="C16" s="12">
        <f>4.69+0.6+9.2</f>
        <v>14.489999999999998</v>
      </c>
      <c r="D16" s="35">
        <v>110</v>
      </c>
      <c r="E16" s="40">
        <f t="shared" si="0"/>
        <v>1593.8999999999999</v>
      </c>
    </row>
    <row r="17" spans="1:5" x14ac:dyDescent="0.25">
      <c r="A17" s="31">
        <v>16</v>
      </c>
      <c r="B17" s="9" t="s">
        <v>7</v>
      </c>
      <c r="C17" s="12">
        <v>11</v>
      </c>
      <c r="D17" s="35">
        <v>165</v>
      </c>
      <c r="E17" s="40">
        <f t="shared" si="0"/>
        <v>1815</v>
      </c>
    </row>
    <row r="18" spans="1:5" x14ac:dyDescent="0.25">
      <c r="A18" s="31">
        <v>17</v>
      </c>
      <c r="B18" s="9" t="s">
        <v>6</v>
      </c>
      <c r="C18" s="12">
        <v>626</v>
      </c>
      <c r="D18" s="35">
        <v>12</v>
      </c>
      <c r="E18" s="40">
        <f t="shared" si="0"/>
        <v>7512</v>
      </c>
    </row>
    <row r="19" spans="1:5" x14ac:dyDescent="0.25">
      <c r="A19" s="31">
        <v>18</v>
      </c>
      <c r="B19" s="9" t="s">
        <v>94</v>
      </c>
      <c r="C19" s="12">
        <v>3</v>
      </c>
      <c r="D19" s="35">
        <v>50</v>
      </c>
      <c r="E19" s="40">
        <f t="shared" si="0"/>
        <v>150</v>
      </c>
    </row>
    <row r="20" spans="1:5" x14ac:dyDescent="0.25">
      <c r="A20" s="31">
        <v>19</v>
      </c>
      <c r="B20" s="9" t="s">
        <v>129</v>
      </c>
      <c r="C20" s="12">
        <v>1.5</v>
      </c>
      <c r="D20" s="35">
        <v>75</v>
      </c>
      <c r="E20" s="40">
        <f t="shared" si="0"/>
        <v>112.5</v>
      </c>
    </row>
    <row r="21" spans="1:5" x14ac:dyDescent="0.25">
      <c r="A21" s="31">
        <v>20</v>
      </c>
      <c r="B21" s="9" t="s">
        <v>20</v>
      </c>
      <c r="C21" s="12">
        <v>4</v>
      </c>
      <c r="D21" s="35">
        <v>46</v>
      </c>
      <c r="E21" s="40">
        <f t="shared" si="0"/>
        <v>184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6</v>
      </c>
      <c r="D23" s="35">
        <v>82</v>
      </c>
      <c r="E23" s="40">
        <f t="shared" si="0"/>
        <v>492</v>
      </c>
    </row>
    <row r="24" spans="1:5" x14ac:dyDescent="0.25">
      <c r="A24" s="31">
        <v>23</v>
      </c>
      <c r="B24" s="9" t="s">
        <v>10</v>
      </c>
      <c r="C24" s="12">
        <v>5</v>
      </c>
      <c r="D24" s="35">
        <v>82</v>
      </c>
      <c r="E24" s="40">
        <f t="shared" si="0"/>
        <v>410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21</v>
      </c>
      <c r="D27" s="35">
        <v>12</v>
      </c>
      <c r="E27" s="40">
        <f t="shared" si="0"/>
        <v>252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13.66</v>
      </c>
      <c r="D30" s="35">
        <v>104</v>
      </c>
      <c r="E30" s="40">
        <f t="shared" si="0"/>
        <v>1420.64</v>
      </c>
    </row>
    <row r="31" spans="1:5" x14ac:dyDescent="0.25">
      <c r="A31" s="31">
        <v>31</v>
      </c>
      <c r="B31" s="9" t="s">
        <v>132</v>
      </c>
      <c r="C31" s="12">
        <f>3.8+1.77</f>
        <v>5.57</v>
      </c>
      <c r="D31" s="35">
        <v>590</v>
      </c>
      <c r="E31" s="40">
        <f t="shared" si="0"/>
        <v>3286.3</v>
      </c>
    </row>
    <row r="32" spans="1:5" x14ac:dyDescent="0.25">
      <c r="A32" s="31">
        <v>32</v>
      </c>
      <c r="B32" s="9" t="s">
        <v>133</v>
      </c>
      <c r="C32" s="12">
        <f>5.12+5.345</f>
        <v>10.465</v>
      </c>
      <c r="D32" s="35">
        <v>103</v>
      </c>
      <c r="E32" s="40">
        <f t="shared" si="0"/>
        <v>1077.895</v>
      </c>
    </row>
    <row r="33" spans="1:5" x14ac:dyDescent="0.25">
      <c r="A33" s="31">
        <v>33</v>
      </c>
      <c r="B33" s="9" t="s">
        <v>134</v>
      </c>
      <c r="C33" s="12">
        <v>16.5</v>
      </c>
      <c r="D33" s="35">
        <v>135</v>
      </c>
      <c r="E33" s="40">
        <f t="shared" si="0"/>
        <v>2227.5</v>
      </c>
    </row>
    <row r="34" spans="1:5" x14ac:dyDescent="0.25">
      <c r="A34" s="31">
        <v>34</v>
      </c>
      <c r="B34" s="9" t="s">
        <v>135</v>
      </c>
      <c r="C34" s="12">
        <f>5.84+2.145</f>
        <v>7.9849999999999994</v>
      </c>
      <c r="D34" s="35">
        <v>315</v>
      </c>
      <c r="E34" s="40">
        <f t="shared" si="0"/>
        <v>2515.2749999999996</v>
      </c>
    </row>
    <row r="35" spans="1:5" x14ac:dyDescent="0.25">
      <c r="A35" s="31">
        <v>35</v>
      </c>
      <c r="B35" s="9" t="s">
        <v>136</v>
      </c>
      <c r="C35" s="12">
        <f>1.52+0.8</f>
        <v>2.3200000000000003</v>
      </c>
      <c r="D35" s="35">
        <v>160</v>
      </c>
      <c r="E35" s="40">
        <f t="shared" si="0"/>
        <v>371.20000000000005</v>
      </c>
    </row>
    <row r="36" spans="1:5" x14ac:dyDescent="0.25">
      <c r="A36" s="31">
        <v>36</v>
      </c>
      <c r="B36" s="9" t="s">
        <v>137</v>
      </c>
      <c r="C36" s="12">
        <v>3.96</v>
      </c>
      <c r="D36" s="35">
        <v>112</v>
      </c>
      <c r="E36" s="40">
        <f t="shared" si="0"/>
        <v>443.52</v>
      </c>
    </row>
    <row r="37" spans="1:5" x14ac:dyDescent="0.25">
      <c r="A37" s="31">
        <v>37</v>
      </c>
      <c r="B37" s="9" t="s">
        <v>138</v>
      </c>
      <c r="C37" s="12">
        <v>25</v>
      </c>
      <c r="D37" s="35">
        <v>26</v>
      </c>
      <c r="E37" s="40">
        <f t="shared" si="0"/>
        <v>650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3.01</v>
      </c>
      <c r="D39" s="35">
        <v>70</v>
      </c>
      <c r="E39" s="40">
        <f t="shared" si="0"/>
        <v>210.7</v>
      </c>
    </row>
    <row r="40" spans="1:5" x14ac:dyDescent="0.25">
      <c r="A40" s="31">
        <v>40</v>
      </c>
      <c r="B40" s="9" t="s">
        <v>141</v>
      </c>
      <c r="C40" s="12">
        <f>9.62+56.35</f>
        <v>65.97</v>
      </c>
      <c r="D40" s="35">
        <v>140</v>
      </c>
      <c r="E40" s="40">
        <f t="shared" si="0"/>
        <v>9235.7999999999993</v>
      </c>
    </row>
    <row r="41" spans="1:5" x14ac:dyDescent="0.25">
      <c r="A41" s="31">
        <v>43</v>
      </c>
      <c r="B41" s="9" t="s">
        <v>142</v>
      </c>
      <c r="C41" s="12">
        <v>29</v>
      </c>
      <c r="D41" s="35">
        <v>50</v>
      </c>
      <c r="E41" s="40">
        <f t="shared" si="0"/>
        <v>1450</v>
      </c>
    </row>
    <row r="42" spans="1:5" x14ac:dyDescent="0.25">
      <c r="A42" s="31">
        <v>44</v>
      </c>
      <c r="B42" s="9" t="s">
        <v>143</v>
      </c>
      <c r="C42" s="12">
        <f>6.14+3</f>
        <v>9.14</v>
      </c>
      <c r="D42" s="35">
        <v>590</v>
      </c>
      <c r="E42" s="40">
        <f t="shared" si="0"/>
        <v>5392.6</v>
      </c>
    </row>
    <row r="43" spans="1:5" x14ac:dyDescent="0.25">
      <c r="A43" s="31">
        <v>45</v>
      </c>
      <c r="B43" s="9" t="s">
        <v>144</v>
      </c>
      <c r="C43" s="12">
        <v>5.15</v>
      </c>
      <c r="D43" s="35">
        <v>90</v>
      </c>
      <c r="E43" s="40">
        <f t="shared" si="0"/>
        <v>463.50000000000006</v>
      </c>
    </row>
    <row r="44" spans="1:5" ht="15.75" thickBot="1" x14ac:dyDescent="0.3">
      <c r="A44" s="7">
        <v>41</v>
      </c>
      <c r="B44" s="22" t="s">
        <v>17</v>
      </c>
      <c r="C44" s="23">
        <f>SUM(C4:C43)</f>
        <v>1043.2770000000003</v>
      </c>
      <c r="D44" s="15"/>
      <c r="E44" s="37">
        <f>SUM(E4:E43)</f>
        <v>60532.134999999987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43" t="s">
        <v>14</v>
      </c>
      <c r="C46" s="12">
        <v>0</v>
      </c>
      <c r="D46" s="35">
        <v>165</v>
      </c>
      <c r="E46" s="40">
        <f t="shared" si="0"/>
        <v>0</v>
      </c>
    </row>
    <row r="47" spans="1:5" x14ac:dyDescent="0.25">
      <c r="A47" s="31">
        <v>47</v>
      </c>
      <c r="B47" s="9" t="s">
        <v>55</v>
      </c>
      <c r="C47" s="12">
        <f>54*12.5+24+5.085+8.5+24.5+25.6+22.05+520.96+515.095+518.365+527.565+525.565+521.805</f>
        <v>3914.09</v>
      </c>
      <c r="D47" s="35">
        <v>125</v>
      </c>
      <c r="E47" s="40">
        <f t="shared" si="0"/>
        <v>489261.25</v>
      </c>
    </row>
    <row r="48" spans="1:5" x14ac:dyDescent="0.25">
      <c r="A48" s="31">
        <v>49</v>
      </c>
      <c r="B48" s="9" t="s">
        <v>145</v>
      </c>
      <c r="C48" s="12">
        <f>10.1+0.14+0.5</f>
        <v>10.74</v>
      </c>
      <c r="D48" s="35">
        <v>92</v>
      </c>
      <c r="E48" s="40">
        <f t="shared" si="0"/>
        <v>988.08</v>
      </c>
    </row>
    <row r="49" spans="1:5" x14ac:dyDescent="0.25">
      <c r="A49" s="31">
        <v>50</v>
      </c>
      <c r="B49" s="9" t="s">
        <v>146</v>
      </c>
      <c r="C49" s="12">
        <f>15+0.9+0.5</f>
        <v>16.399999999999999</v>
      </c>
      <c r="D49" s="35">
        <v>92</v>
      </c>
      <c r="E49" s="40">
        <f t="shared" si="0"/>
        <v>1508.8</v>
      </c>
    </row>
    <row r="50" spans="1:5" x14ac:dyDescent="0.25">
      <c r="A50" s="31">
        <v>51</v>
      </c>
      <c r="B50" s="9" t="s">
        <v>147</v>
      </c>
      <c r="C50" s="12">
        <f>15.54+0.532+22.1</f>
        <v>38.171999999999997</v>
      </c>
      <c r="D50" s="35">
        <v>214</v>
      </c>
      <c r="E50" s="40">
        <f t="shared" si="0"/>
        <v>8168.8079999999991</v>
      </c>
    </row>
    <row r="51" spans="1:5" x14ac:dyDescent="0.25">
      <c r="A51" s="31">
        <v>52</v>
      </c>
      <c r="B51" s="9" t="s">
        <v>148</v>
      </c>
      <c r="C51" s="12">
        <f>14.36+1.43+26</f>
        <v>41.79</v>
      </c>
      <c r="D51" s="35">
        <v>100</v>
      </c>
      <c r="E51" s="40">
        <f t="shared" si="0"/>
        <v>4179</v>
      </c>
    </row>
    <row r="52" spans="1:5" x14ac:dyDescent="0.25">
      <c r="A52" s="31">
        <v>53</v>
      </c>
      <c r="B52" s="9" t="s">
        <v>149</v>
      </c>
      <c r="C52" s="12">
        <f>4.5+9.05</f>
        <v>13.55</v>
      </c>
      <c r="D52" s="35">
        <v>82</v>
      </c>
      <c r="E52" s="40">
        <f t="shared" si="0"/>
        <v>1111.1000000000001</v>
      </c>
    </row>
    <row r="53" spans="1:5" x14ac:dyDescent="0.25">
      <c r="A53" s="31">
        <v>54</v>
      </c>
      <c r="B53" s="9" t="s">
        <v>150</v>
      </c>
      <c r="C53" s="12">
        <f>143+4.34+0.75</f>
        <v>148.09</v>
      </c>
      <c r="D53" s="35">
        <v>110</v>
      </c>
      <c r="E53" s="40">
        <f t="shared" si="0"/>
        <v>16289.9</v>
      </c>
    </row>
    <row r="54" spans="1:5" x14ac:dyDescent="0.25">
      <c r="A54" s="31">
        <v>55</v>
      </c>
      <c r="B54" s="9" t="s">
        <v>31</v>
      </c>
      <c r="C54" s="12">
        <f>8.83+3.1</f>
        <v>11.93</v>
      </c>
      <c r="D54" s="35">
        <v>175</v>
      </c>
      <c r="E54" s="40">
        <f t="shared" si="0"/>
        <v>2087.75</v>
      </c>
    </row>
    <row r="55" spans="1:5" x14ac:dyDescent="0.25">
      <c r="A55" s="31">
        <v>56</v>
      </c>
      <c r="B55" s="9" t="s">
        <v>32</v>
      </c>
      <c r="C55" s="12">
        <f>1.4+2.492+2.138+0.45</f>
        <v>6.4799999999999995</v>
      </c>
      <c r="D55" s="35">
        <v>140</v>
      </c>
      <c r="E55" s="40">
        <f t="shared" si="0"/>
        <v>907.19999999999993</v>
      </c>
    </row>
    <row r="56" spans="1:5" x14ac:dyDescent="0.25">
      <c r="A56" s="31">
        <v>57</v>
      </c>
      <c r="B56" s="9" t="s">
        <v>33</v>
      </c>
      <c r="C56" s="12">
        <f>6.94+30+38.2+29.8+50.5+6.37</f>
        <v>161.81</v>
      </c>
      <c r="D56" s="35">
        <v>74</v>
      </c>
      <c r="E56" s="40">
        <f t="shared" si="0"/>
        <v>11973.94</v>
      </c>
    </row>
    <row r="57" spans="1:5" x14ac:dyDescent="0.25">
      <c r="A57" s="31">
        <v>58</v>
      </c>
      <c r="B57" s="9" t="s">
        <v>34</v>
      </c>
      <c r="C57" s="12">
        <f>60.4+58.9+8.395+4.878</f>
        <v>132.57299999999998</v>
      </c>
      <c r="D57" s="35">
        <v>58</v>
      </c>
      <c r="E57" s="40">
        <f t="shared" si="0"/>
        <v>7689.2339999999986</v>
      </c>
    </row>
    <row r="58" spans="1:5" x14ac:dyDescent="0.25">
      <c r="A58" s="31">
        <v>59</v>
      </c>
      <c r="B58" s="9" t="s">
        <v>35</v>
      </c>
      <c r="C58" s="12">
        <f>20.5+10.5+9.9</f>
        <v>40.9</v>
      </c>
      <c r="D58" s="35">
        <v>58</v>
      </c>
      <c r="E58" s="40">
        <f t="shared" si="0"/>
        <v>2372.1999999999998</v>
      </c>
    </row>
    <row r="59" spans="1:5" x14ac:dyDescent="0.25">
      <c r="A59" s="31">
        <v>60</v>
      </c>
      <c r="B59" s="9" t="s">
        <v>36</v>
      </c>
      <c r="C59" s="12">
        <f>89.7+8.55</f>
        <v>98.25</v>
      </c>
      <c r="D59" s="35">
        <v>80</v>
      </c>
      <c r="E59" s="40">
        <f t="shared" si="0"/>
        <v>7860</v>
      </c>
    </row>
    <row r="60" spans="1:5" x14ac:dyDescent="0.25">
      <c r="A60" s="31">
        <v>61</v>
      </c>
      <c r="B60" s="9" t="s">
        <v>37</v>
      </c>
      <c r="C60" s="12">
        <v>7</v>
      </c>
      <c r="D60" s="35">
        <v>59</v>
      </c>
      <c r="E60" s="40">
        <f t="shared" si="0"/>
        <v>413</v>
      </c>
    </row>
    <row r="61" spans="1:5" x14ac:dyDescent="0.25">
      <c r="A61" s="31">
        <v>62</v>
      </c>
      <c r="B61" s="9" t="s">
        <v>15</v>
      </c>
      <c r="C61" s="12">
        <v>3</v>
      </c>
      <c r="D61" s="35">
        <v>62</v>
      </c>
      <c r="E61" s="40">
        <f t="shared" si="0"/>
        <v>186</v>
      </c>
    </row>
    <row r="62" spans="1:5" x14ac:dyDescent="0.25">
      <c r="A62" s="31">
        <v>63</v>
      </c>
      <c r="B62" s="9" t="s">
        <v>16</v>
      </c>
      <c r="C62" s="12">
        <v>4</v>
      </c>
      <c r="D62" s="35">
        <v>61</v>
      </c>
      <c r="E62" s="40">
        <f t="shared" si="0"/>
        <v>244</v>
      </c>
    </row>
    <row r="63" spans="1:5" x14ac:dyDescent="0.25">
      <c r="A63" s="31">
        <v>64</v>
      </c>
      <c r="B63" s="9" t="s">
        <v>18</v>
      </c>
      <c r="C63" s="12">
        <v>0.76200000000000001</v>
      </c>
      <c r="D63" s="35">
        <v>40</v>
      </c>
      <c r="E63" s="40">
        <f t="shared" si="0"/>
        <v>30.48</v>
      </c>
    </row>
    <row r="64" spans="1:5" x14ac:dyDescent="0.25">
      <c r="A64" s="31">
        <v>65</v>
      </c>
      <c r="B64" s="9" t="s">
        <v>38</v>
      </c>
      <c r="C64" s="12">
        <v>13</v>
      </c>
      <c r="D64" s="35">
        <v>20</v>
      </c>
      <c r="E64" s="40">
        <f t="shared" si="0"/>
        <v>260</v>
      </c>
    </row>
    <row r="65" spans="1:5" x14ac:dyDescent="0.25">
      <c r="A65" s="31">
        <v>66</v>
      </c>
      <c r="B65" s="9" t="s">
        <v>39</v>
      </c>
      <c r="C65" s="12">
        <v>3</v>
      </c>
      <c r="D65" s="35">
        <v>29</v>
      </c>
      <c r="E65" s="40">
        <f t="shared" si="0"/>
        <v>87</v>
      </c>
    </row>
    <row r="66" spans="1:5" x14ac:dyDescent="0.25">
      <c r="A66" s="31">
        <v>68</v>
      </c>
      <c r="B66" s="9" t="s">
        <v>40</v>
      </c>
      <c r="C66" s="12">
        <v>38</v>
      </c>
      <c r="D66" s="35">
        <v>60</v>
      </c>
      <c r="E66" s="40">
        <f t="shared" si="0"/>
        <v>2280</v>
      </c>
    </row>
    <row r="67" spans="1:5" x14ac:dyDescent="0.25">
      <c r="A67" s="31">
        <v>69</v>
      </c>
      <c r="B67" s="9" t="s">
        <v>41</v>
      </c>
      <c r="C67" s="12">
        <v>0.27200000000000002</v>
      </c>
      <c r="D67" s="35">
        <v>210</v>
      </c>
      <c r="E67" s="40">
        <f t="shared" si="0"/>
        <v>57.120000000000005</v>
      </c>
    </row>
    <row r="68" spans="1:5" x14ac:dyDescent="0.25">
      <c r="A68" s="31">
        <v>71</v>
      </c>
      <c r="B68" s="9" t="s">
        <v>151</v>
      </c>
      <c r="C68" s="12">
        <v>10</v>
      </c>
      <c r="D68" s="35">
        <v>85</v>
      </c>
      <c r="E68" s="40">
        <f t="shared" si="0"/>
        <v>850</v>
      </c>
    </row>
    <row r="69" spans="1:5" x14ac:dyDescent="0.25">
      <c r="A69" s="31">
        <v>72</v>
      </c>
      <c r="B69" s="9" t="s">
        <v>152</v>
      </c>
      <c r="C69" s="12">
        <v>3</v>
      </c>
      <c r="D69" s="35">
        <v>95</v>
      </c>
      <c r="E69" s="40">
        <f t="shared" ref="E69:E132" si="1">C69*D69</f>
        <v>285</v>
      </c>
    </row>
    <row r="70" spans="1:5" x14ac:dyDescent="0.25">
      <c r="A70" s="31">
        <v>79</v>
      </c>
      <c r="B70" s="9" t="s">
        <v>51</v>
      </c>
      <c r="C70" s="12">
        <v>0</v>
      </c>
      <c r="D70" s="35">
        <v>46</v>
      </c>
      <c r="E70" s="40">
        <f t="shared" si="1"/>
        <v>0</v>
      </c>
    </row>
    <row r="71" spans="1:5" x14ac:dyDescent="0.25">
      <c r="A71" s="31">
        <v>80</v>
      </c>
      <c r="B71" s="9" t="s">
        <v>52</v>
      </c>
      <c r="C71" s="12">
        <f>4.5+3.37+6.2+8.72+0.49</f>
        <v>23.279999999999998</v>
      </c>
      <c r="D71" s="35">
        <v>113</v>
      </c>
      <c r="E71" s="40">
        <f t="shared" si="1"/>
        <v>2630.64</v>
      </c>
    </row>
    <row r="72" spans="1:5" x14ac:dyDescent="0.25">
      <c r="A72" s="31">
        <v>81</v>
      </c>
      <c r="B72" s="9" t="s">
        <v>53</v>
      </c>
      <c r="C72" s="12">
        <f>24+5.085+8.5+0.39</f>
        <v>37.975000000000001</v>
      </c>
      <c r="D72" s="35">
        <v>84</v>
      </c>
      <c r="E72" s="40">
        <f t="shared" si="1"/>
        <v>3189.9</v>
      </c>
    </row>
    <row r="73" spans="1:5" x14ac:dyDescent="0.25">
      <c r="A73" s="31">
        <v>82</v>
      </c>
      <c r="B73" s="9" t="s">
        <v>153</v>
      </c>
      <c r="C73" s="12">
        <v>1</v>
      </c>
      <c r="D73" s="35">
        <v>69</v>
      </c>
      <c r="E73" s="40">
        <f t="shared" si="1"/>
        <v>69</v>
      </c>
    </row>
    <row r="74" spans="1:5" x14ac:dyDescent="0.25">
      <c r="A74" s="31">
        <v>83</v>
      </c>
      <c r="B74" s="9" t="s">
        <v>100</v>
      </c>
      <c r="C74" s="12">
        <v>10</v>
      </c>
      <c r="D74" s="35">
        <v>26</v>
      </c>
      <c r="E74" s="40">
        <f t="shared" si="1"/>
        <v>260</v>
      </c>
    </row>
    <row r="75" spans="1:5" x14ac:dyDescent="0.25">
      <c r="A75" s="31">
        <v>84</v>
      </c>
      <c r="B75" s="9" t="s">
        <v>54</v>
      </c>
      <c r="C75" s="12">
        <v>0</v>
      </c>
      <c r="D75" s="35">
        <v>280</v>
      </c>
      <c r="E75" s="40">
        <f t="shared" si="1"/>
        <v>0</v>
      </c>
    </row>
    <row r="76" spans="1:5" x14ac:dyDescent="0.25">
      <c r="A76" s="31">
        <v>85</v>
      </c>
      <c r="B76" s="9" t="s">
        <v>154</v>
      </c>
      <c r="C76" s="12">
        <f>44+31</f>
        <v>75</v>
      </c>
      <c r="D76" s="35">
        <v>26</v>
      </c>
      <c r="E76" s="40">
        <f t="shared" si="1"/>
        <v>1950</v>
      </c>
    </row>
    <row r="77" spans="1:5" x14ac:dyDescent="0.25">
      <c r="A77" s="34">
        <v>87</v>
      </c>
      <c r="B77" s="9" t="s">
        <v>155</v>
      </c>
      <c r="C77" s="12">
        <v>5</v>
      </c>
      <c r="D77" s="35">
        <v>50</v>
      </c>
      <c r="E77" s="40">
        <f t="shared" si="1"/>
        <v>250</v>
      </c>
    </row>
    <row r="78" spans="1:5" x14ac:dyDescent="0.25">
      <c r="A78" s="34">
        <v>88</v>
      </c>
      <c r="B78" s="9" t="s">
        <v>156</v>
      </c>
      <c r="C78" s="12">
        <v>15</v>
      </c>
      <c r="D78" s="35">
        <v>68</v>
      </c>
      <c r="E78" s="40">
        <f t="shared" si="1"/>
        <v>1020</v>
      </c>
    </row>
    <row r="79" spans="1:5" x14ac:dyDescent="0.25">
      <c r="A79" s="34">
        <v>89</v>
      </c>
      <c r="B79" s="9" t="s">
        <v>157</v>
      </c>
      <c r="C79" s="12">
        <v>11</v>
      </c>
      <c r="D79" s="35">
        <v>12</v>
      </c>
      <c r="E79" s="40">
        <f t="shared" si="1"/>
        <v>132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10.23+1.73</f>
        <v>11.96</v>
      </c>
      <c r="D81" s="35">
        <v>110</v>
      </c>
      <c r="E81" s="40">
        <f t="shared" si="1"/>
        <v>1315.6000000000001</v>
      </c>
    </row>
    <row r="82" spans="1:5" x14ac:dyDescent="0.25">
      <c r="A82" s="34">
        <v>98</v>
      </c>
      <c r="B82" s="9" t="s">
        <v>166</v>
      </c>
      <c r="C82" s="12">
        <f>38+28+6</f>
        <v>72</v>
      </c>
      <c r="D82" s="35">
        <v>45</v>
      </c>
      <c r="E82" s="40">
        <f t="shared" si="1"/>
        <v>3240</v>
      </c>
    </row>
    <row r="83" spans="1:5" x14ac:dyDescent="0.25">
      <c r="A83" s="34">
        <v>92</v>
      </c>
      <c r="B83" s="9" t="s">
        <v>160</v>
      </c>
      <c r="C83" s="12">
        <f>3.5+1</f>
        <v>4.5</v>
      </c>
      <c r="D83" s="35">
        <v>75</v>
      </c>
      <c r="E83" s="40">
        <f t="shared" si="1"/>
        <v>337.5</v>
      </c>
    </row>
    <row r="84" spans="1:5" x14ac:dyDescent="0.25">
      <c r="A84" s="34">
        <v>93</v>
      </c>
      <c r="B84" s="9" t="s">
        <v>161</v>
      </c>
      <c r="C84" s="12">
        <v>0</v>
      </c>
      <c r="D84" s="35">
        <v>75</v>
      </c>
      <c r="E84" s="40">
        <f t="shared" si="1"/>
        <v>0</v>
      </c>
    </row>
    <row r="85" spans="1:5" x14ac:dyDescent="0.25">
      <c r="A85" s="34">
        <v>94</v>
      </c>
      <c r="B85" s="9" t="s">
        <v>162</v>
      </c>
      <c r="C85" s="12">
        <v>0</v>
      </c>
      <c r="D85" s="35">
        <v>60</v>
      </c>
      <c r="E85" s="40">
        <f t="shared" si="1"/>
        <v>0</v>
      </c>
    </row>
    <row r="86" spans="1:5" x14ac:dyDescent="0.25">
      <c r="A86" s="34">
        <v>95</v>
      </c>
      <c r="B86" s="9" t="s">
        <v>163</v>
      </c>
      <c r="C86" s="12">
        <v>33</v>
      </c>
      <c r="D86" s="35">
        <v>19</v>
      </c>
      <c r="E86" s="40">
        <f t="shared" si="1"/>
        <v>627</v>
      </c>
    </row>
    <row r="87" spans="1:5" x14ac:dyDescent="0.25">
      <c r="A87" s="34">
        <v>96</v>
      </c>
      <c r="B87" s="9" t="s">
        <v>164</v>
      </c>
      <c r="C87" s="12">
        <v>28</v>
      </c>
      <c r="D87" s="35">
        <v>20</v>
      </c>
      <c r="E87" s="40">
        <f t="shared" si="1"/>
        <v>560</v>
      </c>
    </row>
    <row r="88" spans="1:5" x14ac:dyDescent="0.25">
      <c r="A88" s="34">
        <v>97</v>
      </c>
      <c r="B88" s="9" t="s">
        <v>165</v>
      </c>
      <c r="C88" s="12">
        <v>25</v>
      </c>
      <c r="D88" s="35">
        <v>22</v>
      </c>
      <c r="E88" s="40">
        <f t="shared" si="1"/>
        <v>550</v>
      </c>
    </row>
    <row r="89" spans="1:5" ht="15.75" thickBot="1" x14ac:dyDescent="0.3">
      <c r="A89" s="32"/>
      <c r="B89" s="22" t="s">
        <v>17</v>
      </c>
      <c r="C89" s="23">
        <f>SUM(C46:C88)</f>
        <v>5069.5240000000003</v>
      </c>
      <c r="D89" s="36"/>
      <c r="E89" s="37">
        <f>SUM(E46:E88)</f>
        <v>575221.50199999998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14</v>
      </c>
      <c r="D91" s="35">
        <v>24</v>
      </c>
      <c r="E91" s="40">
        <f t="shared" si="1"/>
        <v>336</v>
      </c>
    </row>
    <row r="92" spans="1:5" x14ac:dyDescent="0.25">
      <c r="A92" s="34">
        <v>100</v>
      </c>
      <c r="B92" s="9" t="s">
        <v>168</v>
      </c>
      <c r="C92" s="12">
        <v>13</v>
      </c>
      <c r="D92" s="35">
        <v>17</v>
      </c>
      <c r="E92" s="40">
        <f t="shared" si="1"/>
        <v>221</v>
      </c>
    </row>
    <row r="93" spans="1:5" x14ac:dyDescent="0.25">
      <c r="A93" s="34">
        <v>101</v>
      </c>
      <c r="B93" s="9" t="s">
        <v>169</v>
      </c>
      <c r="C93" s="13">
        <v>28</v>
      </c>
      <c r="D93" s="35">
        <v>14</v>
      </c>
      <c r="E93" s="40">
        <f t="shared" si="1"/>
        <v>392</v>
      </c>
    </row>
    <row r="94" spans="1:5" x14ac:dyDescent="0.25">
      <c r="A94" s="34">
        <v>102</v>
      </c>
      <c r="B94" s="45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v>1.7</v>
      </c>
      <c r="D96" s="35">
        <v>60</v>
      </c>
      <c r="E96" s="40">
        <f t="shared" si="1"/>
        <v>102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60+50+10.38</f>
        <v>120.38</v>
      </c>
      <c r="D98" s="35">
        <v>88</v>
      </c>
      <c r="E98" s="40">
        <f t="shared" si="1"/>
        <v>10593.439999999999</v>
      </c>
    </row>
    <row r="99" spans="1:5" x14ac:dyDescent="0.25">
      <c r="A99" s="34">
        <v>107</v>
      </c>
      <c r="B99" s="9" t="s">
        <v>174</v>
      </c>
      <c r="C99" s="12">
        <f>10.5-4.4+10.8+1.06+6.74</f>
        <v>24.699999999999996</v>
      </c>
      <c r="D99" s="35">
        <v>98</v>
      </c>
      <c r="E99" s="40">
        <f t="shared" si="1"/>
        <v>2420.5999999999995</v>
      </c>
    </row>
    <row r="100" spans="1:5" x14ac:dyDescent="0.25">
      <c r="A100" s="34">
        <v>108</v>
      </c>
      <c r="B100" s="9" t="s">
        <v>176</v>
      </c>
      <c r="C100" s="12">
        <f>5.2+2+0.32</f>
        <v>7.5200000000000005</v>
      </c>
      <c r="D100" s="35">
        <v>80</v>
      </c>
      <c r="E100" s="40">
        <f t="shared" si="1"/>
        <v>601.6</v>
      </c>
    </row>
    <row r="101" spans="1:5" x14ac:dyDescent="0.25">
      <c r="A101" s="34">
        <v>109</v>
      </c>
      <c r="B101" s="9" t="s">
        <v>177</v>
      </c>
      <c r="C101" s="12">
        <v>42.2</v>
      </c>
      <c r="D101" s="35">
        <v>94</v>
      </c>
      <c r="E101" s="40">
        <f t="shared" si="1"/>
        <v>3966.8</v>
      </c>
    </row>
    <row r="102" spans="1:5" x14ac:dyDescent="0.25">
      <c r="A102" s="34">
        <v>110</v>
      </c>
      <c r="B102" s="9" t="s">
        <v>178</v>
      </c>
      <c r="C102" s="12">
        <f>12.5+2.14</f>
        <v>14.64</v>
      </c>
      <c r="D102" s="35">
        <v>60</v>
      </c>
      <c r="E102" s="40">
        <f t="shared" si="1"/>
        <v>878.40000000000009</v>
      </c>
    </row>
    <row r="103" spans="1:5" x14ac:dyDescent="0.25">
      <c r="A103" s="34">
        <v>111</v>
      </c>
      <c r="B103" s="9" t="s">
        <v>179</v>
      </c>
      <c r="C103" s="12">
        <f>8.38-3.9+0.92+152.1+41.4</f>
        <v>198.9</v>
      </c>
      <c r="D103" s="35">
        <v>80</v>
      </c>
      <c r="E103" s="40">
        <f t="shared" si="1"/>
        <v>15912</v>
      </c>
    </row>
    <row r="104" spans="1:5" x14ac:dyDescent="0.25">
      <c r="A104" s="34">
        <v>112</v>
      </c>
      <c r="B104" s="9" t="s">
        <v>180</v>
      </c>
      <c r="C104" s="12">
        <f>8.18+7.84-3.9+619.5+238.5</f>
        <v>870.12</v>
      </c>
      <c r="D104" s="35">
        <v>36</v>
      </c>
      <c r="E104" s="40">
        <f t="shared" si="1"/>
        <v>31324.32</v>
      </c>
    </row>
    <row r="105" spans="1:5" x14ac:dyDescent="0.25">
      <c r="A105" s="34">
        <v>113</v>
      </c>
      <c r="B105" s="9" t="s">
        <v>181</v>
      </c>
      <c r="C105" s="12">
        <f>9.84-3.9+9.08+1.44+11.2</f>
        <v>27.66</v>
      </c>
      <c r="D105" s="35">
        <v>74</v>
      </c>
      <c r="E105" s="40">
        <f t="shared" si="1"/>
        <v>2046.84</v>
      </c>
    </row>
    <row r="106" spans="1:5" x14ac:dyDescent="0.25">
      <c r="A106" s="34">
        <v>114</v>
      </c>
      <c r="B106" s="9" t="s">
        <v>182</v>
      </c>
      <c r="C106" s="12">
        <f>0.54+13.8+3</f>
        <v>17.34</v>
      </c>
      <c r="D106" s="35">
        <v>98</v>
      </c>
      <c r="E106" s="40">
        <f t="shared" si="1"/>
        <v>1699.32</v>
      </c>
    </row>
    <row r="107" spans="1:5" x14ac:dyDescent="0.25">
      <c r="A107" s="34">
        <v>115</v>
      </c>
      <c r="B107" s="9" t="s">
        <v>183</v>
      </c>
      <c r="C107" s="12">
        <f>11.11-3.9+0.82+8.8+48.1+11.3+24.8+18.4</f>
        <v>119.43</v>
      </c>
      <c r="D107" s="35">
        <v>96</v>
      </c>
      <c r="E107" s="40">
        <f t="shared" si="1"/>
        <v>11465.28</v>
      </c>
    </row>
    <row r="108" spans="1:5" x14ac:dyDescent="0.25">
      <c r="A108" s="34">
        <v>116</v>
      </c>
      <c r="B108" s="9" t="s">
        <v>269</v>
      </c>
      <c r="C108" s="12">
        <f>11.5+19.32</f>
        <v>30.82</v>
      </c>
      <c r="D108" s="35">
        <v>90</v>
      </c>
      <c r="E108" s="40">
        <f t="shared" si="1"/>
        <v>2773.8</v>
      </c>
    </row>
    <row r="109" spans="1:5" x14ac:dyDescent="0.25">
      <c r="A109" s="34">
        <v>117</v>
      </c>
      <c r="B109" s="9" t="s">
        <v>268</v>
      </c>
      <c r="C109" s="12">
        <v>1.26</v>
      </c>
      <c r="D109" s="35">
        <v>108</v>
      </c>
      <c r="E109" s="40">
        <f t="shared" si="1"/>
        <v>136.08000000000001</v>
      </c>
    </row>
    <row r="110" spans="1:5" x14ac:dyDescent="0.25">
      <c r="A110" s="34">
        <v>118</v>
      </c>
      <c r="B110" s="9" t="s">
        <v>267</v>
      </c>
      <c r="C110" s="12">
        <f>1.8+6.72+600.5+17.8</f>
        <v>626.81999999999994</v>
      </c>
      <c r="D110" s="35">
        <v>10</v>
      </c>
      <c r="E110" s="40">
        <f t="shared" si="1"/>
        <v>6268.1999999999989</v>
      </c>
    </row>
    <row r="111" spans="1:5" x14ac:dyDescent="0.25">
      <c r="A111" s="34">
        <v>119</v>
      </c>
      <c r="B111" s="9" t="s">
        <v>266</v>
      </c>
      <c r="C111" s="12">
        <f>2.52+1.46+73.7+25.4</f>
        <v>103.08000000000001</v>
      </c>
      <c r="D111" s="35">
        <v>66</v>
      </c>
      <c r="E111" s="40">
        <f t="shared" si="1"/>
        <v>6803.2800000000007</v>
      </c>
    </row>
    <row r="112" spans="1:5" x14ac:dyDescent="0.25">
      <c r="A112" s="34">
        <v>120</v>
      </c>
      <c r="B112" s="9" t="s">
        <v>265</v>
      </c>
      <c r="C112" s="12">
        <f>2.848+22.7</f>
        <v>25.547999999999998</v>
      </c>
      <c r="D112" s="35">
        <v>280</v>
      </c>
      <c r="E112" s="40">
        <f t="shared" si="1"/>
        <v>7153.44</v>
      </c>
    </row>
    <row r="113" spans="1:5" x14ac:dyDescent="0.25">
      <c r="A113" s="34">
        <v>121</v>
      </c>
      <c r="B113" s="9" t="s">
        <v>264</v>
      </c>
      <c r="C113" s="12">
        <f>12.18-3.9+0.66+6.5+26.8+205.1</f>
        <v>247.34</v>
      </c>
      <c r="D113" s="35">
        <v>64</v>
      </c>
      <c r="E113" s="40">
        <f t="shared" si="1"/>
        <v>15829.76</v>
      </c>
    </row>
    <row r="114" spans="1:5" x14ac:dyDescent="0.25">
      <c r="A114" s="34">
        <v>122</v>
      </c>
      <c r="B114" s="9" t="s">
        <v>263</v>
      </c>
      <c r="C114" s="12">
        <f>33-4.4+1.12+1.02</f>
        <v>30.740000000000002</v>
      </c>
      <c r="D114" s="35">
        <v>74</v>
      </c>
      <c r="E114" s="40">
        <f t="shared" si="1"/>
        <v>2274.7600000000002</v>
      </c>
    </row>
    <row r="115" spans="1:5" x14ac:dyDescent="0.25">
      <c r="A115" s="34">
        <v>123</v>
      </c>
      <c r="B115" s="9" t="s">
        <v>262</v>
      </c>
      <c r="C115" s="12">
        <f>4.52+23.1+10.8+15.8+1+255.8</f>
        <v>311.02</v>
      </c>
      <c r="D115" s="35">
        <v>110</v>
      </c>
      <c r="E115" s="40">
        <f t="shared" si="1"/>
        <v>34212.199999999997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9.44-3.9+10.8</f>
        <v>16.34</v>
      </c>
      <c r="D117" s="35">
        <v>74</v>
      </c>
      <c r="E117" s="40">
        <f t="shared" si="1"/>
        <v>1209.1600000000001</v>
      </c>
    </row>
    <row r="118" spans="1:5" x14ac:dyDescent="0.25">
      <c r="A118" s="34">
        <v>126</v>
      </c>
      <c r="B118" s="9" t="s">
        <v>259</v>
      </c>
      <c r="C118" s="12">
        <f>14.32-2.2+40</f>
        <v>52.120000000000005</v>
      </c>
      <c r="D118" s="35">
        <v>210</v>
      </c>
      <c r="E118" s="40">
        <f t="shared" si="1"/>
        <v>10945.2</v>
      </c>
    </row>
    <row r="119" spans="1:5" x14ac:dyDescent="0.25">
      <c r="A119" s="34">
        <v>127</v>
      </c>
      <c r="B119" s="43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f>6.2118+56.4</f>
        <v>62.611800000000002</v>
      </c>
      <c r="D120" s="35">
        <v>42</v>
      </c>
      <c r="E120" s="40">
        <f t="shared" si="1"/>
        <v>2629.6956</v>
      </c>
    </row>
    <row r="121" spans="1:5" x14ac:dyDescent="0.25">
      <c r="A121" s="34">
        <v>129</v>
      </c>
      <c r="B121" s="9" t="s">
        <v>256</v>
      </c>
      <c r="C121" s="12">
        <f>7.98-3.9+37.4</f>
        <v>41.48</v>
      </c>
      <c r="D121" s="35">
        <v>75</v>
      </c>
      <c r="E121" s="40">
        <f t="shared" si="1"/>
        <v>3110.9999999999995</v>
      </c>
    </row>
    <row r="122" spans="1:5" x14ac:dyDescent="0.25">
      <c r="A122" s="34">
        <v>130</v>
      </c>
      <c r="B122" s="9" t="s">
        <v>255</v>
      </c>
      <c r="C122" s="12">
        <f>11.22-3.9</f>
        <v>7.32</v>
      </c>
      <c r="D122" s="35">
        <v>78</v>
      </c>
      <c r="E122" s="40">
        <f t="shared" si="1"/>
        <v>570.96</v>
      </c>
    </row>
    <row r="123" spans="1:5" x14ac:dyDescent="0.25">
      <c r="A123" s="34">
        <v>131</v>
      </c>
      <c r="B123" s="9" t="s">
        <v>254</v>
      </c>
      <c r="C123" s="12">
        <f>6.74204+10.6</f>
        <v>17.342040000000001</v>
      </c>
      <c r="D123" s="35">
        <v>120</v>
      </c>
      <c r="E123" s="40">
        <f t="shared" si="1"/>
        <v>2081.0448000000001</v>
      </c>
    </row>
    <row r="124" spans="1:5" x14ac:dyDescent="0.25">
      <c r="A124" s="34">
        <v>132</v>
      </c>
      <c r="B124" s="9" t="s">
        <v>253</v>
      </c>
      <c r="C124" s="12">
        <v>1.68</v>
      </c>
      <c r="D124" s="35">
        <v>120</v>
      </c>
      <c r="E124" s="40">
        <f t="shared" si="1"/>
        <v>201.6</v>
      </c>
    </row>
    <row r="125" spans="1:5" x14ac:dyDescent="0.25">
      <c r="A125" s="34">
        <v>133</v>
      </c>
      <c r="B125" s="9" t="s">
        <v>252</v>
      </c>
      <c r="C125" s="12">
        <f>6.1-3.9</f>
        <v>2.1999999999999997</v>
      </c>
      <c r="D125" s="35">
        <v>173</v>
      </c>
      <c r="E125" s="40">
        <f t="shared" si="1"/>
        <v>380.59999999999997</v>
      </c>
    </row>
    <row r="126" spans="1:5" x14ac:dyDescent="0.25">
      <c r="A126" s="34">
        <v>134</v>
      </c>
      <c r="B126" s="9" t="s">
        <v>251</v>
      </c>
      <c r="C126" s="12">
        <f>1.06+4.8+19.3+39.1+198.6</f>
        <v>262.86</v>
      </c>
      <c r="D126" s="35">
        <v>116</v>
      </c>
      <c r="E126" s="40">
        <f t="shared" si="1"/>
        <v>30491.760000000002</v>
      </c>
    </row>
    <row r="127" spans="1:5" x14ac:dyDescent="0.25">
      <c r="A127" s="34">
        <v>135</v>
      </c>
      <c r="B127" s="9" t="s">
        <v>250</v>
      </c>
      <c r="C127" s="12">
        <f>0.4+100.7+45.6+21.3</f>
        <v>168.00000000000003</v>
      </c>
      <c r="D127" s="35">
        <v>86</v>
      </c>
      <c r="E127" s="40">
        <f t="shared" si="1"/>
        <v>14448.000000000002</v>
      </c>
    </row>
    <row r="128" spans="1:5" x14ac:dyDescent="0.25">
      <c r="A128" s="34">
        <v>136</v>
      </c>
      <c r="B128" s="9" t="s">
        <v>249</v>
      </c>
      <c r="C128" s="12">
        <f>16.3+10.8+7.8+13.3</f>
        <v>48.2</v>
      </c>
      <c r="D128" s="35">
        <v>48</v>
      </c>
      <c r="E128" s="40">
        <f t="shared" si="1"/>
        <v>2313.6000000000004</v>
      </c>
    </row>
    <row r="129" spans="1:5" x14ac:dyDescent="0.25">
      <c r="A129" s="34">
        <v>137</v>
      </c>
      <c r="B129" s="9" t="s">
        <v>248</v>
      </c>
      <c r="C129" s="12">
        <f>17.5-2.2+1.84+27.96-2.2+11.74-2.2+1.14+7.5+33.9+5.3+8.8+14.5+246+140.1+48.2+88.8+218+29.9+65.9+30.3+140.26</f>
        <v>1131.04</v>
      </c>
      <c r="D129" s="35">
        <v>184</v>
      </c>
      <c r="E129" s="40">
        <f t="shared" si="1"/>
        <v>208111.35999999999</v>
      </c>
    </row>
    <row r="130" spans="1:5" x14ac:dyDescent="0.25">
      <c r="A130" s="34">
        <v>138</v>
      </c>
      <c r="B130" s="9" t="s">
        <v>247</v>
      </c>
      <c r="C130" s="12">
        <f>72.7+123.4</f>
        <v>196.10000000000002</v>
      </c>
      <c r="D130" s="35">
        <v>177</v>
      </c>
      <c r="E130" s="40">
        <f t="shared" si="1"/>
        <v>34709.700000000004</v>
      </c>
    </row>
    <row r="131" spans="1:5" x14ac:dyDescent="0.25">
      <c r="A131" s="34">
        <v>139</v>
      </c>
      <c r="B131" s="9" t="s">
        <v>246</v>
      </c>
      <c r="C131" s="12">
        <v>13.5</v>
      </c>
      <c r="D131" s="35">
        <v>187</v>
      </c>
      <c r="E131" s="40">
        <f t="shared" si="1"/>
        <v>2524.5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4898.0118399999992</v>
      </c>
      <c r="D134" s="38"/>
      <c r="E134" s="37">
        <f>SUM(E91:E133)</f>
        <v>471264.30040000001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</v>
      </c>
      <c r="D136" s="35">
        <v>80</v>
      </c>
      <c r="E136" s="40">
        <f t="shared" ref="E136:E199" si="3">C136*D136</f>
        <v>80</v>
      </c>
    </row>
    <row r="137" spans="1:5" x14ac:dyDescent="0.25">
      <c r="A137" s="34">
        <v>143</v>
      </c>
      <c r="B137" s="9" t="s">
        <v>242</v>
      </c>
      <c r="C137" s="12">
        <f>1.04+44.6+83.8</f>
        <v>129.44</v>
      </c>
      <c r="D137" s="35">
        <v>63</v>
      </c>
      <c r="E137" s="40">
        <f t="shared" si="3"/>
        <v>8154.72</v>
      </c>
    </row>
    <row r="138" spans="1:5" x14ac:dyDescent="0.25">
      <c r="A138" s="34">
        <v>144</v>
      </c>
      <c r="B138" s="43" t="s">
        <v>241</v>
      </c>
      <c r="C138" s="12">
        <v>0</v>
      </c>
      <c r="D138" s="35">
        <v>220</v>
      </c>
      <c r="E138" s="40">
        <f t="shared" si="3"/>
        <v>0</v>
      </c>
    </row>
    <row r="139" spans="1:5" x14ac:dyDescent="0.25">
      <c r="A139" s="34">
        <v>145</v>
      </c>
      <c r="B139" s="9" t="s">
        <v>240</v>
      </c>
      <c r="C139" s="12">
        <v>6</v>
      </c>
      <c r="D139" s="35">
        <v>56</v>
      </c>
      <c r="E139" s="40">
        <f t="shared" si="3"/>
        <v>336</v>
      </c>
    </row>
    <row r="140" spans="1:5" x14ac:dyDescent="0.25">
      <c r="A140" s="34">
        <v>146</v>
      </c>
      <c r="B140" s="9" t="s">
        <v>239</v>
      </c>
      <c r="C140" s="12">
        <f>17.06-2.2+1.056</f>
        <v>15.916</v>
      </c>
      <c r="D140" s="35">
        <v>134</v>
      </c>
      <c r="E140" s="40">
        <f t="shared" si="3"/>
        <v>2132.7440000000001</v>
      </c>
    </row>
    <row r="141" spans="1:5" x14ac:dyDescent="0.25">
      <c r="A141" s="34">
        <v>147</v>
      </c>
      <c r="B141" s="9" t="s">
        <v>238</v>
      </c>
      <c r="C141" s="12">
        <f>11.02-2.2+0.502+28.9</f>
        <v>38.222000000000001</v>
      </c>
      <c r="D141" s="35">
        <v>95</v>
      </c>
      <c r="E141" s="40">
        <f t="shared" si="3"/>
        <v>3631.09</v>
      </c>
    </row>
    <row r="142" spans="1:5" x14ac:dyDescent="0.25">
      <c r="A142" s="34">
        <v>148</v>
      </c>
      <c r="B142" s="9" t="s">
        <v>237</v>
      </c>
      <c r="C142" s="12">
        <f>11.34-2.2+106.9</f>
        <v>116.04</v>
      </c>
      <c r="D142" s="35">
        <v>130</v>
      </c>
      <c r="E142" s="40">
        <f t="shared" si="3"/>
        <v>15085.2</v>
      </c>
    </row>
    <row r="143" spans="1:5" x14ac:dyDescent="0.25">
      <c r="A143" s="34">
        <v>149</v>
      </c>
      <c r="B143" s="9" t="s">
        <v>236</v>
      </c>
      <c r="C143" s="12">
        <v>6.18</v>
      </c>
      <c r="D143" s="35">
        <v>173</v>
      </c>
      <c r="E143" s="40">
        <f t="shared" si="3"/>
        <v>1069.1399999999999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8.18-2.2+3.436+25.3+194.1</f>
        <v>228.816</v>
      </c>
      <c r="D145" s="35">
        <v>132</v>
      </c>
      <c r="E145" s="40">
        <f t="shared" si="3"/>
        <v>30203.712</v>
      </c>
    </row>
    <row r="146" spans="1:5" x14ac:dyDescent="0.25">
      <c r="A146" s="34">
        <v>152</v>
      </c>
      <c r="B146" s="43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f>7.16+128.63</f>
        <v>135.79</v>
      </c>
      <c r="D147" s="35">
        <v>154</v>
      </c>
      <c r="E147" s="40">
        <f t="shared" si="3"/>
        <v>20911.66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25.8-2.2+118.62</f>
        <v>142.22</v>
      </c>
      <c r="D149" s="35">
        <v>98</v>
      </c>
      <c r="E149" s="40">
        <f t="shared" si="3"/>
        <v>13937.56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1.5820000000000001</v>
      </c>
      <c r="D151" s="35">
        <v>900</v>
      </c>
      <c r="E151" s="40">
        <f t="shared" si="3"/>
        <v>1423.8</v>
      </c>
    </row>
    <row r="152" spans="1:5" x14ac:dyDescent="0.25">
      <c r="A152" s="34">
        <v>158</v>
      </c>
      <c r="B152" s="9" t="s">
        <v>228</v>
      </c>
      <c r="C152" s="12">
        <f>12.8+54.2+14.6</f>
        <v>81.599999999999994</v>
      </c>
      <c r="D152" s="35">
        <v>71</v>
      </c>
      <c r="E152" s="40">
        <f t="shared" si="3"/>
        <v>5793.5999999999995</v>
      </c>
    </row>
    <row r="153" spans="1:5" x14ac:dyDescent="0.25">
      <c r="A153" s="34">
        <v>159</v>
      </c>
      <c r="B153" s="9" t="s">
        <v>227</v>
      </c>
      <c r="C153" s="12">
        <f>11.92-3.9+6.18</f>
        <v>14.2</v>
      </c>
      <c r="D153" s="35">
        <v>78</v>
      </c>
      <c r="E153" s="40">
        <f t="shared" si="3"/>
        <v>1107.5999999999999</v>
      </c>
    </row>
    <row r="154" spans="1:5" x14ac:dyDescent="0.25">
      <c r="A154" s="34">
        <v>160</v>
      </c>
      <c r="B154" s="43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43" t="s">
        <v>225</v>
      </c>
      <c r="C155" s="12">
        <v>0</v>
      </c>
      <c r="D155" s="35">
        <v>120</v>
      </c>
      <c r="E155" s="40">
        <f t="shared" si="3"/>
        <v>0</v>
      </c>
    </row>
    <row r="156" spans="1:5" x14ac:dyDescent="0.25">
      <c r="A156" s="34">
        <v>162</v>
      </c>
      <c r="B156" s="9" t="s">
        <v>21</v>
      </c>
      <c r="C156" s="12">
        <f>4.16+26.9+19.4</f>
        <v>50.459999999999994</v>
      </c>
      <c r="D156" s="35">
        <v>600</v>
      </c>
      <c r="E156" s="40">
        <f t="shared" si="3"/>
        <v>30275.999999999996</v>
      </c>
    </row>
    <row r="157" spans="1:5" x14ac:dyDescent="0.25">
      <c r="A157" s="34">
        <v>163</v>
      </c>
      <c r="B157" s="9" t="s">
        <v>224</v>
      </c>
      <c r="C157" s="12">
        <v>18.8</v>
      </c>
      <c r="D157" s="35">
        <v>187</v>
      </c>
      <c r="E157" s="40">
        <f t="shared" si="3"/>
        <v>3515.6</v>
      </c>
    </row>
    <row r="158" spans="1:5" x14ac:dyDescent="0.25">
      <c r="A158" s="34">
        <v>164</v>
      </c>
      <c r="B158" s="9" t="s">
        <v>22</v>
      </c>
      <c r="C158" s="12">
        <f>3.38+246.1</f>
        <v>249.48</v>
      </c>
      <c r="D158" s="35">
        <v>136</v>
      </c>
      <c r="E158" s="40">
        <f t="shared" si="3"/>
        <v>33929.279999999999</v>
      </c>
    </row>
    <row r="159" spans="1:5" x14ac:dyDescent="0.25">
      <c r="A159" s="34">
        <v>165</v>
      </c>
      <c r="B159" s="9" t="s">
        <v>223</v>
      </c>
      <c r="C159" s="12">
        <f>2.62+43.6</f>
        <v>46.22</v>
      </c>
      <c r="D159" s="35">
        <v>30</v>
      </c>
      <c r="E159" s="40">
        <f t="shared" si="3"/>
        <v>1386.6</v>
      </c>
    </row>
    <row r="160" spans="1:5" x14ac:dyDescent="0.25">
      <c r="A160" s="34">
        <v>166</v>
      </c>
      <c r="B160" s="9" t="s">
        <v>23</v>
      </c>
      <c r="C160" s="12">
        <v>4.5599999999999996</v>
      </c>
      <c r="D160" s="35">
        <v>600</v>
      </c>
      <c r="E160" s="40">
        <f t="shared" si="3"/>
        <v>2735.9999999999995</v>
      </c>
    </row>
    <row r="161" spans="1:5" x14ac:dyDescent="0.25">
      <c r="A161" s="34">
        <v>167</v>
      </c>
      <c r="B161" s="9" t="s">
        <v>222</v>
      </c>
      <c r="C161" s="12">
        <v>346.6</v>
      </c>
      <c r="D161" s="35">
        <v>116</v>
      </c>
      <c r="E161" s="40">
        <f t="shared" si="3"/>
        <v>40205.600000000006</v>
      </c>
    </row>
    <row r="162" spans="1:5" x14ac:dyDescent="0.25">
      <c r="A162" s="34">
        <v>168</v>
      </c>
      <c r="B162" s="9" t="s">
        <v>221</v>
      </c>
      <c r="C162" s="12">
        <f>8.3+2.24+30.25</f>
        <v>40.79</v>
      </c>
      <c r="D162" s="35">
        <v>280</v>
      </c>
      <c r="E162" s="40">
        <f t="shared" si="3"/>
        <v>11421.199999999999</v>
      </c>
    </row>
    <row r="163" spans="1:5" x14ac:dyDescent="0.25">
      <c r="A163" s="34">
        <v>169</v>
      </c>
      <c r="B163" s="9" t="s">
        <v>274</v>
      </c>
      <c r="C163" s="12">
        <v>150.80000000000001</v>
      </c>
      <c r="D163" s="35">
        <v>94</v>
      </c>
      <c r="E163" s="40">
        <f t="shared" si="3"/>
        <v>14175.2</v>
      </c>
    </row>
    <row r="164" spans="1:5" x14ac:dyDescent="0.25">
      <c r="A164" s="34">
        <v>170</v>
      </c>
      <c r="B164" s="9" t="s">
        <v>324</v>
      </c>
      <c r="C164" s="12">
        <v>129.1</v>
      </c>
      <c r="D164" s="35">
        <v>116</v>
      </c>
      <c r="E164" s="40">
        <f t="shared" si="3"/>
        <v>14975.599999999999</v>
      </c>
    </row>
    <row r="165" spans="1:5" x14ac:dyDescent="0.25">
      <c r="A165" s="34">
        <v>171</v>
      </c>
      <c r="B165" s="9" t="s">
        <v>219</v>
      </c>
      <c r="C165" s="12">
        <f>4.36+1.68+3.14-2.2+27.3+29.6+12.8+155.9</f>
        <v>232.58</v>
      </c>
      <c r="D165" s="35">
        <v>72</v>
      </c>
      <c r="E165" s="40">
        <f t="shared" si="3"/>
        <v>16745.760000000002</v>
      </c>
    </row>
    <row r="166" spans="1:5" x14ac:dyDescent="0.25">
      <c r="A166" s="34">
        <v>172</v>
      </c>
      <c r="B166" s="9" t="s">
        <v>218</v>
      </c>
      <c r="C166" s="12">
        <f>4.74-3.9+8.7</f>
        <v>9.5399999999999991</v>
      </c>
      <c r="D166" s="35">
        <v>158</v>
      </c>
      <c r="E166" s="40">
        <f t="shared" si="3"/>
        <v>1507.32</v>
      </c>
    </row>
    <row r="167" spans="1:5" x14ac:dyDescent="0.25">
      <c r="A167" s="34">
        <v>173</v>
      </c>
      <c r="B167" s="9" t="s">
        <v>217</v>
      </c>
      <c r="C167" s="12">
        <v>6.5</v>
      </c>
      <c r="D167" s="35">
        <v>134</v>
      </c>
      <c r="E167" s="40">
        <f t="shared" si="3"/>
        <v>871</v>
      </c>
    </row>
    <row r="168" spans="1:5" x14ac:dyDescent="0.25">
      <c r="A168" s="34">
        <v>174</v>
      </c>
      <c r="B168" s="9" t="s">
        <v>216</v>
      </c>
      <c r="C168" s="12">
        <f>18.98-3.9+0.7+18.62-3.9+16.8+11.3</f>
        <v>58.599999999999994</v>
      </c>
      <c r="D168" s="35">
        <v>74</v>
      </c>
      <c r="E168" s="40">
        <f t="shared" si="3"/>
        <v>4336.3999999999996</v>
      </c>
    </row>
    <row r="169" spans="1:5" x14ac:dyDescent="0.25">
      <c r="A169" s="34">
        <v>175</v>
      </c>
      <c r="B169" s="9" t="s">
        <v>215</v>
      </c>
      <c r="C169" s="12">
        <v>246.7</v>
      </c>
      <c r="D169" s="35">
        <v>66</v>
      </c>
      <c r="E169" s="40">
        <f t="shared" si="3"/>
        <v>16282.199999999999</v>
      </c>
    </row>
    <row r="170" spans="1:5" x14ac:dyDescent="0.25">
      <c r="A170" s="34">
        <v>176</v>
      </c>
      <c r="B170" s="9" t="s">
        <v>214</v>
      </c>
      <c r="C170" s="12">
        <v>29.9</v>
      </c>
      <c r="D170" s="35">
        <v>66</v>
      </c>
      <c r="E170" s="40">
        <f t="shared" si="3"/>
        <v>1973.3999999999999</v>
      </c>
    </row>
    <row r="171" spans="1:5" x14ac:dyDescent="0.25">
      <c r="A171" s="34">
        <v>177</v>
      </c>
      <c r="B171" s="9" t="s">
        <v>213</v>
      </c>
      <c r="C171" s="12">
        <f>18.62-3.9+17.3</f>
        <v>32.020000000000003</v>
      </c>
      <c r="D171" s="35">
        <v>170</v>
      </c>
      <c r="E171" s="40">
        <f t="shared" si="3"/>
        <v>5443.4000000000005</v>
      </c>
    </row>
    <row r="172" spans="1:5" x14ac:dyDescent="0.25">
      <c r="A172" s="34">
        <v>178</v>
      </c>
      <c r="B172" s="9" t="s">
        <v>212</v>
      </c>
      <c r="C172" s="12">
        <f>117.5+366.7</f>
        <v>484.2</v>
      </c>
      <c r="D172" s="35">
        <v>72</v>
      </c>
      <c r="E172" s="40">
        <f t="shared" si="3"/>
        <v>34862.400000000001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3"/>
        <v>0</v>
      </c>
    </row>
    <row r="174" spans="1:5" x14ac:dyDescent="0.25">
      <c r="A174" s="34">
        <v>180</v>
      </c>
      <c r="B174" s="9" t="s">
        <v>210</v>
      </c>
      <c r="C174" s="12">
        <f>11.24-3.9+21.8</f>
        <v>29.14</v>
      </c>
      <c r="D174" s="35">
        <v>100</v>
      </c>
      <c r="E174" s="40">
        <f t="shared" si="3"/>
        <v>2914</v>
      </c>
    </row>
    <row r="175" spans="1:5" x14ac:dyDescent="0.25">
      <c r="A175" s="34">
        <v>183</v>
      </c>
      <c r="B175" s="9" t="s">
        <v>207</v>
      </c>
      <c r="C175" s="12">
        <f>312.62+63</f>
        <v>375.62</v>
      </c>
      <c r="D175" s="35">
        <v>149</v>
      </c>
      <c r="E175" s="40">
        <f t="shared" si="3"/>
        <v>55967.38</v>
      </c>
    </row>
    <row r="176" spans="1:5" x14ac:dyDescent="0.25">
      <c r="A176" s="34">
        <v>181</v>
      </c>
      <c r="B176" s="9" t="s">
        <v>209</v>
      </c>
      <c r="C176" s="12">
        <v>887.09</v>
      </c>
      <c r="D176" s="35">
        <v>53</v>
      </c>
      <c r="E176" s="40">
        <f t="shared" si="3"/>
        <v>47015.770000000004</v>
      </c>
    </row>
    <row r="177" spans="1:5" x14ac:dyDescent="0.25">
      <c r="A177" s="34">
        <v>182</v>
      </c>
      <c r="B177" s="43" t="s">
        <v>208</v>
      </c>
      <c r="C177" s="12">
        <v>0</v>
      </c>
      <c r="D177" s="35">
        <v>120</v>
      </c>
      <c r="E177" s="40">
        <f t="shared" si="3"/>
        <v>0</v>
      </c>
    </row>
    <row r="178" spans="1:5" x14ac:dyDescent="0.25">
      <c r="A178" s="34">
        <v>184</v>
      </c>
      <c r="B178" s="9" t="s">
        <v>206</v>
      </c>
      <c r="C178" s="12">
        <v>11.16</v>
      </c>
      <c r="D178" s="35">
        <v>184</v>
      </c>
      <c r="E178" s="40">
        <f t="shared" si="3"/>
        <v>2053.44</v>
      </c>
    </row>
    <row r="179" spans="1:5" ht="15.75" thickBot="1" x14ac:dyDescent="0.3">
      <c r="A179" s="32"/>
      <c r="B179" s="22" t="s">
        <v>17</v>
      </c>
      <c r="C179" s="23">
        <f>SUM(C136:C178)</f>
        <v>4356.8659999999991</v>
      </c>
      <c r="D179" s="15"/>
      <c r="E179" s="37">
        <f>SUM(E136:E178)</f>
        <v>446460.37600000016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103.7</v>
      </c>
      <c r="D181" s="35">
        <v>180</v>
      </c>
      <c r="E181" s="40">
        <f t="shared" si="3"/>
        <v>18666</v>
      </c>
    </row>
    <row r="182" spans="1:5" x14ac:dyDescent="0.25">
      <c r="A182" s="34">
        <v>186</v>
      </c>
      <c r="B182" s="9" t="s">
        <v>204</v>
      </c>
      <c r="C182" s="12">
        <v>49.9</v>
      </c>
      <c r="D182" s="35">
        <v>182</v>
      </c>
      <c r="E182" s="40">
        <f t="shared" si="3"/>
        <v>9081.7999999999993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v>25</v>
      </c>
      <c r="D184" s="35">
        <v>58</v>
      </c>
      <c r="E184" s="40">
        <f t="shared" si="3"/>
        <v>1450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11.06-3.9+1.82+6.04+6.26+3.54+9.3+28.9+39.8</f>
        <v>102.82</v>
      </c>
      <c r="D186" s="35">
        <v>120</v>
      </c>
      <c r="E186" s="40">
        <f t="shared" si="3"/>
        <v>12338.4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3"/>
        <v>0</v>
      </c>
    </row>
    <row r="188" spans="1:5" x14ac:dyDescent="0.25">
      <c r="A188" s="34">
        <v>192</v>
      </c>
      <c r="B188" s="9" t="s">
        <v>198</v>
      </c>
      <c r="C188" s="12">
        <f>27.6+316.5</f>
        <v>344.1</v>
      </c>
      <c r="D188" s="35">
        <v>40</v>
      </c>
      <c r="E188" s="40">
        <f t="shared" si="3"/>
        <v>13764</v>
      </c>
    </row>
    <row r="189" spans="1:5" x14ac:dyDescent="0.25">
      <c r="A189" s="34">
        <v>193</v>
      </c>
      <c r="B189" s="9" t="s">
        <v>197</v>
      </c>
      <c r="C189" s="12">
        <v>552</v>
      </c>
      <c r="D189" s="35">
        <v>20</v>
      </c>
      <c r="E189" s="40">
        <f t="shared" si="3"/>
        <v>11040</v>
      </c>
    </row>
    <row r="190" spans="1:5" x14ac:dyDescent="0.25">
      <c r="A190" s="34">
        <v>194</v>
      </c>
      <c r="B190" s="9" t="s">
        <v>196</v>
      </c>
      <c r="C190" s="12">
        <v>20.6</v>
      </c>
      <c r="D190" s="35">
        <v>32</v>
      </c>
      <c r="E190" s="40">
        <f t="shared" si="3"/>
        <v>659.2</v>
      </c>
    </row>
    <row r="191" spans="1:5" x14ac:dyDescent="0.25">
      <c r="A191" s="34">
        <v>195</v>
      </c>
      <c r="B191" s="9" t="s">
        <v>93</v>
      </c>
      <c r="C191" s="12">
        <f>2.9+1.84+3.78+1.62+17.4+65</f>
        <v>92.539999999999992</v>
      </c>
      <c r="D191" s="35">
        <v>38</v>
      </c>
      <c r="E191" s="40">
        <f t="shared" si="3"/>
        <v>3516.5199999999995</v>
      </c>
    </row>
    <row r="192" spans="1:5" x14ac:dyDescent="0.25">
      <c r="A192" s="34">
        <v>196</v>
      </c>
      <c r="B192" s="9" t="s">
        <v>92</v>
      </c>
      <c r="C192" s="12">
        <f>49.88+58.9</f>
        <v>108.78</v>
      </c>
      <c r="D192" s="35">
        <v>95</v>
      </c>
      <c r="E192" s="40">
        <f t="shared" si="3"/>
        <v>10334.1</v>
      </c>
    </row>
    <row r="193" spans="1:5" x14ac:dyDescent="0.25">
      <c r="A193" s="34">
        <v>197</v>
      </c>
      <c r="B193" s="9" t="s">
        <v>91</v>
      </c>
      <c r="C193" s="12">
        <f>1.28+14.19</f>
        <v>15.469999999999999</v>
      </c>
      <c r="D193" s="35">
        <v>420</v>
      </c>
      <c r="E193" s="40">
        <f t="shared" si="3"/>
        <v>6497.4</v>
      </c>
    </row>
    <row r="194" spans="1:5" x14ac:dyDescent="0.25">
      <c r="A194" s="34">
        <v>198</v>
      </c>
      <c r="B194" s="9" t="s">
        <v>90</v>
      </c>
      <c r="C194" s="12">
        <f>35.1-4.4+1.82+100.8</f>
        <v>133.32</v>
      </c>
      <c r="D194" s="35">
        <v>184</v>
      </c>
      <c r="E194" s="40">
        <f t="shared" si="3"/>
        <v>24530.879999999997</v>
      </c>
    </row>
    <row r="195" spans="1:5" x14ac:dyDescent="0.25">
      <c r="A195" s="34">
        <v>199</v>
      </c>
      <c r="B195" s="43" t="s">
        <v>89</v>
      </c>
      <c r="C195" s="12">
        <v>0</v>
      </c>
      <c r="D195" s="35">
        <v>50</v>
      </c>
      <c r="E195" s="40">
        <f t="shared" si="3"/>
        <v>0</v>
      </c>
    </row>
    <row r="196" spans="1:5" x14ac:dyDescent="0.25">
      <c r="A196" s="34">
        <v>200</v>
      </c>
      <c r="B196" s="9" t="s">
        <v>290</v>
      </c>
      <c r="C196" s="12">
        <v>272.2</v>
      </c>
      <c r="D196" s="35">
        <v>57</v>
      </c>
      <c r="E196" s="40">
        <f t="shared" si="3"/>
        <v>15515.4</v>
      </c>
    </row>
    <row r="197" spans="1:5" x14ac:dyDescent="0.25">
      <c r="A197" s="34">
        <v>201</v>
      </c>
      <c r="B197" s="9" t="s">
        <v>88</v>
      </c>
      <c r="C197" s="12">
        <f>8.32-2+4.48+119.36+11.8</f>
        <v>141.96</v>
      </c>
      <c r="D197" s="35">
        <v>42</v>
      </c>
      <c r="E197" s="40">
        <f t="shared" si="3"/>
        <v>5962.3200000000006</v>
      </c>
    </row>
    <row r="198" spans="1:5" x14ac:dyDescent="0.25">
      <c r="A198" s="34">
        <v>202</v>
      </c>
      <c r="B198" s="9" t="s">
        <v>87</v>
      </c>
      <c r="C198" s="12">
        <f>0.52+0.52+16.06-3+20.69</f>
        <v>34.79</v>
      </c>
      <c r="D198" s="35">
        <v>98</v>
      </c>
      <c r="E198" s="40">
        <f t="shared" si="3"/>
        <v>3409.42</v>
      </c>
    </row>
    <row r="199" spans="1:5" x14ac:dyDescent="0.25">
      <c r="A199" s="34">
        <v>203</v>
      </c>
      <c r="B199" s="9" t="s">
        <v>86</v>
      </c>
      <c r="C199" s="12">
        <v>160</v>
      </c>
      <c r="D199" s="35">
        <v>120</v>
      </c>
      <c r="E199" s="40">
        <f t="shared" si="3"/>
        <v>19200</v>
      </c>
    </row>
    <row r="200" spans="1:5" x14ac:dyDescent="0.25">
      <c r="A200" s="34">
        <v>204</v>
      </c>
      <c r="B200" s="9" t="s">
        <v>85</v>
      </c>
      <c r="C200" s="12">
        <v>143</v>
      </c>
      <c r="D200" s="35">
        <v>105</v>
      </c>
      <c r="E200" s="40">
        <f t="shared" ref="E200:E262" si="4">C200*D200</f>
        <v>15015</v>
      </c>
    </row>
    <row r="201" spans="1:5" x14ac:dyDescent="0.25">
      <c r="A201" s="34">
        <v>205</v>
      </c>
      <c r="B201" s="9" t="s">
        <v>84</v>
      </c>
      <c r="C201" s="12">
        <f>21.7-2.2</f>
        <v>19.5</v>
      </c>
      <c r="D201" s="35">
        <v>70</v>
      </c>
      <c r="E201" s="40">
        <f t="shared" si="4"/>
        <v>1365</v>
      </c>
    </row>
    <row r="202" spans="1:5" x14ac:dyDescent="0.25">
      <c r="A202" s="34">
        <v>206</v>
      </c>
      <c r="B202" s="9" t="s">
        <v>83</v>
      </c>
      <c r="C202" s="12">
        <f>14.92-2.2+8.7+118.62</f>
        <v>140.04</v>
      </c>
      <c r="D202" s="35">
        <v>100</v>
      </c>
      <c r="E202" s="40">
        <f t="shared" si="4"/>
        <v>14004</v>
      </c>
    </row>
    <row r="203" spans="1:5" x14ac:dyDescent="0.25">
      <c r="A203" s="34">
        <v>207</v>
      </c>
      <c r="B203" s="43" t="s">
        <v>79</v>
      </c>
      <c r="C203" s="12">
        <v>0</v>
      </c>
      <c r="D203" s="35">
        <v>160</v>
      </c>
      <c r="E203" s="40">
        <f t="shared" si="4"/>
        <v>0</v>
      </c>
    </row>
    <row r="204" spans="1:5" x14ac:dyDescent="0.25">
      <c r="A204" s="34">
        <v>208</v>
      </c>
      <c r="B204" s="9" t="s">
        <v>82</v>
      </c>
      <c r="C204" s="12">
        <v>20</v>
      </c>
      <c r="D204" s="35">
        <v>93</v>
      </c>
      <c r="E204" s="40">
        <f t="shared" si="4"/>
        <v>1860</v>
      </c>
    </row>
    <row r="205" spans="1:5" x14ac:dyDescent="0.25">
      <c r="A205" s="34">
        <v>209</v>
      </c>
      <c r="B205" s="9" t="s">
        <v>81</v>
      </c>
      <c r="C205" s="12">
        <v>2</v>
      </c>
      <c r="D205" s="35">
        <v>75</v>
      </c>
      <c r="E205" s="40">
        <f t="shared" si="4"/>
        <v>150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4"/>
        <v>260</v>
      </c>
    </row>
    <row r="207" spans="1:5" x14ac:dyDescent="0.25">
      <c r="A207" s="34">
        <v>211</v>
      </c>
      <c r="B207" s="9" t="s">
        <v>279</v>
      </c>
      <c r="C207" s="12">
        <v>18</v>
      </c>
      <c r="D207" s="35">
        <v>36</v>
      </c>
      <c r="E207" s="40">
        <f t="shared" si="4"/>
        <v>648</v>
      </c>
    </row>
    <row r="208" spans="1:5" x14ac:dyDescent="0.25">
      <c r="A208" s="34">
        <v>212</v>
      </c>
      <c r="B208" s="9" t="s">
        <v>97</v>
      </c>
      <c r="C208" s="12">
        <f>4.04+15</f>
        <v>19.04</v>
      </c>
      <c r="D208" s="35">
        <v>80</v>
      </c>
      <c r="E208" s="40">
        <f t="shared" si="4"/>
        <v>1523.1999999999998</v>
      </c>
    </row>
    <row r="209" spans="1:5" x14ac:dyDescent="0.25">
      <c r="A209" s="34">
        <v>213</v>
      </c>
      <c r="B209" s="9" t="s">
        <v>78</v>
      </c>
      <c r="C209" s="12">
        <v>4.5</v>
      </c>
      <c r="D209" s="35">
        <v>58</v>
      </c>
      <c r="E209" s="40">
        <f t="shared" si="4"/>
        <v>261</v>
      </c>
    </row>
    <row r="210" spans="1:5" x14ac:dyDescent="0.25">
      <c r="A210" s="34">
        <v>214</v>
      </c>
      <c r="B210" s="43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9</v>
      </c>
      <c r="D211" s="35">
        <v>36</v>
      </c>
      <c r="E211" s="40">
        <f t="shared" si="4"/>
        <v>324</v>
      </c>
    </row>
    <row r="212" spans="1:5" x14ac:dyDescent="0.25">
      <c r="A212" s="34">
        <v>216</v>
      </c>
      <c r="B212" s="9" t="s">
        <v>19</v>
      </c>
      <c r="C212" s="12">
        <v>6</v>
      </c>
      <c r="D212" s="35">
        <v>60</v>
      </c>
      <c r="E212" s="40">
        <f t="shared" si="4"/>
        <v>360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11</v>
      </c>
      <c r="D214" s="35">
        <v>40</v>
      </c>
      <c r="E214" s="40">
        <f t="shared" si="4"/>
        <v>440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86</v>
      </c>
      <c r="D216" s="35">
        <v>30</v>
      </c>
      <c r="E216" s="40">
        <f t="shared" si="4"/>
        <v>2580</v>
      </c>
    </row>
    <row r="217" spans="1:5" ht="17.25" customHeight="1" x14ac:dyDescent="0.25">
      <c r="A217" s="34">
        <v>221</v>
      </c>
      <c r="B217" s="9" t="s">
        <v>72</v>
      </c>
      <c r="C217" s="12">
        <f>0.66+2.086</f>
        <v>2.746</v>
      </c>
      <c r="D217" s="35">
        <v>370</v>
      </c>
      <c r="E217" s="40">
        <f t="shared" si="4"/>
        <v>1016.02</v>
      </c>
    </row>
    <row r="218" spans="1:5" ht="17.25" customHeight="1" x14ac:dyDescent="0.25">
      <c r="A218" s="34">
        <v>222</v>
      </c>
      <c r="B218" s="9" t="s">
        <v>70</v>
      </c>
      <c r="C218" s="12">
        <f>6.4+4.7</f>
        <v>11.100000000000001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9" t="s">
        <v>332</v>
      </c>
      <c r="C220" s="12">
        <f>0.38+1.684</f>
        <v>2.0640000000000001</v>
      </c>
      <c r="D220" s="35">
        <v>245</v>
      </c>
      <c r="E220" s="40">
        <f t="shared" si="4"/>
        <v>505.68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4"/>
        <v>0</v>
      </c>
    </row>
    <row r="222" spans="1:5" ht="17.25" customHeight="1" x14ac:dyDescent="0.25">
      <c r="A222" s="34">
        <v>226</v>
      </c>
      <c r="B222" s="9" t="s">
        <v>66</v>
      </c>
      <c r="C222" s="12">
        <v>0.316</v>
      </c>
      <c r="D222" s="35">
        <v>96</v>
      </c>
      <c r="E222" s="40">
        <f t="shared" si="4"/>
        <v>30.335999999999999</v>
      </c>
    </row>
    <row r="223" spans="1:5" ht="15.75" thickBot="1" x14ac:dyDescent="0.3">
      <c r="A223" s="32"/>
      <c r="B223" s="22" t="s">
        <v>17</v>
      </c>
      <c r="C223" s="23">
        <f>SUM(C181:C222)</f>
        <v>2655.4859999999994</v>
      </c>
      <c r="D223" s="38"/>
      <c r="E223" s="37">
        <f>SUM(E181:E222)</f>
        <v>196309.492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</v>
      </c>
      <c r="D225" s="35">
        <v>40</v>
      </c>
      <c r="E225" s="40">
        <f t="shared" si="4"/>
        <v>40</v>
      </c>
    </row>
    <row r="226" spans="1:5" ht="17.25" customHeight="1" x14ac:dyDescent="0.25">
      <c r="A226" s="34">
        <v>228</v>
      </c>
      <c r="B226" s="9" t="s">
        <v>64</v>
      </c>
      <c r="C226" s="12">
        <v>13.45</v>
      </c>
      <c r="D226" s="35">
        <v>60</v>
      </c>
      <c r="E226" s="40">
        <f t="shared" si="4"/>
        <v>807</v>
      </c>
    </row>
    <row r="227" spans="1:5" ht="17.25" customHeight="1" x14ac:dyDescent="0.25">
      <c r="A227" s="34">
        <v>229</v>
      </c>
      <c r="B227" s="9" t="s">
        <v>63</v>
      </c>
      <c r="C227" s="12">
        <f>5.9+1.11</f>
        <v>7.0100000000000007</v>
      </c>
      <c r="D227" s="35">
        <v>315</v>
      </c>
      <c r="E227" s="40">
        <f t="shared" si="4"/>
        <v>2208.15</v>
      </c>
    </row>
    <row r="228" spans="1:5" ht="17.25" customHeight="1" x14ac:dyDescent="0.25">
      <c r="A228" s="34">
        <v>231</v>
      </c>
      <c r="B228" s="9" t="s">
        <v>62</v>
      </c>
      <c r="C228" s="12">
        <v>3.8</v>
      </c>
      <c r="D228" s="35">
        <v>18</v>
      </c>
      <c r="E228" s="40">
        <f t="shared" si="4"/>
        <v>68.399999999999991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17</v>
      </c>
      <c r="D232" s="35">
        <v>130</v>
      </c>
      <c r="E232" s="40">
        <f t="shared" si="4"/>
        <v>2210</v>
      </c>
    </row>
    <row r="233" spans="1:5" ht="17.25" customHeight="1" x14ac:dyDescent="0.25">
      <c r="A233" s="34">
        <v>236</v>
      </c>
      <c r="B233" s="9" t="s">
        <v>57</v>
      </c>
      <c r="C233" s="12">
        <f>34.8+700</f>
        <v>734.8</v>
      </c>
      <c r="D233" s="35">
        <v>36</v>
      </c>
      <c r="E233" s="40">
        <f t="shared" si="4"/>
        <v>26452.799999999999</v>
      </c>
    </row>
    <row r="234" spans="1:5" ht="17.25" customHeight="1" x14ac:dyDescent="0.25">
      <c r="A234" s="34">
        <v>237</v>
      </c>
      <c r="B234" s="9" t="s">
        <v>56</v>
      </c>
      <c r="C234" s="14">
        <v>554.79999999999995</v>
      </c>
      <c r="D234" s="35">
        <v>177</v>
      </c>
      <c r="E234" s="40">
        <f t="shared" si="4"/>
        <v>98199.599999999991</v>
      </c>
    </row>
    <row r="235" spans="1:5" ht="17.25" customHeight="1" x14ac:dyDescent="0.25">
      <c r="A235" s="34">
        <v>238</v>
      </c>
      <c r="B235" s="9" t="s">
        <v>50</v>
      </c>
      <c r="C235" s="12">
        <f>27.38-2.2+1.46+16.3</f>
        <v>42.94</v>
      </c>
      <c r="D235" s="35">
        <v>160</v>
      </c>
      <c r="E235" s="40">
        <f t="shared" si="4"/>
        <v>6870.4</v>
      </c>
    </row>
    <row r="236" spans="1:5" ht="17.25" customHeight="1" x14ac:dyDescent="0.25">
      <c r="A236" s="34">
        <v>239</v>
      </c>
      <c r="B236" s="9" t="s">
        <v>49</v>
      </c>
      <c r="C236" s="12">
        <v>0</v>
      </c>
      <c r="D236" s="35">
        <v>76</v>
      </c>
      <c r="E236" s="40">
        <f t="shared" si="4"/>
        <v>0</v>
      </c>
    </row>
    <row r="237" spans="1:5" ht="17.25" customHeight="1" x14ac:dyDescent="0.25">
      <c r="A237" s="34">
        <v>240</v>
      </c>
      <c r="B237" s="9" t="s">
        <v>335</v>
      </c>
      <c r="C237" s="12">
        <v>10.3</v>
      </c>
      <c r="D237" s="35">
        <v>78</v>
      </c>
      <c r="E237" s="40">
        <f t="shared" si="4"/>
        <v>803.40000000000009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v>54</v>
      </c>
      <c r="D239" s="35">
        <v>26</v>
      </c>
      <c r="E239" s="40">
        <f t="shared" si="4"/>
        <v>1404</v>
      </c>
    </row>
    <row r="240" spans="1:5" ht="17.25" customHeight="1" x14ac:dyDescent="0.25">
      <c r="A240" s="34">
        <v>243</v>
      </c>
      <c r="B240" s="43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0.86+2.44+14.48-2.2+44.97+52.4</f>
        <v>112.94999999999999</v>
      </c>
      <c r="D241" s="35">
        <v>98</v>
      </c>
      <c r="E241" s="40">
        <f t="shared" si="4"/>
        <v>11069.099999999999</v>
      </c>
    </row>
    <row r="242" spans="1:5" ht="17.25" customHeight="1" x14ac:dyDescent="0.25">
      <c r="A242" s="34">
        <v>245</v>
      </c>
      <c r="B242" s="9" t="s">
        <v>43</v>
      </c>
      <c r="C242" s="12">
        <f>13.78-2.2+9.1</f>
        <v>20.68</v>
      </c>
      <c r="D242" s="35">
        <v>125</v>
      </c>
      <c r="E242" s="40">
        <f t="shared" si="4"/>
        <v>2585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8</v>
      </c>
      <c r="D244" s="35">
        <v>20</v>
      </c>
      <c r="E244" s="40">
        <f t="shared" si="4"/>
        <v>160</v>
      </c>
    </row>
    <row r="245" spans="1:5" ht="17.25" customHeight="1" x14ac:dyDescent="0.25">
      <c r="A245" s="34">
        <v>248</v>
      </c>
      <c r="B245" s="9" t="s">
        <v>30</v>
      </c>
      <c r="C245" s="12">
        <v>1.35</v>
      </c>
      <c r="D245" s="35">
        <v>360</v>
      </c>
      <c r="E245" s="40">
        <f t="shared" si="4"/>
        <v>486.00000000000006</v>
      </c>
    </row>
    <row r="246" spans="1:5" ht="17.25" customHeight="1" x14ac:dyDescent="0.25">
      <c r="A246" s="34">
        <v>249</v>
      </c>
      <c r="B246" s="9" t="s">
        <v>29</v>
      </c>
      <c r="C246" s="12">
        <v>14.8</v>
      </c>
      <c r="D246" s="35">
        <v>184</v>
      </c>
      <c r="E246" s="40">
        <f t="shared" si="4"/>
        <v>2723.2000000000003</v>
      </c>
    </row>
    <row r="247" spans="1:5" ht="17.25" customHeight="1" x14ac:dyDescent="0.25">
      <c r="A247" s="34">
        <v>250</v>
      </c>
      <c r="B247" s="9" t="s">
        <v>333</v>
      </c>
      <c r="C247" s="12">
        <v>2.04</v>
      </c>
      <c r="D247" s="35">
        <v>195</v>
      </c>
      <c r="E247" s="40">
        <f t="shared" si="4"/>
        <v>397.8</v>
      </c>
    </row>
    <row r="248" spans="1:5" ht="17.25" customHeight="1" x14ac:dyDescent="0.25">
      <c r="A248" s="34">
        <v>251</v>
      </c>
      <c r="B248" s="9" t="s">
        <v>98</v>
      </c>
      <c r="C248" s="12">
        <v>17.2</v>
      </c>
      <c r="D248" s="35">
        <v>50</v>
      </c>
      <c r="E248" s="40">
        <f t="shared" si="4"/>
        <v>860</v>
      </c>
    </row>
    <row r="249" spans="1:5" ht="17.25" customHeight="1" x14ac:dyDescent="0.25">
      <c r="A249" s="34">
        <v>252</v>
      </c>
      <c r="B249" s="9" t="s">
        <v>99</v>
      </c>
      <c r="C249" s="12">
        <v>16</v>
      </c>
      <c r="D249" s="35">
        <v>45</v>
      </c>
      <c r="E249" s="40">
        <f t="shared" si="4"/>
        <v>720</v>
      </c>
    </row>
    <row r="250" spans="1:5" ht="17.25" customHeight="1" x14ac:dyDescent="0.25">
      <c r="A250" s="34">
        <v>253</v>
      </c>
      <c r="B250" s="9" t="s">
        <v>95</v>
      </c>
      <c r="C250" s="12">
        <f>5.98+1.12</f>
        <v>7.1000000000000005</v>
      </c>
      <c r="D250" s="35">
        <v>350</v>
      </c>
      <c r="E250" s="40">
        <f t="shared" si="4"/>
        <v>2485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f>16+4.45</f>
        <v>20.45</v>
      </c>
      <c r="D251" s="39">
        <v>70</v>
      </c>
      <c r="E251" s="40">
        <f t="shared" si="4"/>
        <v>1431.5</v>
      </c>
    </row>
    <row r="252" spans="1:5" s="6" customFormat="1" ht="17.25" customHeight="1" x14ac:dyDescent="0.25">
      <c r="A252" s="34">
        <v>255</v>
      </c>
      <c r="B252" s="10" t="s">
        <v>331</v>
      </c>
      <c r="C252" s="14">
        <f>1.33+1.368</f>
        <v>2.6980000000000004</v>
      </c>
      <c r="D252" s="39">
        <v>132</v>
      </c>
      <c r="E252" s="40">
        <f t="shared" si="4"/>
        <v>356.13600000000008</v>
      </c>
    </row>
    <row r="253" spans="1:5" ht="17.25" customHeight="1" x14ac:dyDescent="0.25">
      <c r="A253" s="34">
        <v>256</v>
      </c>
      <c r="B253" s="9" t="s">
        <v>25</v>
      </c>
      <c r="C253" s="12">
        <f>11.2+2.966</f>
        <v>14.166</v>
      </c>
      <c r="D253" s="35">
        <v>120</v>
      </c>
      <c r="E253" s="40">
        <f t="shared" si="4"/>
        <v>1699.92</v>
      </c>
    </row>
    <row r="254" spans="1:5" x14ac:dyDescent="0.25">
      <c r="A254" s="34">
        <v>257</v>
      </c>
      <c r="B254" s="9" t="s">
        <v>24</v>
      </c>
      <c r="C254" s="12">
        <f>3.7+1.86+1.1+0.63</f>
        <v>7.29</v>
      </c>
      <c r="D254" s="35">
        <v>160</v>
      </c>
      <c r="E254" s="40">
        <f t="shared" si="4"/>
        <v>1166.4000000000001</v>
      </c>
    </row>
    <row r="255" spans="1:5" x14ac:dyDescent="0.25">
      <c r="A255" s="34">
        <v>258</v>
      </c>
      <c r="B255" s="9" t="s">
        <v>185</v>
      </c>
      <c r="C255" s="12">
        <f>1.54+13.3</f>
        <v>14.84</v>
      </c>
      <c r="D255" s="35">
        <v>10</v>
      </c>
      <c r="E255" s="40">
        <f t="shared" si="4"/>
        <v>148.4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1.82+23.6+13.52</f>
        <v>38.94</v>
      </c>
      <c r="D257" s="35">
        <v>350</v>
      </c>
      <c r="E257" s="40">
        <f t="shared" si="4"/>
        <v>13629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5+9.83</f>
        <v>14.83</v>
      </c>
      <c r="D259" s="35">
        <v>745</v>
      </c>
      <c r="E259" s="40">
        <f t="shared" si="4"/>
        <v>11048.35</v>
      </c>
    </row>
    <row r="260" spans="1:5" x14ac:dyDescent="0.25">
      <c r="A260" s="34">
        <v>263</v>
      </c>
      <c r="B260" s="9" t="s">
        <v>190</v>
      </c>
      <c r="C260" s="12">
        <v>11.92</v>
      </c>
      <c r="D260" s="35">
        <v>168</v>
      </c>
      <c r="E260" s="40">
        <f t="shared" si="4"/>
        <v>2002.56</v>
      </c>
    </row>
    <row r="261" spans="1:5" x14ac:dyDescent="0.25">
      <c r="A261" s="34">
        <v>264</v>
      </c>
      <c r="B261" s="9" t="s">
        <v>191</v>
      </c>
      <c r="C261" s="12">
        <f>0.64+9.64</f>
        <v>10.280000000000001</v>
      </c>
      <c r="D261" s="35">
        <v>555</v>
      </c>
      <c r="E261" s="40">
        <f t="shared" si="4"/>
        <v>5705.4000000000005</v>
      </c>
    </row>
    <row r="262" spans="1:5" x14ac:dyDescent="0.25">
      <c r="A262" s="34">
        <v>265</v>
      </c>
      <c r="B262" s="9" t="s">
        <v>192</v>
      </c>
      <c r="C262" s="41">
        <f>2.52+5.03</f>
        <v>7.5500000000000007</v>
      </c>
      <c r="D262" s="35">
        <v>587</v>
      </c>
      <c r="E262" s="40">
        <f t="shared" si="4"/>
        <v>4431.8500000000004</v>
      </c>
    </row>
    <row r="263" spans="1:5" ht="15.75" thickBot="1" x14ac:dyDescent="0.3">
      <c r="A263" s="32"/>
      <c r="B263" s="22" t="s">
        <v>17</v>
      </c>
      <c r="C263" s="23">
        <f>SUM(C225:C262)</f>
        <v>1802.9839999999997</v>
      </c>
      <c r="D263" s="38"/>
      <c r="E263" s="37">
        <f>SUM(E225:E262)</f>
        <v>205705.36599999998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1.24+4.95</f>
        <v>6.19</v>
      </c>
      <c r="D265" s="35">
        <v>341</v>
      </c>
      <c r="E265" s="40">
        <f t="shared" ref="E265:E329" si="5">C265*D265</f>
        <v>2110.79</v>
      </c>
    </row>
    <row r="266" spans="1:5" x14ac:dyDescent="0.25">
      <c r="A266" s="34">
        <v>267</v>
      </c>
      <c r="B266" s="9" t="s">
        <v>194</v>
      </c>
      <c r="C266" s="12">
        <v>3.39</v>
      </c>
      <c r="D266" s="35">
        <v>659</v>
      </c>
      <c r="E266" s="40">
        <f t="shared" si="5"/>
        <v>2234.0100000000002</v>
      </c>
    </row>
    <row r="267" spans="1:5" x14ac:dyDescent="0.25">
      <c r="A267" s="34">
        <v>268</v>
      </c>
      <c r="B267" s="9" t="s">
        <v>195</v>
      </c>
      <c r="C267" s="12">
        <f>3.44-0.35</f>
        <v>3.09</v>
      </c>
      <c r="D267" s="35">
        <v>689</v>
      </c>
      <c r="E267" s="40">
        <f t="shared" si="5"/>
        <v>2129.0099999999998</v>
      </c>
    </row>
    <row r="268" spans="1:5" x14ac:dyDescent="0.25">
      <c r="A268" s="34">
        <v>269</v>
      </c>
      <c r="B268" s="9" t="s">
        <v>126</v>
      </c>
      <c r="C268" s="12">
        <v>7.2</v>
      </c>
      <c r="D268" s="35">
        <v>810</v>
      </c>
      <c r="E268" s="40">
        <f t="shared" si="5"/>
        <v>5832</v>
      </c>
    </row>
    <row r="269" spans="1:5" x14ac:dyDescent="0.25">
      <c r="A269" s="34">
        <v>270</v>
      </c>
      <c r="B269" s="9" t="s">
        <v>125</v>
      </c>
      <c r="C269" s="12">
        <f>1.24+5.07</f>
        <v>6.3100000000000005</v>
      </c>
      <c r="D269" s="35">
        <v>741</v>
      </c>
      <c r="E269" s="40">
        <f t="shared" si="5"/>
        <v>4675.71</v>
      </c>
    </row>
    <row r="270" spans="1:5" x14ac:dyDescent="0.25">
      <c r="A270" s="34">
        <v>271</v>
      </c>
      <c r="B270" s="9" t="s">
        <v>124</v>
      </c>
      <c r="C270" s="12">
        <f>179.99+35.7+61.7</f>
        <v>277.39</v>
      </c>
      <c r="D270" s="35">
        <v>152</v>
      </c>
      <c r="E270" s="40">
        <f t="shared" si="5"/>
        <v>42163.28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f>66+168.2</f>
        <v>234.2</v>
      </c>
      <c r="D272" s="35">
        <v>280</v>
      </c>
      <c r="E272" s="40">
        <f t="shared" si="5"/>
        <v>65576</v>
      </c>
    </row>
    <row r="273" spans="1:5" x14ac:dyDescent="0.25">
      <c r="A273" s="34">
        <v>274</v>
      </c>
      <c r="B273" s="9" t="s">
        <v>121</v>
      </c>
      <c r="C273" s="12">
        <f>4.1-0.35</f>
        <v>3.7499999999999996</v>
      </c>
      <c r="D273" s="35">
        <v>644</v>
      </c>
      <c r="E273" s="40">
        <f t="shared" si="5"/>
        <v>2414.9999999999995</v>
      </c>
    </row>
    <row r="274" spans="1:5" x14ac:dyDescent="0.25">
      <c r="A274" s="34">
        <v>275</v>
      </c>
      <c r="B274" s="9" t="s">
        <v>120</v>
      </c>
      <c r="C274" s="12">
        <v>20.239999999999998</v>
      </c>
      <c r="D274" s="35">
        <v>435</v>
      </c>
      <c r="E274" s="40">
        <f t="shared" si="5"/>
        <v>8804.4</v>
      </c>
    </row>
    <row r="275" spans="1:5" x14ac:dyDescent="0.25">
      <c r="A275" s="34">
        <v>276</v>
      </c>
      <c r="B275" s="9" t="s">
        <v>119</v>
      </c>
      <c r="C275" s="12">
        <f>2.54+22.8</f>
        <v>25.34</v>
      </c>
      <c r="D275" s="35">
        <v>95</v>
      </c>
      <c r="E275" s="40">
        <f t="shared" si="5"/>
        <v>2407.3000000000002</v>
      </c>
    </row>
    <row r="276" spans="1:5" x14ac:dyDescent="0.25">
      <c r="A276" s="34">
        <v>277</v>
      </c>
      <c r="B276" s="9" t="s">
        <v>286</v>
      </c>
      <c r="C276" s="12">
        <v>6</v>
      </c>
      <c r="D276" s="35">
        <v>28</v>
      </c>
      <c r="E276" s="40">
        <f t="shared" si="5"/>
        <v>168</v>
      </c>
    </row>
    <row r="277" spans="1:5" x14ac:dyDescent="0.25">
      <c r="A277" s="34">
        <v>278</v>
      </c>
      <c r="B277" s="9" t="s">
        <v>118</v>
      </c>
      <c r="C277" s="12">
        <f>1.2+24.3</f>
        <v>25.5</v>
      </c>
      <c r="D277" s="35">
        <v>442</v>
      </c>
      <c r="E277" s="40">
        <f t="shared" si="5"/>
        <v>11271</v>
      </c>
    </row>
    <row r="278" spans="1:5" x14ac:dyDescent="0.25">
      <c r="A278" s="34">
        <v>279</v>
      </c>
      <c r="B278" s="9" t="s">
        <v>116</v>
      </c>
      <c r="C278" s="12">
        <f>541+554.8</f>
        <v>1095.8</v>
      </c>
      <c r="D278" s="35">
        <v>164</v>
      </c>
      <c r="E278" s="40">
        <f t="shared" si="5"/>
        <v>179711.19999999998</v>
      </c>
    </row>
    <row r="279" spans="1:5" x14ac:dyDescent="0.25">
      <c r="A279" s="34">
        <v>280</v>
      </c>
      <c r="B279" s="9" t="s">
        <v>115</v>
      </c>
      <c r="C279" s="12">
        <v>0</v>
      </c>
      <c r="D279" s="35">
        <v>600</v>
      </c>
      <c r="E279" s="40">
        <f t="shared" si="5"/>
        <v>0</v>
      </c>
    </row>
    <row r="280" spans="1:5" x14ac:dyDescent="0.25">
      <c r="A280" s="34">
        <v>281</v>
      </c>
      <c r="B280" s="9" t="s">
        <v>114</v>
      </c>
      <c r="C280" s="12">
        <v>9.3000000000000007</v>
      </c>
      <c r="D280" s="35">
        <v>900</v>
      </c>
      <c r="E280" s="40">
        <f t="shared" si="5"/>
        <v>8370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v>57.3</v>
      </c>
      <c r="D284" s="35">
        <v>68</v>
      </c>
      <c r="E284" s="40">
        <f t="shared" si="5"/>
        <v>3896.3999999999996</v>
      </c>
    </row>
    <row r="285" spans="1:5" x14ac:dyDescent="0.25">
      <c r="A285" s="34">
        <v>286</v>
      </c>
      <c r="B285" s="9" t="s">
        <v>276</v>
      </c>
      <c r="C285" s="12">
        <f>13.05+1.34</f>
        <v>14.39</v>
      </c>
      <c r="D285" s="35">
        <v>80</v>
      </c>
      <c r="E285" s="40">
        <f t="shared" si="5"/>
        <v>1151.2</v>
      </c>
    </row>
    <row r="286" spans="1:5" x14ac:dyDescent="0.25">
      <c r="A286" s="34">
        <v>287</v>
      </c>
      <c r="B286" s="9" t="s">
        <v>277</v>
      </c>
      <c r="C286" s="12">
        <v>7</v>
      </c>
      <c r="D286" s="35">
        <v>46</v>
      </c>
      <c r="E286" s="40">
        <f t="shared" si="5"/>
        <v>322</v>
      </c>
    </row>
    <row r="287" spans="1:5" x14ac:dyDescent="0.25">
      <c r="A287" s="34">
        <v>288</v>
      </c>
      <c r="B287" s="9" t="s">
        <v>278</v>
      </c>
      <c r="C287" s="12">
        <v>15</v>
      </c>
      <c r="D287" s="35">
        <v>110</v>
      </c>
      <c r="E287" s="40">
        <f t="shared" si="5"/>
        <v>1650</v>
      </c>
    </row>
    <row r="288" spans="1:5" x14ac:dyDescent="0.25">
      <c r="A288" s="34">
        <v>289</v>
      </c>
      <c r="B288" s="9" t="s">
        <v>280</v>
      </c>
      <c r="C288" s="12">
        <v>0</v>
      </c>
      <c r="D288" s="35">
        <v>90</v>
      </c>
      <c r="E288" s="40">
        <f t="shared" si="5"/>
        <v>0</v>
      </c>
    </row>
    <row r="289" spans="1:5" x14ac:dyDescent="0.25">
      <c r="A289" s="34">
        <v>290</v>
      </c>
      <c r="B289" s="9" t="s">
        <v>282</v>
      </c>
      <c r="C289" s="12">
        <v>0.41</v>
      </c>
      <c r="D289" s="35">
        <v>980</v>
      </c>
      <c r="E289" s="40">
        <f t="shared" si="5"/>
        <v>401.79999999999995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15</v>
      </c>
      <c r="D291" s="35">
        <v>85</v>
      </c>
      <c r="E291" s="40">
        <f t="shared" si="5"/>
        <v>1275</v>
      </c>
    </row>
    <row r="292" spans="1:5" x14ac:dyDescent="0.25">
      <c r="A292" s="34">
        <v>293</v>
      </c>
      <c r="B292" s="9" t="s">
        <v>285</v>
      </c>
      <c r="C292" s="12">
        <v>7</v>
      </c>
      <c r="D292" s="35">
        <v>61</v>
      </c>
      <c r="E292" s="40">
        <f t="shared" si="5"/>
        <v>427</v>
      </c>
    </row>
    <row r="293" spans="1:5" x14ac:dyDescent="0.25">
      <c r="A293" s="34">
        <v>294</v>
      </c>
      <c r="B293" s="9" t="s">
        <v>287</v>
      </c>
      <c r="C293" s="12">
        <v>0</v>
      </c>
      <c r="D293" s="35">
        <v>79</v>
      </c>
      <c r="E293" s="40">
        <f t="shared" si="5"/>
        <v>0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9" t="s">
        <v>330</v>
      </c>
      <c r="C295" s="12">
        <v>3.5</v>
      </c>
      <c r="D295" s="35">
        <v>110</v>
      </c>
      <c r="E295" s="40">
        <f t="shared" si="5"/>
        <v>385</v>
      </c>
    </row>
    <row r="296" spans="1:5" x14ac:dyDescent="0.25">
      <c r="A296" s="34">
        <v>297</v>
      </c>
      <c r="B296" s="9" t="s">
        <v>291</v>
      </c>
      <c r="C296" s="12">
        <f>3.1+272</f>
        <v>275.10000000000002</v>
      </c>
      <c r="D296" s="35">
        <v>44</v>
      </c>
      <c r="E296" s="40">
        <f t="shared" si="5"/>
        <v>12104.400000000001</v>
      </c>
    </row>
    <row r="297" spans="1:5" x14ac:dyDescent="0.25">
      <c r="A297" s="34">
        <v>298</v>
      </c>
      <c r="B297" s="9" t="s">
        <v>292</v>
      </c>
      <c r="C297" s="12">
        <v>0</v>
      </c>
      <c r="D297" s="35">
        <v>400</v>
      </c>
      <c r="E297" s="40">
        <f t="shared" si="5"/>
        <v>0</v>
      </c>
    </row>
    <row r="298" spans="1:5" x14ac:dyDescent="0.25">
      <c r="A298" s="34">
        <v>299</v>
      </c>
      <c r="B298" s="9" t="s">
        <v>293</v>
      </c>
      <c r="C298" s="12">
        <v>24</v>
      </c>
      <c r="D298" s="35">
        <v>530</v>
      </c>
      <c r="E298" s="40">
        <f t="shared" si="5"/>
        <v>12720</v>
      </c>
    </row>
    <row r="299" spans="1:5" x14ac:dyDescent="0.25">
      <c r="A299" s="34">
        <v>300</v>
      </c>
      <c r="B299" s="9" t="s">
        <v>294</v>
      </c>
      <c r="C299" s="12">
        <v>46.6</v>
      </c>
      <c r="D299" s="35">
        <v>565</v>
      </c>
      <c r="E299" s="40">
        <f t="shared" si="5"/>
        <v>26329</v>
      </c>
    </row>
    <row r="300" spans="1:5" x14ac:dyDescent="0.25">
      <c r="A300" s="34">
        <v>301</v>
      </c>
      <c r="B300" s="9" t="s">
        <v>295</v>
      </c>
      <c r="C300" s="12">
        <v>24</v>
      </c>
      <c r="D300" s="35">
        <v>460</v>
      </c>
      <c r="E300" s="40">
        <f t="shared" si="5"/>
        <v>11040</v>
      </c>
    </row>
    <row r="301" spans="1:5" x14ac:dyDescent="0.25">
      <c r="A301" s="34">
        <v>302</v>
      </c>
      <c r="B301" s="9" t="s">
        <v>296</v>
      </c>
      <c r="C301" s="12">
        <v>33.6</v>
      </c>
      <c r="D301" s="35">
        <v>490</v>
      </c>
      <c r="E301" s="40">
        <f t="shared" si="5"/>
        <v>16464</v>
      </c>
    </row>
    <row r="302" spans="1:5" x14ac:dyDescent="0.25">
      <c r="A302" s="34">
        <v>303</v>
      </c>
      <c r="B302" s="9" t="s">
        <v>297</v>
      </c>
      <c r="C302" s="12">
        <v>16.8</v>
      </c>
      <c r="D302" s="35">
        <v>400</v>
      </c>
      <c r="E302" s="40">
        <f t="shared" si="5"/>
        <v>6720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1.386+3.7+4.5</f>
        <v>9.5860000000000003</v>
      </c>
      <c r="D304" s="35">
        <v>82</v>
      </c>
      <c r="E304" s="40">
        <f t="shared" si="5"/>
        <v>786.05200000000002</v>
      </c>
    </row>
    <row r="305" spans="1:5" x14ac:dyDescent="0.25">
      <c r="A305" s="34">
        <v>306</v>
      </c>
      <c r="B305" s="9" t="s">
        <v>300</v>
      </c>
      <c r="C305" s="12">
        <v>0.38</v>
      </c>
      <c r="D305" s="35">
        <v>212</v>
      </c>
      <c r="E305" s="40">
        <f t="shared" si="5"/>
        <v>80.56</v>
      </c>
    </row>
    <row r="306" spans="1:5" x14ac:dyDescent="0.25">
      <c r="A306" s="34">
        <v>307</v>
      </c>
      <c r="B306" s="9" t="s">
        <v>301</v>
      </c>
      <c r="C306" s="12">
        <f>92.1+113.1</f>
        <v>205.2</v>
      </c>
      <c r="D306" s="35">
        <v>116</v>
      </c>
      <c r="E306" s="40">
        <f t="shared" si="5"/>
        <v>23803.199999999997</v>
      </c>
    </row>
    <row r="307" spans="1:5" x14ac:dyDescent="0.25">
      <c r="A307" s="34">
        <v>308</v>
      </c>
      <c r="B307" s="9" t="s">
        <v>302</v>
      </c>
      <c r="C307" s="12">
        <f>0.92+0.92</f>
        <v>1.84</v>
      </c>
      <c r="D307" s="35">
        <v>210</v>
      </c>
      <c r="E307" s="40">
        <f t="shared" si="5"/>
        <v>386.40000000000003</v>
      </c>
    </row>
    <row r="308" spans="1:5" ht="15.75" thickBot="1" x14ac:dyDescent="0.3">
      <c r="A308" s="32"/>
      <c r="B308" s="22" t="s">
        <v>17</v>
      </c>
      <c r="C308" s="23">
        <f>SUM(C265:C307)</f>
        <v>2483.7260000000001</v>
      </c>
      <c r="D308" s="38"/>
      <c r="E308" s="37">
        <f>SUM(E265:E307)</f>
        <v>458133.71200000006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0</v>
      </c>
      <c r="D311" s="35">
        <v>110</v>
      </c>
      <c r="E311" s="40">
        <f t="shared" si="5"/>
        <v>0</v>
      </c>
    </row>
    <row r="312" spans="1:5" x14ac:dyDescent="0.25">
      <c r="A312" s="34">
        <v>311</v>
      </c>
      <c r="B312" s="43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1.1399999999999999</v>
      </c>
      <c r="D313" s="35">
        <v>775</v>
      </c>
      <c r="E313" s="40">
        <f t="shared" si="5"/>
        <v>883.49999999999989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f>4.59+2+136.2+9+4</f>
        <v>155.79</v>
      </c>
      <c r="D315" s="35">
        <v>50</v>
      </c>
      <c r="E315" s="40">
        <f t="shared" si="5"/>
        <v>7789.5</v>
      </c>
    </row>
    <row r="316" spans="1:5" x14ac:dyDescent="0.25">
      <c r="A316" s="34">
        <v>315</v>
      </c>
      <c r="B316" s="9" t="s">
        <v>309</v>
      </c>
      <c r="C316" s="12">
        <v>3.7</v>
      </c>
      <c r="D316" s="35">
        <v>64</v>
      </c>
      <c r="E316" s="40">
        <f t="shared" si="5"/>
        <v>236.8</v>
      </c>
    </row>
    <row r="317" spans="1:5" x14ac:dyDescent="0.25">
      <c r="A317" s="34">
        <v>316</v>
      </c>
      <c r="B317" s="9" t="s">
        <v>310</v>
      </c>
      <c r="C317" s="12">
        <v>4.68</v>
      </c>
      <c r="D317" s="35">
        <v>170</v>
      </c>
      <c r="E317" s="40">
        <f t="shared" si="5"/>
        <v>795.59999999999991</v>
      </c>
    </row>
    <row r="318" spans="1:5" x14ac:dyDescent="0.25">
      <c r="A318" s="34">
        <v>317</v>
      </c>
      <c r="B318" s="43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2.046+0.778</f>
        <v>2.8239999999999998</v>
      </c>
      <c r="D319" s="35">
        <v>195</v>
      </c>
      <c r="E319" s="40">
        <f t="shared" si="5"/>
        <v>550.67999999999995</v>
      </c>
    </row>
    <row r="320" spans="1:5" x14ac:dyDescent="0.25">
      <c r="A320" s="34">
        <v>319</v>
      </c>
      <c r="B320" s="9" t="s">
        <v>314</v>
      </c>
      <c r="C320" s="12">
        <f>14+180</f>
        <v>194</v>
      </c>
      <c r="D320" s="35">
        <v>5</v>
      </c>
      <c r="E320" s="40">
        <f t="shared" si="5"/>
        <v>970</v>
      </c>
    </row>
    <row r="321" spans="1:5" x14ac:dyDescent="0.25">
      <c r="A321" s="34">
        <v>320</v>
      </c>
      <c r="B321" s="9" t="s">
        <v>315</v>
      </c>
      <c r="C321" s="12">
        <v>0</v>
      </c>
      <c r="D321" s="35">
        <v>242</v>
      </c>
      <c r="E321" s="40">
        <f t="shared" si="5"/>
        <v>0</v>
      </c>
    </row>
    <row r="322" spans="1:5" x14ac:dyDescent="0.25">
      <c r="A322" s="34">
        <v>321</v>
      </c>
      <c r="B322" s="9" t="s">
        <v>316</v>
      </c>
      <c r="C322" s="12">
        <f>0.94+0.44</f>
        <v>1.38</v>
      </c>
      <c r="D322" s="35">
        <v>290</v>
      </c>
      <c r="E322" s="40">
        <f t="shared" si="5"/>
        <v>400.2</v>
      </c>
    </row>
    <row r="323" spans="1:5" x14ac:dyDescent="0.25">
      <c r="A323" s="34">
        <v>322</v>
      </c>
      <c r="B323" s="9" t="s">
        <v>317</v>
      </c>
      <c r="C323" s="12">
        <v>17</v>
      </c>
      <c r="D323" s="35">
        <v>40</v>
      </c>
      <c r="E323" s="40">
        <f t="shared" si="5"/>
        <v>680</v>
      </c>
    </row>
    <row r="324" spans="1:5" x14ac:dyDescent="0.25">
      <c r="A324" s="34">
        <v>323</v>
      </c>
      <c r="B324" s="9" t="s">
        <v>318</v>
      </c>
      <c r="C324" s="12">
        <v>17</v>
      </c>
      <c r="D324" s="35">
        <v>70</v>
      </c>
      <c r="E324" s="40">
        <f t="shared" si="5"/>
        <v>1190</v>
      </c>
    </row>
    <row r="325" spans="1:5" ht="18" customHeight="1" x14ac:dyDescent="0.25">
      <c r="A325" s="34">
        <v>324</v>
      </c>
      <c r="B325" s="9" t="s">
        <v>319</v>
      </c>
      <c r="C325" s="12">
        <f>2.38-0.35</f>
        <v>2.0299999999999998</v>
      </c>
      <c r="D325" s="35">
        <v>400</v>
      </c>
      <c r="E325" s="40">
        <f t="shared" si="5"/>
        <v>811.99999999999989</v>
      </c>
    </row>
    <row r="326" spans="1:5" ht="18" customHeight="1" x14ac:dyDescent="0.25">
      <c r="A326" s="34">
        <v>325</v>
      </c>
      <c r="B326" s="9" t="s">
        <v>320</v>
      </c>
      <c r="C326" s="12">
        <v>120</v>
      </c>
      <c r="D326" s="35">
        <v>360</v>
      </c>
      <c r="E326" s="40">
        <f t="shared" si="5"/>
        <v>43200</v>
      </c>
    </row>
    <row r="327" spans="1:5" ht="18" customHeight="1" x14ac:dyDescent="0.25">
      <c r="A327" s="34">
        <v>326</v>
      </c>
      <c r="B327" s="9" t="s">
        <v>321</v>
      </c>
      <c r="C327" s="12">
        <v>0</v>
      </c>
      <c r="D327" s="35">
        <v>235</v>
      </c>
      <c r="E327" s="40">
        <f t="shared" si="5"/>
        <v>0</v>
      </c>
    </row>
    <row r="328" spans="1:5" ht="18" customHeight="1" x14ac:dyDescent="0.25">
      <c r="A328" s="34">
        <v>327</v>
      </c>
      <c r="B328" s="9" t="s">
        <v>170</v>
      </c>
      <c r="C328" s="12">
        <v>13</v>
      </c>
      <c r="D328" s="35">
        <v>114</v>
      </c>
      <c r="E328" s="40">
        <f t="shared" si="5"/>
        <v>1482</v>
      </c>
    </row>
    <row r="329" spans="1:5" ht="18" customHeight="1" x14ac:dyDescent="0.25">
      <c r="A329" s="34">
        <v>328</v>
      </c>
      <c r="B329" s="9" t="s">
        <v>322</v>
      </c>
      <c r="C329" s="12">
        <v>389.2</v>
      </c>
      <c r="D329" s="35">
        <v>116</v>
      </c>
      <c r="E329" s="40">
        <f t="shared" si="5"/>
        <v>45147.199999999997</v>
      </c>
    </row>
    <row r="330" spans="1:5" ht="18" customHeight="1" x14ac:dyDescent="0.25">
      <c r="A330" s="34">
        <v>329</v>
      </c>
      <c r="B330" s="9" t="s">
        <v>323</v>
      </c>
      <c r="C330" s="12">
        <v>9.7799999999999994</v>
      </c>
      <c r="D330" s="35">
        <v>450</v>
      </c>
      <c r="E330" s="40">
        <f t="shared" ref="E330:E335" si="7">C330*D330</f>
        <v>4401</v>
      </c>
    </row>
    <row r="331" spans="1:5" ht="18" customHeight="1" x14ac:dyDescent="0.25">
      <c r="A331" s="34">
        <v>330</v>
      </c>
      <c r="B331" s="9" t="s">
        <v>325</v>
      </c>
      <c r="C331" s="12">
        <v>124.8</v>
      </c>
      <c r="D331" s="35">
        <v>116</v>
      </c>
      <c r="E331" s="40">
        <f t="shared" si="7"/>
        <v>14476.8</v>
      </c>
    </row>
    <row r="332" spans="1:5" ht="18" customHeight="1" x14ac:dyDescent="0.25">
      <c r="A332" s="34">
        <v>331</v>
      </c>
      <c r="B332" s="9" t="s">
        <v>326</v>
      </c>
      <c r="C332" s="12">
        <v>0</v>
      </c>
      <c r="D332" s="35">
        <v>3</v>
      </c>
      <c r="E332" s="40">
        <f t="shared" si="7"/>
        <v>0</v>
      </c>
    </row>
    <row r="333" spans="1:5" ht="18" customHeight="1" x14ac:dyDescent="0.25">
      <c r="A333" s="34">
        <v>332</v>
      </c>
      <c r="B333" s="9" t="s">
        <v>327</v>
      </c>
      <c r="C333" s="12">
        <v>90</v>
      </c>
      <c r="D333" s="35">
        <v>110</v>
      </c>
      <c r="E333" s="40">
        <f t="shared" si="7"/>
        <v>9900</v>
      </c>
    </row>
    <row r="334" spans="1:5" ht="18" customHeight="1" x14ac:dyDescent="0.25">
      <c r="A334" s="34">
        <v>333</v>
      </c>
      <c r="B334" s="9" t="s">
        <v>328</v>
      </c>
      <c r="C334" s="12">
        <v>0</v>
      </c>
      <c r="D334" s="35">
        <v>50</v>
      </c>
      <c r="E334" s="40">
        <f t="shared" si="7"/>
        <v>0</v>
      </c>
    </row>
    <row r="335" spans="1:5" ht="18" customHeight="1" x14ac:dyDescent="0.25">
      <c r="A335" s="34"/>
      <c r="B335" s="9" t="s">
        <v>334</v>
      </c>
      <c r="C335" s="12">
        <v>4</v>
      </c>
      <c r="D335" s="35">
        <v>110</v>
      </c>
      <c r="E335" s="40">
        <f t="shared" si="7"/>
        <v>440</v>
      </c>
    </row>
    <row r="336" spans="1:5" ht="17.25" customHeight="1" x14ac:dyDescent="0.3">
      <c r="A336" s="26"/>
      <c r="B336" s="22" t="s">
        <v>17</v>
      </c>
      <c r="C336" s="46">
        <f>SUM(C310:C335)</f>
        <v>1150.3239999999998</v>
      </c>
      <c r="D336" s="2"/>
      <c r="E336" s="24">
        <f>SUM(E310:E335)</f>
        <v>133355.28</v>
      </c>
    </row>
    <row r="337" spans="1:5" ht="18.75" x14ac:dyDescent="0.3">
      <c r="C337" s="18"/>
      <c r="E337" s="2"/>
    </row>
    <row r="338" spans="1:5" ht="18.75" x14ac:dyDescent="0.3">
      <c r="B338" s="3" t="s">
        <v>270</v>
      </c>
      <c r="C338" s="42">
        <f>C336+C308+C263+C223+C179+C134+C89+C44</f>
        <v>23460.198840000001</v>
      </c>
      <c r="D338" s="25" t="s">
        <v>271</v>
      </c>
      <c r="E338" s="2">
        <f>E336+E308+E263+E223+E179+E134+E89+E44</f>
        <v>2546982.1634</v>
      </c>
    </row>
    <row r="339" spans="1:5" x14ac:dyDescent="0.25">
      <c r="C339" s="18"/>
    </row>
    <row r="340" spans="1:5" x14ac:dyDescent="0.25">
      <c r="A340" s="8">
        <v>289</v>
      </c>
      <c r="B340" s="9" t="s">
        <v>117</v>
      </c>
      <c r="C340" s="12">
        <f>463+80</f>
        <v>543</v>
      </c>
      <c r="D340" s="17">
        <v>1E-3</v>
      </c>
      <c r="E340" s="11">
        <f t="shared" ref="E340" si="8">C340*D340</f>
        <v>0.54300000000000004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opLeftCell="A302" zoomScaleNormal="100" workbookViewId="0">
      <selection activeCell="H315" sqref="H315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78" t="s">
        <v>344</v>
      </c>
      <c r="B1" s="78"/>
      <c r="C1" s="78"/>
      <c r="D1" s="78"/>
      <c r="E1" s="78"/>
      <c r="F1" s="47"/>
      <c r="G1" s="47"/>
    </row>
    <row r="2" spans="1:7" ht="24" thickBot="1" x14ac:dyDescent="0.4">
      <c r="A2" s="79" t="s">
        <v>0</v>
      </c>
      <c r="B2" s="79"/>
      <c r="C2" s="79"/>
      <c r="D2" s="79"/>
      <c r="E2" s="79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1.16+1.652+50.2</f>
        <v>53.012</v>
      </c>
      <c r="D4" s="56">
        <v>170</v>
      </c>
      <c r="E4" s="56">
        <f>C4*D4</f>
        <v>9012.0400000000009</v>
      </c>
    </row>
    <row r="5" spans="1:7" x14ac:dyDescent="0.25">
      <c r="A5" s="53">
        <v>2</v>
      </c>
      <c r="B5" s="54" t="s">
        <v>103</v>
      </c>
      <c r="C5" s="55">
        <v>2.02</v>
      </c>
      <c r="D5" s="56">
        <v>135</v>
      </c>
      <c r="E5" s="56">
        <f t="shared" ref="E5:E68" si="0">C5*D5</f>
        <v>272.7</v>
      </c>
    </row>
    <row r="6" spans="1:7" x14ac:dyDescent="0.25">
      <c r="A6" s="53">
        <v>3</v>
      </c>
      <c r="B6" s="54" t="s">
        <v>102</v>
      </c>
      <c r="C6" s="55">
        <v>31.5</v>
      </c>
      <c r="D6" s="56">
        <v>110</v>
      </c>
      <c r="E6" s="56">
        <f t="shared" si="0"/>
        <v>3465</v>
      </c>
    </row>
    <row r="7" spans="1:7" x14ac:dyDescent="0.25">
      <c r="A7" s="53">
        <v>4</v>
      </c>
      <c r="B7" s="54" t="s">
        <v>104</v>
      </c>
      <c r="C7" s="55">
        <f>10.52+3.175+15.39</f>
        <v>29.085000000000001</v>
      </c>
      <c r="D7" s="56">
        <v>125</v>
      </c>
      <c r="E7" s="56">
        <f t="shared" si="0"/>
        <v>3635.625</v>
      </c>
    </row>
    <row r="8" spans="1:7" x14ac:dyDescent="0.25">
      <c r="A8" s="53">
        <v>5</v>
      </c>
      <c r="B8" s="54" t="s">
        <v>105</v>
      </c>
      <c r="C8" s="55">
        <v>0</v>
      </c>
      <c r="D8" s="56">
        <v>98</v>
      </c>
      <c r="E8" s="56">
        <f t="shared" si="0"/>
        <v>0</v>
      </c>
    </row>
    <row r="9" spans="1:7" x14ac:dyDescent="0.25">
      <c r="A9" s="53">
        <v>6</v>
      </c>
      <c r="B9" s="54" t="s">
        <v>106</v>
      </c>
      <c r="C9" s="55">
        <f>12.54+1.76+23.6</f>
        <v>37.9</v>
      </c>
      <c r="D9" s="56">
        <v>95</v>
      </c>
      <c r="E9" s="56">
        <f t="shared" si="0"/>
        <v>3600.5</v>
      </c>
    </row>
    <row r="10" spans="1:7" x14ac:dyDescent="0.25">
      <c r="A10" s="53">
        <v>9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10</v>
      </c>
      <c r="B11" s="54" t="s">
        <v>336</v>
      </c>
      <c r="C11" s="55">
        <v>3</v>
      </c>
      <c r="D11" s="56">
        <v>87</v>
      </c>
      <c r="E11" s="56">
        <f t="shared" si="0"/>
        <v>261</v>
      </c>
    </row>
    <row r="12" spans="1:7" x14ac:dyDescent="0.25">
      <c r="A12" s="53">
        <v>11</v>
      </c>
      <c r="B12" s="54" t="s">
        <v>337</v>
      </c>
      <c r="C12" s="55">
        <v>3</v>
      </c>
      <c r="D12" s="56">
        <v>96</v>
      </c>
      <c r="E12" s="56">
        <f t="shared" si="0"/>
        <v>288</v>
      </c>
    </row>
    <row r="13" spans="1:7" x14ac:dyDescent="0.25">
      <c r="A13" s="53">
        <v>12</v>
      </c>
      <c r="B13" s="54" t="s">
        <v>338</v>
      </c>
      <c r="C13" s="55">
        <v>2</v>
      </c>
      <c r="D13" s="56">
        <v>88</v>
      </c>
      <c r="E13" s="56">
        <f t="shared" si="0"/>
        <v>176</v>
      </c>
    </row>
    <row r="14" spans="1:7" x14ac:dyDescent="0.25">
      <c r="A14" s="53">
        <v>13</v>
      </c>
      <c r="B14" s="54" t="s">
        <v>339</v>
      </c>
      <c r="C14" s="55">
        <v>0</v>
      </c>
      <c r="D14" s="56">
        <v>280</v>
      </c>
      <c r="E14" s="56">
        <f t="shared" si="0"/>
        <v>0</v>
      </c>
    </row>
    <row r="15" spans="1:7" x14ac:dyDescent="0.25">
      <c r="A15" s="53">
        <v>14</v>
      </c>
      <c r="B15" s="54" t="s">
        <v>127</v>
      </c>
      <c r="C15" s="55">
        <v>0.92</v>
      </c>
      <c r="D15" s="56">
        <v>630</v>
      </c>
      <c r="E15" s="56">
        <f t="shared" si="0"/>
        <v>579.6</v>
      </c>
    </row>
    <row r="16" spans="1:7" x14ac:dyDescent="0.25">
      <c r="A16" s="53">
        <v>15</v>
      </c>
      <c r="B16" s="54" t="s">
        <v>96</v>
      </c>
      <c r="C16" s="55">
        <v>5</v>
      </c>
      <c r="D16" s="56">
        <v>110</v>
      </c>
      <c r="E16" s="56">
        <f t="shared" si="0"/>
        <v>550</v>
      </c>
    </row>
    <row r="17" spans="1:5" x14ac:dyDescent="0.25">
      <c r="A17" s="53">
        <v>16</v>
      </c>
      <c r="B17" s="54" t="s">
        <v>7</v>
      </c>
      <c r="C17" s="55">
        <v>5</v>
      </c>
      <c r="D17" s="56">
        <v>165</v>
      </c>
      <c r="E17" s="56">
        <f t="shared" si="0"/>
        <v>825</v>
      </c>
    </row>
    <row r="18" spans="1:5" x14ac:dyDescent="0.25">
      <c r="A18" s="53">
        <v>17</v>
      </c>
      <c r="B18" s="54" t="s">
        <v>6</v>
      </c>
      <c r="C18" s="55">
        <v>27</v>
      </c>
      <c r="D18" s="56">
        <v>18</v>
      </c>
      <c r="E18" s="56">
        <f t="shared" si="0"/>
        <v>486</v>
      </c>
    </row>
    <row r="19" spans="1:5" x14ac:dyDescent="0.25">
      <c r="A19" s="53">
        <v>18</v>
      </c>
      <c r="B19" s="54" t="s">
        <v>94</v>
      </c>
      <c r="C19" s="55">
        <v>1</v>
      </c>
      <c r="D19" s="56">
        <v>50</v>
      </c>
      <c r="E19" s="56">
        <f t="shared" si="0"/>
        <v>50</v>
      </c>
    </row>
    <row r="20" spans="1:5" x14ac:dyDescent="0.25">
      <c r="A20" s="53">
        <v>19</v>
      </c>
      <c r="B20" s="54" t="s">
        <v>348</v>
      </c>
      <c r="C20" s="55">
        <v>1.06</v>
      </c>
      <c r="D20" s="56">
        <v>385</v>
      </c>
      <c r="E20" s="56">
        <f t="shared" si="0"/>
        <v>408.1</v>
      </c>
    </row>
    <row r="21" spans="1:5" x14ac:dyDescent="0.25">
      <c r="A21" s="53">
        <v>20</v>
      </c>
      <c r="B21" s="54" t="s">
        <v>20</v>
      </c>
      <c r="C21" s="55">
        <v>3</v>
      </c>
      <c r="D21" s="56">
        <v>46</v>
      </c>
      <c r="E21" s="56">
        <f t="shared" si="0"/>
        <v>138</v>
      </c>
    </row>
    <row r="22" spans="1:5" x14ac:dyDescent="0.25">
      <c r="A22" s="53">
        <v>21</v>
      </c>
      <c r="B22" s="54" t="s">
        <v>8</v>
      </c>
      <c r="C22" s="55">
        <v>3</v>
      </c>
      <c r="D22" s="56">
        <v>59</v>
      </c>
      <c r="E22" s="56">
        <f t="shared" si="0"/>
        <v>177</v>
      </c>
    </row>
    <row r="23" spans="1:5" x14ac:dyDescent="0.25">
      <c r="A23" s="53">
        <v>22</v>
      </c>
      <c r="B23" s="54" t="s">
        <v>9</v>
      </c>
      <c r="C23" s="55">
        <v>0</v>
      </c>
      <c r="D23" s="56">
        <v>82</v>
      </c>
      <c r="E23" s="56">
        <f t="shared" si="0"/>
        <v>0</v>
      </c>
    </row>
    <row r="24" spans="1:5" x14ac:dyDescent="0.25">
      <c r="A24" s="53">
        <v>23</v>
      </c>
      <c r="B24" s="54" t="s">
        <v>10</v>
      </c>
      <c r="C24" s="55">
        <v>1</v>
      </c>
      <c r="D24" s="56">
        <v>82</v>
      </c>
      <c r="E24" s="56">
        <f t="shared" si="0"/>
        <v>82</v>
      </c>
    </row>
    <row r="25" spans="1:5" x14ac:dyDescent="0.25">
      <c r="A25" s="53">
        <v>24</v>
      </c>
      <c r="B25" s="54" t="s">
        <v>11</v>
      </c>
      <c r="C25" s="55">
        <v>8</v>
      </c>
      <c r="D25" s="56">
        <v>66</v>
      </c>
      <c r="E25" s="56">
        <f t="shared" si="0"/>
        <v>528</v>
      </c>
    </row>
    <row r="26" spans="1:5" x14ac:dyDescent="0.25">
      <c r="A26" s="53">
        <v>25</v>
      </c>
      <c r="B26" s="54" t="s">
        <v>340</v>
      </c>
      <c r="C26" s="55">
        <v>1</v>
      </c>
      <c r="D26" s="56">
        <v>72</v>
      </c>
      <c r="E26" s="56">
        <f>C26*D26</f>
        <v>72</v>
      </c>
    </row>
    <row r="27" spans="1:5" x14ac:dyDescent="0.25">
      <c r="A27" s="53">
        <v>26</v>
      </c>
      <c r="B27" s="54" t="s">
        <v>273</v>
      </c>
      <c r="C27" s="55">
        <v>7</v>
      </c>
      <c r="D27" s="56">
        <v>12</v>
      </c>
      <c r="E27" s="56">
        <f t="shared" si="0"/>
        <v>84</v>
      </c>
    </row>
    <row r="28" spans="1:5" x14ac:dyDescent="0.25">
      <c r="A28" s="53">
        <v>28</v>
      </c>
      <c r="B28" s="54" t="s">
        <v>341</v>
      </c>
      <c r="C28" s="55">
        <v>0.27</v>
      </c>
      <c r="D28" s="56">
        <v>280</v>
      </c>
      <c r="E28" s="56">
        <f t="shared" si="0"/>
        <v>75.600000000000009</v>
      </c>
    </row>
    <row r="29" spans="1:5" ht="15.75" customHeight="1" x14ac:dyDescent="0.25">
      <c r="A29" s="53">
        <v>29</v>
      </c>
      <c r="B29" s="54" t="s">
        <v>342</v>
      </c>
      <c r="C29" s="55">
        <v>4.42</v>
      </c>
      <c r="D29" s="56">
        <v>398</v>
      </c>
      <c r="E29" s="56">
        <f t="shared" si="0"/>
        <v>1759.16</v>
      </c>
    </row>
    <row r="30" spans="1:5" x14ac:dyDescent="0.25">
      <c r="A30" s="53">
        <v>30</v>
      </c>
      <c r="B30" s="54" t="s">
        <v>131</v>
      </c>
      <c r="C30" s="55">
        <v>13.41</v>
      </c>
      <c r="D30" s="56">
        <v>104</v>
      </c>
      <c r="E30" s="56">
        <f t="shared" si="0"/>
        <v>1394.64</v>
      </c>
    </row>
    <row r="31" spans="1:5" x14ac:dyDescent="0.25">
      <c r="A31" s="53">
        <v>31</v>
      </c>
      <c r="B31" s="54" t="s">
        <v>132</v>
      </c>
      <c r="C31" s="55">
        <v>3.94</v>
      </c>
      <c r="D31" s="56">
        <v>590</v>
      </c>
      <c r="E31" s="56">
        <f t="shared" si="0"/>
        <v>2324.6</v>
      </c>
    </row>
    <row r="32" spans="1:5" x14ac:dyDescent="0.25">
      <c r="A32" s="53">
        <v>32</v>
      </c>
      <c r="B32" s="54" t="s">
        <v>133</v>
      </c>
      <c r="C32" s="55">
        <f>10.16+3.095+21.3</f>
        <v>34.555</v>
      </c>
      <c r="D32" s="56">
        <v>103</v>
      </c>
      <c r="E32" s="56">
        <f t="shared" si="0"/>
        <v>3559.165</v>
      </c>
    </row>
    <row r="33" spans="1:5" x14ac:dyDescent="0.25">
      <c r="A33" s="53">
        <v>33</v>
      </c>
      <c r="B33" s="54" t="s">
        <v>134</v>
      </c>
      <c r="C33" s="55">
        <v>0</v>
      </c>
      <c r="D33" s="56">
        <v>135</v>
      </c>
      <c r="E33" s="56">
        <f t="shared" si="0"/>
        <v>0</v>
      </c>
    </row>
    <row r="34" spans="1:5" x14ac:dyDescent="0.25">
      <c r="A34" s="53">
        <v>34</v>
      </c>
      <c r="B34" s="54" t="s">
        <v>135</v>
      </c>
      <c r="C34" s="55">
        <v>5.3250000000000002</v>
      </c>
      <c r="D34" s="56">
        <v>360</v>
      </c>
      <c r="E34" s="56">
        <f t="shared" si="0"/>
        <v>1917</v>
      </c>
    </row>
    <row r="35" spans="1:5" x14ac:dyDescent="0.25">
      <c r="A35" s="53">
        <v>35</v>
      </c>
      <c r="B35" s="54" t="s">
        <v>136</v>
      </c>
      <c r="C35" s="55">
        <f>9.54+0.5</f>
        <v>10.039999999999999</v>
      </c>
      <c r="D35" s="56">
        <v>160</v>
      </c>
      <c r="E35" s="56">
        <f t="shared" si="0"/>
        <v>1606.3999999999999</v>
      </c>
    </row>
    <row r="36" spans="1:5" x14ac:dyDescent="0.25">
      <c r="A36" s="53">
        <v>36</v>
      </c>
      <c r="B36" s="54" t="s">
        <v>137</v>
      </c>
      <c r="C36" s="55">
        <v>3.36</v>
      </c>
      <c r="D36" s="56">
        <v>112</v>
      </c>
      <c r="E36" s="56">
        <f t="shared" si="0"/>
        <v>376.32</v>
      </c>
    </row>
    <row r="37" spans="1:5" x14ac:dyDescent="0.25">
      <c r="A37" s="53">
        <v>37</v>
      </c>
      <c r="B37" s="54" t="s">
        <v>138</v>
      </c>
      <c r="C37" s="55">
        <v>25</v>
      </c>
      <c r="D37" s="56">
        <v>26</v>
      </c>
      <c r="E37" s="56">
        <f t="shared" si="0"/>
        <v>650</v>
      </c>
    </row>
    <row r="38" spans="1:5" x14ac:dyDescent="0.25">
      <c r="A38" s="53">
        <v>38</v>
      </c>
      <c r="B38" s="54" t="s">
        <v>139</v>
      </c>
      <c r="C38" s="55">
        <f>5.46+0.134</f>
        <v>5.5940000000000003</v>
      </c>
      <c r="D38" s="56">
        <v>160</v>
      </c>
      <c r="E38" s="56">
        <f t="shared" si="0"/>
        <v>895.04000000000008</v>
      </c>
    </row>
    <row r="39" spans="1:5" x14ac:dyDescent="0.25">
      <c r="A39" s="53">
        <v>39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40</v>
      </c>
      <c r="B40" s="54" t="s">
        <v>141</v>
      </c>
      <c r="C40" s="55">
        <f>19.88+11.11</f>
        <v>30.99</v>
      </c>
      <c r="D40" s="56">
        <v>140</v>
      </c>
      <c r="E40" s="56">
        <f t="shared" si="0"/>
        <v>4338.5999999999995</v>
      </c>
    </row>
    <row r="41" spans="1:5" x14ac:dyDescent="0.25">
      <c r="A41" s="53">
        <v>43</v>
      </c>
      <c r="B41" s="54" t="s">
        <v>142</v>
      </c>
      <c r="C41" s="55">
        <v>15.035</v>
      </c>
      <c r="D41" s="56">
        <v>50</v>
      </c>
      <c r="E41" s="56">
        <f t="shared" si="0"/>
        <v>751.75</v>
      </c>
    </row>
    <row r="42" spans="1:5" x14ac:dyDescent="0.25">
      <c r="A42" s="53">
        <v>44</v>
      </c>
      <c r="B42" s="54" t="s">
        <v>143</v>
      </c>
      <c r="C42" s="55">
        <f>6.14+0.87</f>
        <v>7.01</v>
      </c>
      <c r="D42" s="56">
        <v>590</v>
      </c>
      <c r="E42" s="56">
        <f t="shared" si="0"/>
        <v>4135.8999999999996</v>
      </c>
    </row>
    <row r="43" spans="1:5" x14ac:dyDescent="0.25">
      <c r="A43" s="53">
        <v>45</v>
      </c>
      <c r="B43" s="54" t="s">
        <v>144</v>
      </c>
      <c r="C43" s="55">
        <v>18.7</v>
      </c>
      <c r="D43" s="56">
        <v>90</v>
      </c>
      <c r="E43" s="56">
        <f t="shared" si="0"/>
        <v>1683</v>
      </c>
    </row>
    <row r="44" spans="1:5" ht="15.75" thickBot="1" x14ac:dyDescent="0.3">
      <c r="A44" s="18">
        <v>41</v>
      </c>
      <c r="B44" s="57" t="s">
        <v>17</v>
      </c>
      <c r="C44" s="15">
        <f>SUM(C4:C43)</f>
        <v>404.14600000000002</v>
      </c>
      <c r="D44" s="15"/>
      <c r="E44" s="36">
        <f>SUM(E4:E43)</f>
        <v>50437.74</v>
      </c>
    </row>
    <row r="45" spans="1:5" ht="31.5" customHeight="1" thickBot="1" x14ac:dyDescent="0.3">
      <c r="A45" s="18">
        <v>42</v>
      </c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46</v>
      </c>
      <c r="B46" s="54" t="s">
        <v>343</v>
      </c>
      <c r="C46" s="55">
        <v>0.86</v>
      </c>
      <c r="D46" s="56">
        <v>405</v>
      </c>
      <c r="E46" s="56">
        <f t="shared" si="0"/>
        <v>348.3</v>
      </c>
    </row>
    <row r="47" spans="1:5" x14ac:dyDescent="0.25">
      <c r="A47" s="53">
        <v>47</v>
      </c>
      <c r="B47" s="54" t="s">
        <v>55</v>
      </c>
      <c r="C47" s="55">
        <f>300+525.565+527.565+518.365+515.095+520.96+516.135+224.1+17.13</f>
        <v>3664.9150000000004</v>
      </c>
      <c r="D47" s="56">
        <v>125</v>
      </c>
      <c r="E47" s="56">
        <f t="shared" si="0"/>
        <v>458114.37500000006</v>
      </c>
    </row>
    <row r="48" spans="1:5" x14ac:dyDescent="0.25">
      <c r="A48" s="53">
        <v>49</v>
      </c>
      <c r="B48" s="54" t="s">
        <v>145</v>
      </c>
      <c r="C48" s="55">
        <v>0.80600000000000005</v>
      </c>
      <c r="D48" s="56">
        <v>92</v>
      </c>
      <c r="E48" s="56">
        <f t="shared" si="0"/>
        <v>74.152000000000001</v>
      </c>
    </row>
    <row r="49" spans="1:5" x14ac:dyDescent="0.25">
      <c r="A49" s="53">
        <v>50</v>
      </c>
      <c r="B49" s="54" t="s">
        <v>146</v>
      </c>
      <c r="C49" s="55">
        <v>0.67400000000000004</v>
      </c>
      <c r="D49" s="56">
        <v>92</v>
      </c>
      <c r="E49" s="56">
        <f t="shared" si="0"/>
        <v>62.008000000000003</v>
      </c>
    </row>
    <row r="50" spans="1:5" x14ac:dyDescent="0.25">
      <c r="A50" s="53">
        <v>51</v>
      </c>
      <c r="B50" s="54" t="s">
        <v>147</v>
      </c>
      <c r="C50" s="55">
        <f>2.9+29.4</f>
        <v>32.299999999999997</v>
      </c>
      <c r="D50" s="56">
        <v>214</v>
      </c>
      <c r="E50" s="56">
        <f t="shared" si="0"/>
        <v>6912.2</v>
      </c>
    </row>
    <row r="51" spans="1:5" x14ac:dyDescent="0.25">
      <c r="A51" s="53">
        <v>52</v>
      </c>
      <c r="B51" s="54" t="s">
        <v>148</v>
      </c>
      <c r="C51" s="55">
        <f>18.5+1.84+6.135</f>
        <v>26.475000000000001</v>
      </c>
      <c r="D51" s="56">
        <v>100</v>
      </c>
      <c r="E51" s="56">
        <f t="shared" si="0"/>
        <v>2647.5</v>
      </c>
    </row>
    <row r="52" spans="1:5" x14ac:dyDescent="0.25">
      <c r="A52" s="53">
        <v>53</v>
      </c>
      <c r="B52" s="54" t="s">
        <v>149</v>
      </c>
      <c r="C52" s="55">
        <f>4.5+1.775+17.2</f>
        <v>23.475000000000001</v>
      </c>
      <c r="D52" s="56">
        <v>82</v>
      </c>
      <c r="E52" s="56">
        <f t="shared" si="0"/>
        <v>1924.95</v>
      </c>
    </row>
    <row r="53" spans="1:5" x14ac:dyDescent="0.25">
      <c r="A53" s="53">
        <v>54</v>
      </c>
      <c r="B53" s="54" t="s">
        <v>150</v>
      </c>
      <c r="C53" s="55">
        <f>12.24+93.28+5.45+1.8+16.8+24</f>
        <v>153.57</v>
      </c>
      <c r="D53" s="56">
        <v>110</v>
      </c>
      <c r="E53" s="56">
        <f t="shared" si="0"/>
        <v>16892.7</v>
      </c>
    </row>
    <row r="54" spans="1:5" x14ac:dyDescent="0.25">
      <c r="A54" s="53">
        <v>55</v>
      </c>
      <c r="B54" s="54" t="s">
        <v>31</v>
      </c>
      <c r="C54" s="55">
        <f>27.68+62.2+17.3+1.5</f>
        <v>108.67999999999999</v>
      </c>
      <c r="D54" s="56">
        <v>175</v>
      </c>
      <c r="E54" s="56">
        <f t="shared" si="0"/>
        <v>19019</v>
      </c>
    </row>
    <row r="55" spans="1:5" x14ac:dyDescent="0.25">
      <c r="A55" s="53">
        <v>56</v>
      </c>
      <c r="B55" s="54" t="s">
        <v>32</v>
      </c>
      <c r="C55" s="55">
        <v>3.4</v>
      </c>
      <c r="D55" s="56">
        <v>140</v>
      </c>
      <c r="E55" s="56">
        <f t="shared" si="0"/>
        <v>476</v>
      </c>
    </row>
    <row r="56" spans="1:5" x14ac:dyDescent="0.25">
      <c r="A56" s="53">
        <v>57</v>
      </c>
      <c r="B56" s="54" t="s">
        <v>33</v>
      </c>
      <c r="C56" s="55">
        <v>4</v>
      </c>
      <c r="D56" s="56">
        <v>74</v>
      </c>
      <c r="E56" s="56">
        <f t="shared" si="0"/>
        <v>296</v>
      </c>
    </row>
    <row r="57" spans="1:5" x14ac:dyDescent="0.25">
      <c r="A57" s="53">
        <v>58</v>
      </c>
      <c r="B57" s="54" t="s">
        <v>34</v>
      </c>
      <c r="C57" s="55">
        <f>13.21+12.8+4.3+63.2+22.1</f>
        <v>115.61000000000001</v>
      </c>
      <c r="D57" s="56">
        <v>58</v>
      </c>
      <c r="E57" s="56">
        <f t="shared" si="0"/>
        <v>6705.380000000001</v>
      </c>
    </row>
    <row r="58" spans="1:5" x14ac:dyDescent="0.25">
      <c r="A58" s="53">
        <v>59</v>
      </c>
      <c r="B58" s="54" t="s">
        <v>35</v>
      </c>
      <c r="C58" s="55">
        <f>9.32+24.3+32</f>
        <v>65.62</v>
      </c>
      <c r="D58" s="56">
        <v>58</v>
      </c>
      <c r="E58" s="56">
        <f t="shared" si="0"/>
        <v>3805.96</v>
      </c>
    </row>
    <row r="59" spans="1:5" x14ac:dyDescent="0.25">
      <c r="A59" s="53">
        <v>60</v>
      </c>
      <c r="B59" s="54" t="s">
        <v>36</v>
      </c>
      <c r="C59" s="55">
        <f>9.12+29.8+24.1+92.23+3.2</f>
        <v>158.44999999999999</v>
      </c>
      <c r="D59" s="56">
        <v>80</v>
      </c>
      <c r="E59" s="56">
        <f t="shared" si="0"/>
        <v>12676</v>
      </c>
    </row>
    <row r="60" spans="1:5" x14ac:dyDescent="0.25">
      <c r="A60" s="53">
        <v>61</v>
      </c>
      <c r="B60" s="54" t="s">
        <v>37</v>
      </c>
      <c r="C60" s="55">
        <v>5</v>
      </c>
      <c r="D60" s="56">
        <v>59</v>
      </c>
      <c r="E60" s="56">
        <f t="shared" si="0"/>
        <v>295</v>
      </c>
    </row>
    <row r="61" spans="1:5" x14ac:dyDescent="0.25">
      <c r="A61" s="53">
        <v>62</v>
      </c>
      <c r="B61" s="54" t="s">
        <v>15</v>
      </c>
      <c r="C61" s="55">
        <v>1</v>
      </c>
      <c r="D61" s="56">
        <v>62</v>
      </c>
      <c r="E61" s="56">
        <f t="shared" si="0"/>
        <v>62</v>
      </c>
    </row>
    <row r="62" spans="1:5" x14ac:dyDescent="0.25">
      <c r="A62" s="53">
        <v>63</v>
      </c>
      <c r="B62" s="54" t="s">
        <v>16</v>
      </c>
      <c r="C62" s="55">
        <v>1</v>
      </c>
      <c r="D62" s="56">
        <v>61</v>
      </c>
      <c r="E62" s="56">
        <f t="shared" si="0"/>
        <v>61</v>
      </c>
    </row>
    <row r="63" spans="1:5" x14ac:dyDescent="0.25">
      <c r="A63" s="53">
        <v>64</v>
      </c>
      <c r="B63" s="54" t="s">
        <v>18</v>
      </c>
      <c r="C63" s="55">
        <v>0</v>
      </c>
      <c r="D63" s="56">
        <v>40</v>
      </c>
      <c r="E63" s="56">
        <f t="shared" si="0"/>
        <v>0</v>
      </c>
    </row>
    <row r="64" spans="1:5" x14ac:dyDescent="0.25">
      <c r="A64" s="53">
        <v>65</v>
      </c>
      <c r="B64" s="54" t="s">
        <v>38</v>
      </c>
      <c r="C64" s="55">
        <v>3</v>
      </c>
      <c r="D64" s="56">
        <v>20</v>
      </c>
      <c r="E64" s="56">
        <f t="shared" si="0"/>
        <v>60</v>
      </c>
    </row>
    <row r="65" spans="1:5" x14ac:dyDescent="0.25">
      <c r="A65" s="53">
        <v>66</v>
      </c>
      <c r="B65" s="54" t="s">
        <v>39</v>
      </c>
      <c r="C65" s="55">
        <v>8</v>
      </c>
      <c r="D65" s="56">
        <v>29</v>
      </c>
      <c r="E65" s="56">
        <f t="shared" si="0"/>
        <v>232</v>
      </c>
    </row>
    <row r="66" spans="1:5" x14ac:dyDescent="0.25">
      <c r="A66" s="53">
        <v>68</v>
      </c>
      <c r="B66" s="54" t="s">
        <v>40</v>
      </c>
      <c r="C66" s="55">
        <v>9</v>
      </c>
      <c r="D66" s="56">
        <v>60</v>
      </c>
      <c r="E66" s="56">
        <f t="shared" si="0"/>
        <v>540</v>
      </c>
    </row>
    <row r="67" spans="1:5" x14ac:dyDescent="0.25">
      <c r="A67" s="53">
        <v>69</v>
      </c>
      <c r="B67" s="54" t="s">
        <v>41</v>
      </c>
      <c r="C67" s="55">
        <f>1.81+0.66+2.015+0.525+0.68+2.265+6.7852</f>
        <v>14.7402</v>
      </c>
      <c r="D67" s="56">
        <v>210</v>
      </c>
      <c r="E67" s="56">
        <f t="shared" si="0"/>
        <v>3095.442</v>
      </c>
    </row>
    <row r="68" spans="1:5" x14ac:dyDescent="0.25">
      <c r="A68" s="53">
        <v>71</v>
      </c>
      <c r="B68" s="54" t="s">
        <v>151</v>
      </c>
      <c r="C68" s="55">
        <v>3</v>
      </c>
      <c r="D68" s="56">
        <v>85</v>
      </c>
      <c r="E68" s="56">
        <f t="shared" si="0"/>
        <v>255</v>
      </c>
    </row>
    <row r="69" spans="1:5" x14ac:dyDescent="0.25">
      <c r="A69" s="53">
        <v>72</v>
      </c>
      <c r="B69" s="54" t="s">
        <v>152</v>
      </c>
      <c r="C69" s="55">
        <v>0</v>
      </c>
      <c r="D69" s="56">
        <v>95</v>
      </c>
      <c r="E69" s="56">
        <f t="shared" ref="E69:E127" si="1">C69*D69</f>
        <v>0</v>
      </c>
    </row>
    <row r="70" spans="1:5" x14ac:dyDescent="0.25">
      <c r="A70" s="53">
        <v>79</v>
      </c>
      <c r="B70" s="54" t="s">
        <v>51</v>
      </c>
      <c r="C70" s="55">
        <v>6</v>
      </c>
      <c r="D70" s="56">
        <v>46</v>
      </c>
      <c r="E70" s="56">
        <f t="shared" si="1"/>
        <v>276</v>
      </c>
    </row>
    <row r="71" spans="1:5" x14ac:dyDescent="0.25">
      <c r="A71" s="53">
        <v>80</v>
      </c>
      <c r="B71" s="54" t="s">
        <v>52</v>
      </c>
      <c r="C71" s="55">
        <v>1.6</v>
      </c>
      <c r="D71" s="56">
        <v>116</v>
      </c>
      <c r="E71" s="56">
        <f t="shared" si="1"/>
        <v>185.60000000000002</v>
      </c>
    </row>
    <row r="72" spans="1:5" x14ac:dyDescent="0.25">
      <c r="A72" s="53">
        <v>81</v>
      </c>
      <c r="B72" s="54" t="s">
        <v>53</v>
      </c>
      <c r="C72" s="55">
        <f>9.8+0.48+15.8+3.8+8.8+26.9</f>
        <v>65.580000000000013</v>
      </c>
      <c r="D72" s="56">
        <v>84</v>
      </c>
      <c r="E72" s="56">
        <f t="shared" si="1"/>
        <v>5508.7200000000012</v>
      </c>
    </row>
    <row r="73" spans="1:5" x14ac:dyDescent="0.25">
      <c r="A73" s="53">
        <v>82</v>
      </c>
      <c r="B73" s="54" t="s">
        <v>349</v>
      </c>
      <c r="C73" s="55">
        <v>1</v>
      </c>
      <c r="D73" s="56">
        <v>155</v>
      </c>
      <c r="E73" s="56">
        <f t="shared" si="1"/>
        <v>155</v>
      </c>
    </row>
    <row r="74" spans="1:5" x14ac:dyDescent="0.25">
      <c r="A74" s="53">
        <v>83</v>
      </c>
      <c r="B74" s="54" t="s">
        <v>100</v>
      </c>
      <c r="C74" s="55">
        <v>15</v>
      </c>
      <c r="D74" s="56">
        <v>26</v>
      </c>
      <c r="E74" s="56">
        <f t="shared" si="1"/>
        <v>390</v>
      </c>
    </row>
    <row r="75" spans="1:5" x14ac:dyDescent="0.25">
      <c r="A75" s="53">
        <v>84</v>
      </c>
      <c r="B75" s="54" t="s">
        <v>54</v>
      </c>
      <c r="C75" s="55">
        <v>0</v>
      </c>
      <c r="D75" s="56">
        <v>280</v>
      </c>
      <c r="E75" s="56">
        <f t="shared" si="1"/>
        <v>0</v>
      </c>
    </row>
    <row r="76" spans="1:5" x14ac:dyDescent="0.25">
      <c r="A76" s="53">
        <v>85</v>
      </c>
      <c r="B76" s="54" t="s">
        <v>154</v>
      </c>
      <c r="C76" s="55">
        <v>49</v>
      </c>
      <c r="D76" s="56">
        <v>26</v>
      </c>
      <c r="E76" s="56">
        <f t="shared" si="1"/>
        <v>1274</v>
      </c>
    </row>
    <row r="77" spans="1:5" x14ac:dyDescent="0.25">
      <c r="A77" s="53">
        <v>87</v>
      </c>
      <c r="B77" s="54" t="s">
        <v>155</v>
      </c>
      <c r="C77" s="55">
        <v>1</v>
      </c>
      <c r="D77" s="56">
        <v>50</v>
      </c>
      <c r="E77" s="56">
        <f t="shared" si="1"/>
        <v>50</v>
      </c>
    </row>
    <row r="78" spans="1:5" x14ac:dyDescent="0.25">
      <c r="A78" s="53">
        <v>88</v>
      </c>
      <c r="B78" s="54" t="s">
        <v>156</v>
      </c>
      <c r="C78" s="55">
        <v>6</v>
      </c>
      <c r="D78" s="56">
        <v>68</v>
      </c>
      <c r="E78" s="56">
        <f t="shared" si="1"/>
        <v>408</v>
      </c>
    </row>
    <row r="79" spans="1:5" x14ac:dyDescent="0.25">
      <c r="A79" s="53">
        <v>89</v>
      </c>
      <c r="B79" s="71" t="s">
        <v>157</v>
      </c>
      <c r="C79" s="55">
        <v>0</v>
      </c>
      <c r="D79" s="56">
        <v>12</v>
      </c>
      <c r="E79" s="56">
        <f t="shared" si="1"/>
        <v>0</v>
      </c>
    </row>
    <row r="80" spans="1:5" x14ac:dyDescent="0.25">
      <c r="A80" s="53">
        <v>91</v>
      </c>
      <c r="B80" s="54" t="s">
        <v>159</v>
      </c>
      <c r="C80" s="55">
        <f>1.04+0.45</f>
        <v>1.49</v>
      </c>
      <c r="D80" s="56">
        <v>116</v>
      </c>
      <c r="E80" s="56">
        <f t="shared" si="1"/>
        <v>172.84</v>
      </c>
    </row>
    <row r="81" spans="1:5" x14ac:dyDescent="0.25">
      <c r="A81" s="53">
        <v>98</v>
      </c>
      <c r="B81" s="54" t="s">
        <v>166</v>
      </c>
      <c r="C81" s="55">
        <v>7</v>
      </c>
      <c r="D81" s="56">
        <v>45</v>
      </c>
      <c r="E81" s="56">
        <f t="shared" si="1"/>
        <v>315</v>
      </c>
    </row>
    <row r="82" spans="1:5" x14ac:dyDescent="0.25">
      <c r="A82" s="53">
        <v>92</v>
      </c>
      <c r="B82" s="54" t="s">
        <v>160</v>
      </c>
      <c r="C82" s="55">
        <v>87</v>
      </c>
      <c r="D82" s="56">
        <v>75</v>
      </c>
      <c r="E82" s="56">
        <f t="shared" si="1"/>
        <v>6525</v>
      </c>
    </row>
    <row r="83" spans="1:5" x14ac:dyDescent="0.25">
      <c r="A83" s="53">
        <v>93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94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95</v>
      </c>
      <c r="B85" s="54" t="s">
        <v>163</v>
      </c>
      <c r="C85" s="55">
        <v>20</v>
      </c>
      <c r="D85" s="56">
        <v>21</v>
      </c>
      <c r="E85" s="56">
        <f t="shared" si="1"/>
        <v>420</v>
      </c>
    </row>
    <row r="86" spans="1:5" x14ac:dyDescent="0.25">
      <c r="A86" s="53">
        <v>96</v>
      </c>
      <c r="B86" s="54" t="s">
        <v>164</v>
      </c>
      <c r="C86" s="55">
        <v>31</v>
      </c>
      <c r="D86" s="56">
        <v>22</v>
      </c>
      <c r="E86" s="56">
        <f t="shared" si="1"/>
        <v>682</v>
      </c>
    </row>
    <row r="87" spans="1:5" x14ac:dyDescent="0.25">
      <c r="A87" s="53">
        <v>99</v>
      </c>
      <c r="B87" s="54" t="s">
        <v>167</v>
      </c>
      <c r="C87" s="55">
        <v>9</v>
      </c>
      <c r="D87" s="56">
        <v>24</v>
      </c>
      <c r="E87" s="56">
        <f t="shared" ref="E87" si="2">C87*D87</f>
        <v>216</v>
      </c>
    </row>
    <row r="88" spans="1:5" x14ac:dyDescent="0.25">
      <c r="A88" s="53">
        <v>97</v>
      </c>
      <c r="B88" s="54" t="s">
        <v>165</v>
      </c>
      <c r="C88" s="55">
        <v>28</v>
      </c>
      <c r="D88" s="56">
        <v>24</v>
      </c>
      <c r="E88" s="56">
        <f t="shared" si="1"/>
        <v>672</v>
      </c>
    </row>
    <row r="89" spans="1:5" ht="15.75" thickBot="1" x14ac:dyDescent="0.3">
      <c r="A89" s="53"/>
      <c r="B89" s="57" t="s">
        <v>17</v>
      </c>
      <c r="C89" s="15">
        <f>SUM(C46:C88)</f>
        <v>4732.2452000000003</v>
      </c>
      <c r="D89" s="36"/>
      <c r="E89" s="36">
        <f>SUM(E46:E88)</f>
        <v>551805.12700000009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100</v>
      </c>
      <c r="B91" s="54" t="s">
        <v>168</v>
      </c>
      <c r="C91" s="55">
        <v>29</v>
      </c>
      <c r="D91" s="56">
        <v>17</v>
      </c>
      <c r="E91" s="56">
        <f t="shared" si="1"/>
        <v>493</v>
      </c>
    </row>
    <row r="92" spans="1:5" x14ac:dyDescent="0.25">
      <c r="A92" s="53">
        <v>101</v>
      </c>
      <c r="B92" s="54" t="s">
        <v>169</v>
      </c>
      <c r="C92" s="59">
        <f>24+13</f>
        <v>37</v>
      </c>
      <c r="D92" s="56">
        <v>14</v>
      </c>
      <c r="E92" s="56">
        <f t="shared" si="1"/>
        <v>518</v>
      </c>
    </row>
    <row r="93" spans="1:5" x14ac:dyDescent="0.25">
      <c r="A93" s="53">
        <v>103</v>
      </c>
      <c r="B93" s="54" t="s">
        <v>171</v>
      </c>
      <c r="C93" s="55">
        <v>0.96</v>
      </c>
      <c r="D93" s="56">
        <v>125</v>
      </c>
      <c r="E93" s="56">
        <f t="shared" si="1"/>
        <v>120</v>
      </c>
    </row>
    <row r="94" spans="1:5" x14ac:dyDescent="0.25">
      <c r="A94" s="53">
        <v>104</v>
      </c>
      <c r="B94" s="54" t="s">
        <v>172</v>
      </c>
      <c r="C94" s="55">
        <v>1.5</v>
      </c>
      <c r="D94" s="56">
        <v>85</v>
      </c>
      <c r="E94" s="56">
        <f t="shared" si="1"/>
        <v>127.5</v>
      </c>
    </row>
    <row r="95" spans="1:5" x14ac:dyDescent="0.25">
      <c r="A95" s="53">
        <v>105</v>
      </c>
      <c r="B95" s="54" t="s">
        <v>173</v>
      </c>
      <c r="C95" s="55">
        <v>10</v>
      </c>
      <c r="D95" s="56">
        <v>50</v>
      </c>
      <c r="E95" s="56">
        <f t="shared" si="1"/>
        <v>500</v>
      </c>
    </row>
    <row r="96" spans="1:5" x14ac:dyDescent="0.25">
      <c r="A96" s="53">
        <v>106</v>
      </c>
      <c r="B96" s="54" t="s">
        <v>175</v>
      </c>
      <c r="C96" s="55">
        <f>50+11.7</f>
        <v>61.7</v>
      </c>
      <c r="D96" s="56">
        <v>98</v>
      </c>
      <c r="E96" s="56">
        <f t="shared" si="1"/>
        <v>6046.6</v>
      </c>
    </row>
    <row r="97" spans="1:5" x14ac:dyDescent="0.25">
      <c r="A97" s="53">
        <v>107</v>
      </c>
      <c r="B97" s="54" t="s">
        <v>174</v>
      </c>
      <c r="C97" s="55">
        <f>8.2+9.22</f>
        <v>17.420000000000002</v>
      </c>
      <c r="D97" s="56">
        <v>98</v>
      </c>
      <c r="E97" s="56">
        <f t="shared" si="1"/>
        <v>1707.16</v>
      </c>
    </row>
    <row r="98" spans="1:5" x14ac:dyDescent="0.25">
      <c r="A98" s="53">
        <v>108</v>
      </c>
      <c r="B98" s="54" t="s">
        <v>176</v>
      </c>
      <c r="C98" s="55">
        <f>6.38+2.315</f>
        <v>8.6950000000000003</v>
      </c>
      <c r="D98" s="56">
        <v>80</v>
      </c>
      <c r="E98" s="56">
        <f t="shared" si="1"/>
        <v>695.6</v>
      </c>
    </row>
    <row r="99" spans="1:5" x14ac:dyDescent="0.25">
      <c r="A99" s="53">
        <v>109</v>
      </c>
      <c r="B99" s="54" t="s">
        <v>177</v>
      </c>
      <c r="C99" s="55">
        <v>62.7</v>
      </c>
      <c r="D99" s="56">
        <v>94</v>
      </c>
      <c r="E99" s="56">
        <f t="shared" si="1"/>
        <v>5893.8</v>
      </c>
    </row>
    <row r="100" spans="1:5" x14ac:dyDescent="0.25">
      <c r="A100" s="53">
        <v>110</v>
      </c>
      <c r="B100" s="54" t="s">
        <v>178</v>
      </c>
      <c r="C100" s="55">
        <v>3.8</v>
      </c>
      <c r="D100" s="56">
        <v>60</v>
      </c>
      <c r="E100" s="56">
        <f t="shared" si="1"/>
        <v>228</v>
      </c>
    </row>
    <row r="101" spans="1:5" x14ac:dyDescent="0.25">
      <c r="A101" s="53">
        <v>111</v>
      </c>
      <c r="B101" s="54" t="s">
        <v>179</v>
      </c>
      <c r="C101" s="55">
        <f>13.36-2.2+35.1</f>
        <v>46.260000000000005</v>
      </c>
      <c r="D101" s="56">
        <v>90</v>
      </c>
      <c r="E101" s="56">
        <f t="shared" si="1"/>
        <v>4163.4000000000005</v>
      </c>
    </row>
    <row r="102" spans="1:5" x14ac:dyDescent="0.25">
      <c r="A102" s="53">
        <v>112</v>
      </c>
      <c r="B102" s="54" t="s">
        <v>180</v>
      </c>
      <c r="C102" s="55">
        <f>3.74+492.4+625.5+11.3</f>
        <v>1132.9399999999998</v>
      </c>
      <c r="D102" s="56">
        <v>40</v>
      </c>
      <c r="E102" s="56">
        <f t="shared" si="1"/>
        <v>45317.599999999991</v>
      </c>
    </row>
    <row r="103" spans="1:5" x14ac:dyDescent="0.25">
      <c r="A103" s="53">
        <v>113</v>
      </c>
      <c r="B103" s="54" t="s">
        <v>181</v>
      </c>
      <c r="C103" s="55">
        <f>12.7-2.2+5.8+55.9</f>
        <v>72.2</v>
      </c>
      <c r="D103" s="56">
        <v>80</v>
      </c>
      <c r="E103" s="56">
        <f t="shared" si="1"/>
        <v>5776</v>
      </c>
    </row>
    <row r="104" spans="1:5" x14ac:dyDescent="0.25">
      <c r="A104" s="53">
        <v>114</v>
      </c>
      <c r="B104" s="54" t="s">
        <v>182</v>
      </c>
      <c r="C104" s="55">
        <v>5.42</v>
      </c>
      <c r="D104" s="56">
        <v>98</v>
      </c>
      <c r="E104" s="56">
        <f t="shared" si="1"/>
        <v>531.16</v>
      </c>
    </row>
    <row r="105" spans="1:5" x14ac:dyDescent="0.25">
      <c r="A105" s="53">
        <v>115</v>
      </c>
      <c r="B105" s="54" t="s">
        <v>183</v>
      </c>
      <c r="C105" s="55">
        <f>6.1+4.5</f>
        <v>10.6</v>
      </c>
      <c r="D105" s="56">
        <v>110</v>
      </c>
      <c r="E105" s="56">
        <f t="shared" si="1"/>
        <v>1166</v>
      </c>
    </row>
    <row r="106" spans="1:5" x14ac:dyDescent="0.25">
      <c r="A106" s="53">
        <v>116</v>
      </c>
      <c r="B106" s="54" t="s">
        <v>269</v>
      </c>
      <c r="C106" s="60">
        <f>13.25+21.76</f>
        <v>35.010000000000005</v>
      </c>
      <c r="D106" s="56">
        <v>94</v>
      </c>
      <c r="E106" s="56">
        <f t="shared" si="1"/>
        <v>3290.9400000000005</v>
      </c>
    </row>
    <row r="107" spans="1:5" x14ac:dyDescent="0.25">
      <c r="A107" s="53">
        <v>117</v>
      </c>
      <c r="B107" s="54" t="s">
        <v>268</v>
      </c>
      <c r="C107" s="55">
        <v>4.42</v>
      </c>
      <c r="D107" s="56">
        <v>112</v>
      </c>
      <c r="E107" s="56">
        <f t="shared" si="1"/>
        <v>495.03999999999996</v>
      </c>
    </row>
    <row r="108" spans="1:5" x14ac:dyDescent="0.25">
      <c r="A108" s="53">
        <v>118</v>
      </c>
      <c r="B108" s="54" t="s">
        <v>267</v>
      </c>
      <c r="C108" s="55">
        <f>22.78-2.2+15.8</f>
        <v>36.380000000000003</v>
      </c>
      <c r="D108" s="56">
        <v>10</v>
      </c>
      <c r="E108" s="56">
        <f t="shared" si="1"/>
        <v>363.8</v>
      </c>
    </row>
    <row r="109" spans="1:5" x14ac:dyDescent="0.25">
      <c r="A109" s="53">
        <v>119</v>
      </c>
      <c r="B109" s="54" t="s">
        <v>266</v>
      </c>
      <c r="C109" s="55">
        <f>5.09+188.9</f>
        <v>193.99</v>
      </c>
      <c r="D109" s="56">
        <v>74</v>
      </c>
      <c r="E109" s="56">
        <f t="shared" si="1"/>
        <v>14355.26</v>
      </c>
    </row>
    <row r="110" spans="1:5" x14ac:dyDescent="0.25">
      <c r="A110" s="53">
        <v>120</v>
      </c>
      <c r="B110" s="54" t="s">
        <v>265</v>
      </c>
      <c r="C110" s="55">
        <v>117.2</v>
      </c>
      <c r="D110" s="56">
        <v>340</v>
      </c>
      <c r="E110" s="56">
        <f t="shared" si="1"/>
        <v>39848</v>
      </c>
    </row>
    <row r="111" spans="1:5" x14ac:dyDescent="0.25">
      <c r="A111" s="53">
        <v>121</v>
      </c>
      <c r="B111" s="54" t="s">
        <v>264</v>
      </c>
      <c r="C111" s="55">
        <f>14.66-2.2</f>
        <v>12.46</v>
      </c>
      <c r="D111" s="56">
        <v>74</v>
      </c>
      <c r="E111" s="56">
        <f t="shared" si="1"/>
        <v>922.04000000000008</v>
      </c>
    </row>
    <row r="112" spans="1:5" x14ac:dyDescent="0.25">
      <c r="A112" s="53">
        <v>122</v>
      </c>
      <c r="B112" s="54" t="s">
        <v>263</v>
      </c>
      <c r="C112" s="55">
        <v>36</v>
      </c>
      <c r="D112" s="56">
        <v>80</v>
      </c>
      <c r="E112" s="56">
        <f t="shared" si="1"/>
        <v>2880</v>
      </c>
    </row>
    <row r="113" spans="1:5" x14ac:dyDescent="0.25">
      <c r="A113" s="53">
        <v>123</v>
      </c>
      <c r="B113" s="54" t="s">
        <v>262</v>
      </c>
      <c r="C113" s="55">
        <f>13.06-2.2+140.4</f>
        <v>151.26</v>
      </c>
      <c r="D113" s="56">
        <v>120</v>
      </c>
      <c r="E113" s="56">
        <f t="shared" si="1"/>
        <v>18151.199999999997</v>
      </c>
    </row>
    <row r="114" spans="1:5" x14ac:dyDescent="0.25">
      <c r="A114" s="53">
        <v>125</v>
      </c>
      <c r="B114" s="54" t="s">
        <v>260</v>
      </c>
      <c r="C114" s="55">
        <f>12.58-3.9+15.5-3.9+8.1</f>
        <v>28.380000000000003</v>
      </c>
      <c r="D114" s="56">
        <v>80</v>
      </c>
      <c r="E114" s="56">
        <f t="shared" si="1"/>
        <v>2270.4</v>
      </c>
    </row>
    <row r="115" spans="1:5" x14ac:dyDescent="0.25">
      <c r="A115" s="53">
        <v>126</v>
      </c>
      <c r="B115" s="54" t="s">
        <v>259</v>
      </c>
      <c r="C115" s="55">
        <f>5.78+18.76</f>
        <v>24.540000000000003</v>
      </c>
      <c r="D115" s="56">
        <v>210</v>
      </c>
      <c r="E115" s="56">
        <f t="shared" si="1"/>
        <v>5153.4000000000005</v>
      </c>
    </row>
    <row r="116" spans="1:5" x14ac:dyDescent="0.25">
      <c r="A116" s="53">
        <v>128</v>
      </c>
      <c r="B116" s="54" t="s">
        <v>257</v>
      </c>
      <c r="C116" s="55">
        <v>4.37</v>
      </c>
      <c r="D116" s="56">
        <v>47</v>
      </c>
      <c r="E116" s="56">
        <f t="shared" si="1"/>
        <v>205.39000000000001</v>
      </c>
    </row>
    <row r="117" spans="1:5" x14ac:dyDescent="0.25">
      <c r="A117" s="53">
        <v>129</v>
      </c>
      <c r="B117" s="54" t="s">
        <v>256</v>
      </c>
      <c r="C117" s="55">
        <f>2+54.1</f>
        <v>56.1</v>
      </c>
      <c r="D117" s="56">
        <v>75</v>
      </c>
      <c r="E117" s="56">
        <f t="shared" si="1"/>
        <v>4207.5</v>
      </c>
    </row>
    <row r="118" spans="1:5" x14ac:dyDescent="0.25">
      <c r="A118" s="53">
        <v>130</v>
      </c>
      <c r="B118" s="54" t="s">
        <v>255</v>
      </c>
      <c r="C118" s="55">
        <f>2.57+16.8</f>
        <v>19.37</v>
      </c>
      <c r="D118" s="56">
        <v>86</v>
      </c>
      <c r="E118" s="56">
        <f t="shared" si="1"/>
        <v>1665.8200000000002</v>
      </c>
    </row>
    <row r="119" spans="1:5" x14ac:dyDescent="0.25">
      <c r="A119" s="53">
        <v>131</v>
      </c>
      <c r="B119" s="54" t="s">
        <v>254</v>
      </c>
      <c r="C119" s="55">
        <f>1.6+5.8+4</f>
        <v>11.4</v>
      </c>
      <c r="D119" s="56">
        <v>125</v>
      </c>
      <c r="E119" s="56">
        <f t="shared" si="1"/>
        <v>1425</v>
      </c>
    </row>
    <row r="120" spans="1:5" x14ac:dyDescent="0.25">
      <c r="A120" s="53">
        <v>132</v>
      </c>
      <c r="B120" s="54" t="s">
        <v>253</v>
      </c>
      <c r="C120" s="55">
        <v>6.44</v>
      </c>
      <c r="D120" s="56">
        <v>145</v>
      </c>
      <c r="E120" s="56">
        <f t="shared" si="1"/>
        <v>933.80000000000007</v>
      </c>
    </row>
    <row r="121" spans="1:5" x14ac:dyDescent="0.25">
      <c r="A121" s="53">
        <v>133</v>
      </c>
      <c r="B121" s="54" t="s">
        <v>252</v>
      </c>
      <c r="C121" s="55">
        <f>11.51-3.9</f>
        <v>7.6099999999999994</v>
      </c>
      <c r="D121" s="56">
        <v>170</v>
      </c>
      <c r="E121" s="56">
        <f t="shared" si="1"/>
        <v>1293.6999999999998</v>
      </c>
    </row>
    <row r="122" spans="1:5" x14ac:dyDescent="0.25">
      <c r="A122" s="53">
        <v>134</v>
      </c>
      <c r="B122" s="54" t="s">
        <v>251</v>
      </c>
      <c r="C122" s="55">
        <f>8.48+1+318.2</f>
        <v>327.68</v>
      </c>
      <c r="D122" s="56">
        <v>116</v>
      </c>
      <c r="E122" s="56">
        <f t="shared" si="1"/>
        <v>38010.879999999997</v>
      </c>
    </row>
    <row r="123" spans="1:5" x14ac:dyDescent="0.25">
      <c r="A123" s="53">
        <v>135</v>
      </c>
      <c r="B123" s="54" t="s">
        <v>250</v>
      </c>
      <c r="C123" s="55">
        <v>140</v>
      </c>
      <c r="D123" s="56">
        <v>100</v>
      </c>
      <c r="E123" s="56">
        <f t="shared" si="1"/>
        <v>14000</v>
      </c>
    </row>
    <row r="124" spans="1:5" x14ac:dyDescent="0.25">
      <c r="A124" s="53">
        <v>136</v>
      </c>
      <c r="B124" s="54" t="s">
        <v>249</v>
      </c>
      <c r="C124" s="55">
        <f>8.82+7.8+5.8</f>
        <v>22.42</v>
      </c>
      <c r="D124" s="56">
        <v>58</v>
      </c>
      <c r="E124" s="56">
        <f t="shared" si="1"/>
        <v>1300.3600000000001</v>
      </c>
    </row>
    <row r="125" spans="1:5" x14ac:dyDescent="0.25">
      <c r="A125" s="53">
        <v>137</v>
      </c>
      <c r="B125" s="54" t="s">
        <v>248</v>
      </c>
      <c r="C125" s="55">
        <f>16.6+1.44+7.52+9.42-2.2+30.86-2.2+0.52+25.8+28.8+82.7+130.1+96+220.8+82.7+28.8+66.2+32.8+35.8+1+185.6+12.8</f>
        <v>1091.8599999999999</v>
      </c>
      <c r="D125" s="56">
        <v>190</v>
      </c>
      <c r="E125" s="56">
        <f t="shared" si="1"/>
        <v>207453.4</v>
      </c>
    </row>
    <row r="126" spans="1:5" x14ac:dyDescent="0.25">
      <c r="A126" s="53">
        <v>138</v>
      </c>
      <c r="B126" s="54" t="s">
        <v>247</v>
      </c>
      <c r="C126" s="55">
        <v>265.2</v>
      </c>
      <c r="D126" s="56">
        <v>177</v>
      </c>
      <c r="E126" s="56">
        <f t="shared" si="1"/>
        <v>46940.4</v>
      </c>
    </row>
    <row r="127" spans="1:5" x14ac:dyDescent="0.25">
      <c r="A127" s="53">
        <v>139</v>
      </c>
      <c r="B127" s="54" t="s">
        <v>246</v>
      </c>
      <c r="C127" s="55">
        <f>20.9-2.2</f>
        <v>18.7</v>
      </c>
      <c r="D127" s="56">
        <v>190</v>
      </c>
      <c r="E127" s="56">
        <f t="shared" si="1"/>
        <v>3553</v>
      </c>
    </row>
    <row r="128" spans="1:5" x14ac:dyDescent="0.25">
      <c r="A128" s="53">
        <v>142</v>
      </c>
      <c r="B128" s="54" t="s">
        <v>243</v>
      </c>
      <c r="C128" s="55">
        <v>4</v>
      </c>
      <c r="D128" s="56">
        <v>80</v>
      </c>
      <c r="E128" s="56">
        <f t="shared" ref="E128:E187" si="3">C128*D128</f>
        <v>320</v>
      </c>
    </row>
    <row r="129" spans="1:5" x14ac:dyDescent="0.25">
      <c r="A129" s="53">
        <v>143</v>
      </c>
      <c r="B129" s="54" t="s">
        <v>242</v>
      </c>
      <c r="C129" s="55">
        <f>5.48+75.2</f>
        <v>80.680000000000007</v>
      </c>
      <c r="D129" s="56">
        <v>68</v>
      </c>
      <c r="E129" s="56">
        <f t="shared" si="3"/>
        <v>5486.2400000000007</v>
      </c>
    </row>
    <row r="130" spans="1:5" x14ac:dyDescent="0.25">
      <c r="A130" s="53">
        <v>145</v>
      </c>
      <c r="B130" s="54" t="s">
        <v>240</v>
      </c>
      <c r="C130" s="55">
        <v>1</v>
      </c>
      <c r="D130" s="56">
        <v>56</v>
      </c>
      <c r="E130" s="56">
        <f t="shared" si="3"/>
        <v>56</v>
      </c>
    </row>
    <row r="131" spans="1:5" x14ac:dyDescent="0.25">
      <c r="A131" s="53">
        <v>146</v>
      </c>
      <c r="B131" s="54" t="s">
        <v>239</v>
      </c>
      <c r="C131" s="55">
        <f>10.78-2.2+1.54+7.3</f>
        <v>17.419999999999998</v>
      </c>
      <c r="D131" s="56">
        <v>134</v>
      </c>
      <c r="E131" s="56">
        <f t="shared" si="3"/>
        <v>2334.2799999999997</v>
      </c>
    </row>
    <row r="132" spans="1:5" x14ac:dyDescent="0.25">
      <c r="A132" s="53">
        <v>147</v>
      </c>
      <c r="B132" s="54" t="s">
        <v>238</v>
      </c>
      <c r="C132" s="55">
        <f>17.22-2.2+14.6</f>
        <v>29.619999999999997</v>
      </c>
      <c r="D132" s="56">
        <v>95</v>
      </c>
      <c r="E132" s="56">
        <f t="shared" si="3"/>
        <v>2813.8999999999996</v>
      </c>
    </row>
    <row r="133" spans="1:5" x14ac:dyDescent="0.25">
      <c r="A133" s="53">
        <v>149</v>
      </c>
      <c r="B133" s="54" t="s">
        <v>236</v>
      </c>
      <c r="C133" s="55">
        <f>5.86+8.6</f>
        <v>14.46</v>
      </c>
      <c r="D133" s="56">
        <v>173</v>
      </c>
      <c r="E133" s="56">
        <f t="shared" ref="E133" si="4">C133*D133</f>
        <v>2501.58</v>
      </c>
    </row>
    <row r="134" spans="1:5" x14ac:dyDescent="0.25">
      <c r="A134" s="53">
        <v>148</v>
      </c>
      <c r="B134" s="54" t="s">
        <v>237</v>
      </c>
      <c r="C134" s="55">
        <f>8.24+99.3</f>
        <v>107.53999999999999</v>
      </c>
      <c r="D134" s="56">
        <v>130</v>
      </c>
      <c r="E134" s="56">
        <f t="shared" si="3"/>
        <v>13980.199999999999</v>
      </c>
    </row>
    <row r="135" spans="1:5" ht="15.75" thickBot="1" x14ac:dyDescent="0.3">
      <c r="A135" s="53"/>
      <c r="B135" s="57" t="s">
        <v>17</v>
      </c>
      <c r="C135" s="15">
        <f>SUM(C91:C134)</f>
        <v>4365.7049999999999</v>
      </c>
      <c r="D135" s="38"/>
      <c r="E135" s="36">
        <f>SUM(E91:E134)</f>
        <v>509495.35000000009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150</v>
      </c>
      <c r="B137" s="54" t="s">
        <v>275</v>
      </c>
      <c r="C137" s="55">
        <v>12</v>
      </c>
      <c r="D137" s="56">
        <v>92</v>
      </c>
      <c r="E137" s="56">
        <f t="shared" si="3"/>
        <v>1104</v>
      </c>
    </row>
    <row r="138" spans="1:5" x14ac:dyDescent="0.25">
      <c r="A138" s="53">
        <v>151</v>
      </c>
      <c r="B138" s="54" t="s">
        <v>235</v>
      </c>
      <c r="C138" s="55">
        <f>1.88+217.6+16.6</f>
        <v>236.07999999999998</v>
      </c>
      <c r="D138" s="56">
        <v>132</v>
      </c>
      <c r="E138" s="56">
        <f t="shared" si="3"/>
        <v>31162.559999999998</v>
      </c>
    </row>
    <row r="139" spans="1:5" x14ac:dyDescent="0.25">
      <c r="A139" s="53">
        <v>153</v>
      </c>
      <c r="B139" s="54" t="s">
        <v>233</v>
      </c>
      <c r="C139" s="55">
        <f>119.5+13.14-2.2+1.02</f>
        <v>131.46</v>
      </c>
      <c r="D139" s="56">
        <v>174</v>
      </c>
      <c r="E139" s="56">
        <f t="shared" si="3"/>
        <v>22874.04</v>
      </c>
    </row>
    <row r="140" spans="1:5" x14ac:dyDescent="0.25">
      <c r="A140" s="53">
        <v>154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155</v>
      </c>
      <c r="B141" s="54" t="s">
        <v>231</v>
      </c>
      <c r="C141" s="55">
        <f>71.48+19.34-2.2+0.88</f>
        <v>89.5</v>
      </c>
      <c r="D141" s="56">
        <v>100</v>
      </c>
      <c r="E141" s="56">
        <f t="shared" si="3"/>
        <v>8950</v>
      </c>
    </row>
    <row r="142" spans="1:5" x14ac:dyDescent="0.25">
      <c r="A142" s="53">
        <v>156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157</v>
      </c>
      <c r="B143" s="54" t="s">
        <v>229</v>
      </c>
      <c r="C143" s="60">
        <v>1.5580000000000001</v>
      </c>
      <c r="D143" s="56">
        <v>900</v>
      </c>
      <c r="E143" s="56">
        <f t="shared" si="3"/>
        <v>1402.2</v>
      </c>
    </row>
    <row r="144" spans="1:5" x14ac:dyDescent="0.25">
      <c r="A144" s="53">
        <v>158</v>
      </c>
      <c r="B144" s="54" t="s">
        <v>228</v>
      </c>
      <c r="C144" s="55">
        <f>21.52-2.2+53.5</f>
        <v>72.819999999999993</v>
      </c>
      <c r="D144" s="56">
        <v>80</v>
      </c>
      <c r="E144" s="56">
        <f t="shared" si="3"/>
        <v>5825.5999999999995</v>
      </c>
    </row>
    <row r="145" spans="1:5" x14ac:dyDescent="0.25">
      <c r="A145" s="53">
        <v>159</v>
      </c>
      <c r="B145" s="54" t="s">
        <v>227</v>
      </c>
      <c r="C145" s="55">
        <v>0</v>
      </c>
      <c r="D145" s="56">
        <v>84</v>
      </c>
      <c r="E145" s="56">
        <f t="shared" si="3"/>
        <v>0</v>
      </c>
    </row>
    <row r="146" spans="1:5" x14ac:dyDescent="0.25">
      <c r="A146" s="53">
        <v>162</v>
      </c>
      <c r="B146" s="54" t="s">
        <v>21</v>
      </c>
      <c r="C146" s="55">
        <f>40.78+1.582</f>
        <v>42.362000000000002</v>
      </c>
      <c r="D146" s="56">
        <v>600</v>
      </c>
      <c r="E146" s="56">
        <f t="shared" si="3"/>
        <v>25417.200000000001</v>
      </c>
    </row>
    <row r="147" spans="1:5" x14ac:dyDescent="0.25">
      <c r="A147" s="53">
        <v>163</v>
      </c>
      <c r="B147" s="54" t="s">
        <v>224</v>
      </c>
      <c r="C147" s="55">
        <v>12.8</v>
      </c>
      <c r="D147" s="56">
        <v>190</v>
      </c>
      <c r="E147" s="56">
        <f t="shared" si="3"/>
        <v>2432</v>
      </c>
    </row>
    <row r="148" spans="1:5" x14ac:dyDescent="0.25">
      <c r="A148" s="53">
        <v>164</v>
      </c>
      <c r="B148" s="54" t="s">
        <v>22</v>
      </c>
      <c r="C148" s="55">
        <f>166.3+13</f>
        <v>179.3</v>
      </c>
      <c r="D148" s="56">
        <v>136</v>
      </c>
      <c r="E148" s="56">
        <f t="shared" si="3"/>
        <v>24384.800000000003</v>
      </c>
    </row>
    <row r="149" spans="1:5" x14ac:dyDescent="0.25">
      <c r="A149" s="53">
        <v>165</v>
      </c>
      <c r="B149" s="54" t="s">
        <v>223</v>
      </c>
      <c r="C149" s="55">
        <f>5.3+7.3</f>
        <v>12.6</v>
      </c>
      <c r="D149" s="56">
        <v>45</v>
      </c>
      <c r="E149" s="56">
        <f t="shared" si="3"/>
        <v>567</v>
      </c>
    </row>
    <row r="150" spans="1:5" x14ac:dyDescent="0.25">
      <c r="A150" s="53">
        <v>166</v>
      </c>
      <c r="B150" s="54" t="s">
        <v>23</v>
      </c>
      <c r="C150" s="55">
        <f>30.07+1.19+0.55+2.746</f>
        <v>34.556000000000004</v>
      </c>
      <c r="D150" s="56">
        <v>600</v>
      </c>
      <c r="E150" s="56">
        <f t="shared" si="3"/>
        <v>20733.600000000002</v>
      </c>
    </row>
    <row r="151" spans="1:5" x14ac:dyDescent="0.25">
      <c r="A151" s="53">
        <v>167</v>
      </c>
      <c r="B151" s="54" t="s">
        <v>222</v>
      </c>
      <c r="C151" s="55">
        <v>258.60000000000002</v>
      </c>
      <c r="D151" s="56">
        <v>116</v>
      </c>
      <c r="E151" s="56">
        <f t="shared" si="3"/>
        <v>29997.600000000002</v>
      </c>
    </row>
    <row r="152" spans="1:5" x14ac:dyDescent="0.25">
      <c r="A152" s="53">
        <v>168</v>
      </c>
      <c r="B152" s="54" t="s">
        <v>221</v>
      </c>
      <c r="C152" s="55">
        <v>2.42</v>
      </c>
      <c r="D152" s="56">
        <v>290</v>
      </c>
      <c r="E152" s="56">
        <f t="shared" si="3"/>
        <v>701.8</v>
      </c>
    </row>
    <row r="153" spans="1:5" x14ac:dyDescent="0.25">
      <c r="A153" s="53">
        <v>169</v>
      </c>
      <c r="B153" s="54" t="s">
        <v>274</v>
      </c>
      <c r="C153" s="55">
        <v>39.9</v>
      </c>
      <c r="D153" s="56">
        <v>94</v>
      </c>
      <c r="E153" s="56">
        <f t="shared" si="3"/>
        <v>3750.6</v>
      </c>
    </row>
    <row r="154" spans="1:5" x14ac:dyDescent="0.25">
      <c r="A154" s="53">
        <v>170</v>
      </c>
      <c r="B154" s="54" t="s">
        <v>324</v>
      </c>
      <c r="C154" s="55">
        <f>109+62.2</f>
        <v>171.2</v>
      </c>
      <c r="D154" s="56">
        <v>140</v>
      </c>
      <c r="E154" s="56">
        <f t="shared" si="3"/>
        <v>23968</v>
      </c>
    </row>
    <row r="155" spans="1:5" x14ac:dyDescent="0.25">
      <c r="A155" s="53">
        <v>171</v>
      </c>
      <c r="B155" s="54" t="s">
        <v>219</v>
      </c>
      <c r="C155" s="55">
        <f>19.72-2.2+147.1</f>
        <v>164.62</v>
      </c>
      <c r="D155" s="56">
        <v>78</v>
      </c>
      <c r="E155" s="56">
        <f t="shared" si="3"/>
        <v>12840.36</v>
      </c>
    </row>
    <row r="156" spans="1:5" x14ac:dyDescent="0.25">
      <c r="A156" s="53">
        <v>172</v>
      </c>
      <c r="B156" s="54" t="s">
        <v>218</v>
      </c>
      <c r="C156" s="55">
        <f>1.74+6</f>
        <v>7.74</v>
      </c>
      <c r="D156" s="56">
        <v>150</v>
      </c>
      <c r="E156" s="56">
        <f t="shared" si="3"/>
        <v>1161</v>
      </c>
    </row>
    <row r="157" spans="1:5" x14ac:dyDescent="0.25">
      <c r="A157" s="53">
        <v>173</v>
      </c>
      <c r="B157" s="54" t="s">
        <v>217</v>
      </c>
      <c r="C157" s="55">
        <v>1.46</v>
      </c>
      <c r="D157" s="56">
        <v>134</v>
      </c>
      <c r="E157" s="56">
        <f t="shared" si="3"/>
        <v>195.64</v>
      </c>
    </row>
    <row r="158" spans="1:5" x14ac:dyDescent="0.25">
      <c r="A158" s="53">
        <v>174</v>
      </c>
      <c r="B158" s="54" t="s">
        <v>216</v>
      </c>
      <c r="C158" s="55">
        <f>8.32-3.9+16.2-3.9+1.8+47+22.8+50.2</f>
        <v>138.51999999999998</v>
      </c>
      <c r="D158" s="56">
        <v>80</v>
      </c>
      <c r="E158" s="56">
        <f t="shared" si="3"/>
        <v>11081.599999999999</v>
      </c>
    </row>
    <row r="159" spans="1:5" x14ac:dyDescent="0.25">
      <c r="A159" s="53">
        <v>175</v>
      </c>
      <c r="B159" s="54" t="s">
        <v>215</v>
      </c>
      <c r="C159" s="55">
        <f>493.8+377.4</f>
        <v>871.2</v>
      </c>
      <c r="D159" s="56">
        <v>74</v>
      </c>
      <c r="E159" s="56">
        <f t="shared" si="3"/>
        <v>64468.800000000003</v>
      </c>
    </row>
    <row r="160" spans="1:5" x14ac:dyDescent="0.25">
      <c r="A160" s="53">
        <v>176</v>
      </c>
      <c r="B160" s="54" t="s">
        <v>214</v>
      </c>
      <c r="C160" s="55">
        <v>0</v>
      </c>
      <c r="D160" s="56">
        <v>80</v>
      </c>
      <c r="E160" s="56">
        <f t="shared" si="3"/>
        <v>0</v>
      </c>
    </row>
    <row r="161" spans="1:5" x14ac:dyDescent="0.25">
      <c r="A161" s="53">
        <v>177</v>
      </c>
      <c r="B161" s="54" t="s">
        <v>213</v>
      </c>
      <c r="C161" s="55">
        <f>13.96-3.9+15.7-3.9+13.3</f>
        <v>35.159999999999997</v>
      </c>
      <c r="D161" s="56">
        <v>170</v>
      </c>
      <c r="E161" s="56">
        <f t="shared" si="3"/>
        <v>5977.2</v>
      </c>
    </row>
    <row r="162" spans="1:5" x14ac:dyDescent="0.25">
      <c r="A162" s="53">
        <v>178</v>
      </c>
      <c r="B162" s="54" t="s">
        <v>212</v>
      </c>
      <c r="C162" s="55">
        <v>159.6</v>
      </c>
      <c r="D162" s="56">
        <v>78</v>
      </c>
      <c r="E162" s="56">
        <f t="shared" si="3"/>
        <v>12448.8</v>
      </c>
    </row>
    <row r="163" spans="1:5" x14ac:dyDescent="0.25">
      <c r="A163" s="53">
        <v>179</v>
      </c>
      <c r="B163" s="54" t="s">
        <v>211</v>
      </c>
      <c r="C163" s="55">
        <v>68.2</v>
      </c>
      <c r="D163" s="56">
        <v>100</v>
      </c>
      <c r="E163" s="56">
        <f t="shared" si="3"/>
        <v>6820</v>
      </c>
    </row>
    <row r="164" spans="1:5" x14ac:dyDescent="0.25">
      <c r="A164" s="53">
        <v>180</v>
      </c>
      <c r="B164" s="54" t="s">
        <v>210</v>
      </c>
      <c r="C164" s="55">
        <f>69.24+1.38+54.1</f>
        <v>124.72</v>
      </c>
      <c r="D164" s="56">
        <v>100</v>
      </c>
      <c r="E164" s="56">
        <f t="shared" si="3"/>
        <v>12472</v>
      </c>
    </row>
    <row r="165" spans="1:5" x14ac:dyDescent="0.25">
      <c r="A165" s="53">
        <v>183</v>
      </c>
      <c r="B165" s="54" t="s">
        <v>207</v>
      </c>
      <c r="C165" s="55">
        <f>104.1+14.8</f>
        <v>118.89999999999999</v>
      </c>
      <c r="D165" s="56">
        <v>149</v>
      </c>
      <c r="E165" s="56">
        <f t="shared" si="3"/>
        <v>17716.099999999999</v>
      </c>
    </row>
    <row r="166" spans="1:5" x14ac:dyDescent="0.25">
      <c r="A166" s="53">
        <v>181</v>
      </c>
      <c r="B166" s="54" t="s">
        <v>209</v>
      </c>
      <c r="C166" s="55">
        <v>148.6</v>
      </c>
      <c r="D166" s="56">
        <v>59</v>
      </c>
      <c r="E166" s="56">
        <f t="shared" si="3"/>
        <v>8767.4</v>
      </c>
    </row>
    <row r="167" spans="1:5" x14ac:dyDescent="0.25">
      <c r="A167" s="53">
        <v>184</v>
      </c>
      <c r="B167" s="54" t="s">
        <v>206</v>
      </c>
      <c r="C167" s="55">
        <f>6.12+45.6</f>
        <v>51.72</v>
      </c>
      <c r="D167" s="56">
        <v>185</v>
      </c>
      <c r="E167" s="56">
        <f t="shared" si="3"/>
        <v>9568.1999999999989</v>
      </c>
    </row>
    <row r="168" spans="1:5" x14ac:dyDescent="0.25">
      <c r="A168" s="53">
        <v>185</v>
      </c>
      <c r="B168" s="54" t="s">
        <v>205</v>
      </c>
      <c r="C168" s="55">
        <v>35.9</v>
      </c>
      <c r="D168" s="56">
        <v>180</v>
      </c>
      <c r="E168" s="56">
        <f t="shared" si="3"/>
        <v>6462</v>
      </c>
    </row>
    <row r="169" spans="1:5" x14ac:dyDescent="0.25">
      <c r="A169" s="53">
        <v>186</v>
      </c>
      <c r="B169" s="54" t="s">
        <v>204</v>
      </c>
      <c r="C169" s="55">
        <v>43.4</v>
      </c>
      <c r="D169" s="56">
        <v>187</v>
      </c>
      <c r="E169" s="56">
        <f t="shared" si="3"/>
        <v>8115.8</v>
      </c>
    </row>
    <row r="170" spans="1:5" x14ac:dyDescent="0.25">
      <c r="A170" s="53">
        <v>187</v>
      </c>
      <c r="B170" s="54" t="s">
        <v>203</v>
      </c>
      <c r="C170" s="55">
        <v>0</v>
      </c>
      <c r="D170" s="56">
        <v>73</v>
      </c>
      <c r="E170" s="56">
        <f t="shared" si="3"/>
        <v>0</v>
      </c>
    </row>
    <row r="171" spans="1:5" x14ac:dyDescent="0.25">
      <c r="A171" s="53">
        <v>188</v>
      </c>
      <c r="B171" s="54" t="s">
        <v>202</v>
      </c>
      <c r="C171" s="55">
        <f>4.96+21.3+15.8+14.2</f>
        <v>56.260000000000005</v>
      </c>
      <c r="D171" s="56">
        <v>64</v>
      </c>
      <c r="E171" s="56">
        <f t="shared" si="3"/>
        <v>3600.6400000000003</v>
      </c>
    </row>
    <row r="172" spans="1:5" x14ac:dyDescent="0.25">
      <c r="A172" s="53">
        <v>189</v>
      </c>
      <c r="B172" s="54" t="s">
        <v>345</v>
      </c>
      <c r="C172" s="55">
        <v>2</v>
      </c>
      <c r="D172" s="56">
        <v>72</v>
      </c>
      <c r="E172" s="56">
        <f t="shared" si="3"/>
        <v>144</v>
      </c>
    </row>
    <row r="173" spans="1:5" x14ac:dyDescent="0.25">
      <c r="A173" s="53">
        <v>190</v>
      </c>
      <c r="B173" s="54" t="s">
        <v>200</v>
      </c>
      <c r="C173" s="55">
        <f>3.08+1.9+1.84+41.4+37.7+23.6+31.8+26.3</f>
        <v>167.62000000000003</v>
      </c>
      <c r="D173" s="56">
        <v>120</v>
      </c>
      <c r="E173" s="56">
        <f t="shared" si="3"/>
        <v>20114.400000000005</v>
      </c>
    </row>
    <row r="174" spans="1:5" x14ac:dyDescent="0.25">
      <c r="A174" s="53">
        <v>191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192</v>
      </c>
      <c r="B175" s="54" t="s">
        <v>198</v>
      </c>
      <c r="C175" s="55">
        <v>225</v>
      </c>
      <c r="D175" s="56">
        <v>58</v>
      </c>
      <c r="E175" s="56">
        <f t="shared" si="3"/>
        <v>13050</v>
      </c>
    </row>
    <row r="176" spans="1:5" x14ac:dyDescent="0.25">
      <c r="A176" s="53">
        <v>193</v>
      </c>
      <c r="B176" s="54" t="s">
        <v>197</v>
      </c>
      <c r="C176" s="55">
        <v>661.5</v>
      </c>
      <c r="D176" s="56">
        <v>22</v>
      </c>
      <c r="E176" s="56">
        <f t="shared" si="3"/>
        <v>14553</v>
      </c>
    </row>
    <row r="177" spans="1:5" x14ac:dyDescent="0.25">
      <c r="A177" s="53">
        <v>194</v>
      </c>
      <c r="B177" s="54" t="s">
        <v>196</v>
      </c>
      <c r="C177" s="55">
        <v>54.4</v>
      </c>
      <c r="D177" s="56">
        <v>32</v>
      </c>
      <c r="E177" s="56">
        <f t="shared" si="3"/>
        <v>1740.8</v>
      </c>
    </row>
    <row r="178" spans="1:5" x14ac:dyDescent="0.25">
      <c r="A178" s="53">
        <v>195</v>
      </c>
      <c r="B178" s="54" t="s">
        <v>93</v>
      </c>
      <c r="C178" s="55">
        <f>1.68+20.62-2.2+25.3+103.5</f>
        <v>148.9</v>
      </c>
      <c r="D178" s="56">
        <v>40</v>
      </c>
      <c r="E178" s="56">
        <f t="shared" si="3"/>
        <v>5956</v>
      </c>
    </row>
    <row r="179" spans="1:5" x14ac:dyDescent="0.25">
      <c r="A179" s="53">
        <v>196</v>
      </c>
      <c r="B179" s="54" t="s">
        <v>92</v>
      </c>
      <c r="C179" s="55">
        <v>93</v>
      </c>
      <c r="D179" s="56">
        <v>95</v>
      </c>
      <c r="E179" s="56">
        <f t="shared" si="3"/>
        <v>8835</v>
      </c>
    </row>
    <row r="180" spans="1:5" x14ac:dyDescent="0.25">
      <c r="A180" s="53">
        <v>197</v>
      </c>
      <c r="B180" s="54" t="s">
        <v>91</v>
      </c>
      <c r="C180" s="55">
        <f>14.44+2.4</f>
        <v>16.84</v>
      </c>
      <c r="D180" s="56">
        <v>420</v>
      </c>
      <c r="E180" s="56">
        <f t="shared" si="3"/>
        <v>7072.8</v>
      </c>
    </row>
    <row r="181" spans="1:5" ht="15.75" thickBot="1" x14ac:dyDescent="0.3">
      <c r="A181" s="53"/>
      <c r="B181" s="57" t="s">
        <v>17</v>
      </c>
      <c r="C181" s="15">
        <f>SUM(C137:C180)</f>
        <v>4692.4159999999993</v>
      </c>
      <c r="D181" s="15"/>
      <c r="E181" s="36">
        <f>SUM(E137:E180)</f>
        <v>456432.54000000004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198</v>
      </c>
      <c r="B183" s="54" t="s">
        <v>90</v>
      </c>
      <c r="C183" s="55">
        <f>27.42-2.2+1.02</f>
        <v>26.240000000000002</v>
      </c>
      <c r="D183" s="56">
        <v>190</v>
      </c>
      <c r="E183" s="56">
        <f t="shared" si="3"/>
        <v>4985.6000000000004</v>
      </c>
    </row>
    <row r="184" spans="1:5" x14ac:dyDescent="0.25">
      <c r="A184" s="53">
        <v>200</v>
      </c>
      <c r="B184" s="54" t="s">
        <v>290</v>
      </c>
      <c r="C184" s="55">
        <v>244.98</v>
      </c>
      <c r="D184" s="56">
        <v>70</v>
      </c>
      <c r="E184" s="56">
        <f t="shared" si="3"/>
        <v>17148.599999999999</v>
      </c>
    </row>
    <row r="185" spans="1:5" x14ac:dyDescent="0.25">
      <c r="A185" s="53">
        <v>201</v>
      </c>
      <c r="B185" s="54" t="s">
        <v>88</v>
      </c>
      <c r="C185" s="55">
        <f>91.5+15.32-2.2+11.8</f>
        <v>116.41999999999999</v>
      </c>
      <c r="D185" s="56">
        <v>48</v>
      </c>
      <c r="E185" s="56">
        <f t="shared" si="3"/>
        <v>5588.16</v>
      </c>
    </row>
    <row r="186" spans="1:5" x14ac:dyDescent="0.25">
      <c r="A186" s="53">
        <v>202</v>
      </c>
      <c r="B186" s="54" t="s">
        <v>87</v>
      </c>
      <c r="C186" s="55">
        <f>10.41+1.84</f>
        <v>12.25</v>
      </c>
      <c r="D186" s="56">
        <v>115</v>
      </c>
      <c r="E186" s="56">
        <f t="shared" si="3"/>
        <v>1408.75</v>
      </c>
    </row>
    <row r="187" spans="1:5" x14ac:dyDescent="0.25">
      <c r="A187" s="53">
        <v>203</v>
      </c>
      <c r="B187" s="54" t="s">
        <v>86</v>
      </c>
      <c r="C187" s="55">
        <v>116</v>
      </c>
      <c r="D187" s="56">
        <v>120</v>
      </c>
      <c r="E187" s="56">
        <f t="shared" si="3"/>
        <v>13920</v>
      </c>
    </row>
    <row r="188" spans="1:5" x14ac:dyDescent="0.25">
      <c r="A188" s="53">
        <v>204</v>
      </c>
      <c r="B188" s="54" t="s">
        <v>85</v>
      </c>
      <c r="C188" s="55">
        <v>64</v>
      </c>
      <c r="D188" s="56">
        <v>105</v>
      </c>
      <c r="E188" s="56">
        <f t="shared" ref="E188:E244" si="5">C188*D188</f>
        <v>6720</v>
      </c>
    </row>
    <row r="189" spans="1:5" x14ac:dyDescent="0.25">
      <c r="A189" s="53">
        <v>205</v>
      </c>
      <c r="B189" s="54" t="s">
        <v>84</v>
      </c>
      <c r="C189" s="55">
        <v>20.72</v>
      </c>
      <c r="D189" s="56">
        <v>75</v>
      </c>
      <c r="E189" s="56">
        <f t="shared" si="5"/>
        <v>1554</v>
      </c>
    </row>
    <row r="190" spans="1:5" x14ac:dyDescent="0.25">
      <c r="A190" s="53">
        <v>206</v>
      </c>
      <c r="B190" s="54" t="s">
        <v>83</v>
      </c>
      <c r="C190" s="55">
        <f>139.88+8.96+2.06</f>
        <v>150.9</v>
      </c>
      <c r="D190" s="56">
        <v>102</v>
      </c>
      <c r="E190" s="56">
        <f t="shared" si="5"/>
        <v>15391.800000000001</v>
      </c>
    </row>
    <row r="191" spans="1:5" x14ac:dyDescent="0.25">
      <c r="A191" s="53">
        <v>208</v>
      </c>
      <c r="B191" s="54" t="s">
        <v>82</v>
      </c>
      <c r="C191" s="55">
        <v>5.1760000000000002</v>
      </c>
      <c r="D191" s="56">
        <v>93</v>
      </c>
      <c r="E191" s="56">
        <f t="shared" si="5"/>
        <v>481.36799999999999</v>
      </c>
    </row>
    <row r="192" spans="1:5" x14ac:dyDescent="0.25">
      <c r="A192" s="53">
        <v>209</v>
      </c>
      <c r="B192" s="54" t="s">
        <v>81</v>
      </c>
      <c r="C192" s="55">
        <v>0</v>
      </c>
      <c r="D192" s="56">
        <v>75</v>
      </c>
      <c r="E192" s="56">
        <f t="shared" si="5"/>
        <v>0</v>
      </c>
    </row>
    <row r="193" spans="1:5" x14ac:dyDescent="0.25">
      <c r="A193" s="53">
        <v>210</v>
      </c>
      <c r="B193" s="54" t="s">
        <v>80</v>
      </c>
      <c r="C193" s="55">
        <v>3</v>
      </c>
      <c r="D193" s="56">
        <v>65</v>
      </c>
      <c r="E193" s="56">
        <f t="shared" si="5"/>
        <v>195</v>
      </c>
    </row>
    <row r="194" spans="1:5" x14ac:dyDescent="0.25">
      <c r="A194" s="53">
        <v>211</v>
      </c>
      <c r="B194" s="54" t="s">
        <v>279</v>
      </c>
      <c r="C194" s="55">
        <v>2</v>
      </c>
      <c r="D194" s="56">
        <v>36</v>
      </c>
      <c r="E194" s="56">
        <f t="shared" si="5"/>
        <v>72</v>
      </c>
    </row>
    <row r="195" spans="1:5" x14ac:dyDescent="0.25">
      <c r="A195" s="53">
        <v>212</v>
      </c>
      <c r="B195" s="54" t="s">
        <v>97</v>
      </c>
      <c r="C195" s="55">
        <f>3.94+1+15.2</f>
        <v>20.14</v>
      </c>
      <c r="D195" s="56">
        <v>80</v>
      </c>
      <c r="E195" s="56">
        <f t="shared" si="5"/>
        <v>1611.2</v>
      </c>
    </row>
    <row r="196" spans="1:5" x14ac:dyDescent="0.25">
      <c r="A196" s="53">
        <v>213</v>
      </c>
      <c r="B196" s="54" t="s">
        <v>78</v>
      </c>
      <c r="C196" s="55">
        <f>25+4.8</f>
        <v>29.8</v>
      </c>
      <c r="D196" s="56">
        <v>58</v>
      </c>
      <c r="E196" s="56">
        <f t="shared" si="5"/>
        <v>1728.4</v>
      </c>
    </row>
    <row r="197" spans="1:5" x14ac:dyDescent="0.25">
      <c r="A197" s="53">
        <v>215</v>
      </c>
      <c r="B197" s="54" t="s">
        <v>76</v>
      </c>
      <c r="C197" s="55">
        <v>1</v>
      </c>
      <c r="D197" s="56">
        <v>36</v>
      </c>
      <c r="E197" s="56">
        <f t="shared" si="5"/>
        <v>36</v>
      </c>
    </row>
    <row r="198" spans="1:5" x14ac:dyDescent="0.25">
      <c r="A198" s="53">
        <v>216</v>
      </c>
      <c r="B198" s="54" t="s">
        <v>19</v>
      </c>
      <c r="C198" s="55">
        <v>5</v>
      </c>
      <c r="D198" s="56">
        <v>75</v>
      </c>
      <c r="E198" s="56">
        <f t="shared" si="5"/>
        <v>375</v>
      </c>
    </row>
    <row r="199" spans="1:5" ht="17.25" customHeight="1" x14ac:dyDescent="0.25">
      <c r="A199" s="53">
        <v>218</v>
      </c>
      <c r="B199" s="54" t="s">
        <v>74</v>
      </c>
      <c r="C199" s="55">
        <v>2</v>
      </c>
      <c r="D199" s="56">
        <v>40</v>
      </c>
      <c r="E199" s="56">
        <f t="shared" si="5"/>
        <v>80</v>
      </c>
    </row>
    <row r="200" spans="1:5" ht="17.25" customHeight="1" x14ac:dyDescent="0.25">
      <c r="A200" s="53">
        <v>220</v>
      </c>
      <c r="B200" s="54" t="s">
        <v>71</v>
      </c>
      <c r="C200" s="55">
        <v>18</v>
      </c>
      <c r="D200" s="56">
        <v>35</v>
      </c>
      <c r="E200" s="56">
        <f t="shared" si="5"/>
        <v>630</v>
      </c>
    </row>
    <row r="201" spans="1:5" ht="17.25" customHeight="1" x14ac:dyDescent="0.25">
      <c r="A201" s="53">
        <v>221</v>
      </c>
      <c r="B201" s="54" t="s">
        <v>72</v>
      </c>
      <c r="C201" s="55">
        <f>0.85+0.92</f>
        <v>1.77</v>
      </c>
      <c r="D201" s="56">
        <v>370</v>
      </c>
      <c r="E201" s="56">
        <f t="shared" si="5"/>
        <v>654.9</v>
      </c>
    </row>
    <row r="202" spans="1:5" ht="17.25" customHeight="1" x14ac:dyDescent="0.25">
      <c r="A202" s="53">
        <v>222</v>
      </c>
      <c r="B202" s="54" t="s">
        <v>70</v>
      </c>
      <c r="C202" s="55">
        <v>0.2</v>
      </c>
      <c r="D202" s="56">
        <v>280</v>
      </c>
      <c r="E202" s="56">
        <v>1.8160000000000001</v>
      </c>
    </row>
    <row r="203" spans="1:5" ht="17.25" customHeight="1" x14ac:dyDescent="0.25">
      <c r="A203" s="53">
        <v>223</v>
      </c>
      <c r="B203" s="54" t="s">
        <v>69</v>
      </c>
      <c r="C203" s="55">
        <v>0</v>
      </c>
      <c r="D203" s="56">
        <v>475</v>
      </c>
      <c r="E203" s="56">
        <f t="shared" si="5"/>
        <v>0</v>
      </c>
    </row>
    <row r="204" spans="1:5" ht="17.25" customHeight="1" x14ac:dyDescent="0.25">
      <c r="A204" s="53">
        <v>224</v>
      </c>
      <c r="B204" s="54" t="s">
        <v>332</v>
      </c>
      <c r="C204" s="55">
        <v>1.4139999999999999</v>
      </c>
      <c r="D204" s="56">
        <v>245</v>
      </c>
      <c r="E204" s="56">
        <f t="shared" si="5"/>
        <v>346.43</v>
      </c>
    </row>
    <row r="205" spans="1:5" ht="17.25" customHeight="1" x14ac:dyDescent="0.25">
      <c r="A205" s="53">
        <v>225</v>
      </c>
      <c r="B205" s="54" t="s">
        <v>67</v>
      </c>
      <c r="C205" s="55">
        <v>18</v>
      </c>
      <c r="D205" s="56">
        <v>21</v>
      </c>
      <c r="E205" s="56">
        <f t="shared" si="5"/>
        <v>378</v>
      </c>
    </row>
    <row r="206" spans="1:5" ht="17.25" customHeight="1" x14ac:dyDescent="0.25">
      <c r="A206" s="53">
        <v>226</v>
      </c>
      <c r="B206" s="54" t="s">
        <v>66</v>
      </c>
      <c r="C206" s="55">
        <v>0</v>
      </c>
      <c r="D206" s="56">
        <v>96</v>
      </c>
      <c r="E206" s="56">
        <f t="shared" si="5"/>
        <v>0</v>
      </c>
    </row>
    <row r="207" spans="1:5" ht="17.25" customHeight="1" x14ac:dyDescent="0.25">
      <c r="A207" s="53">
        <v>227</v>
      </c>
      <c r="B207" s="54" t="s">
        <v>65</v>
      </c>
      <c r="C207" s="55">
        <v>7</v>
      </c>
      <c r="D207" s="56">
        <v>40</v>
      </c>
      <c r="E207" s="56">
        <f t="shared" si="5"/>
        <v>280</v>
      </c>
    </row>
    <row r="208" spans="1:5" ht="17.25" customHeight="1" x14ac:dyDescent="0.25">
      <c r="A208" s="53">
        <v>228</v>
      </c>
      <c r="B208" s="54" t="s">
        <v>64</v>
      </c>
      <c r="C208" s="55">
        <v>9</v>
      </c>
      <c r="D208" s="56">
        <v>65</v>
      </c>
      <c r="E208" s="56">
        <f t="shared" si="5"/>
        <v>585</v>
      </c>
    </row>
    <row r="209" spans="1:5" ht="17.25" customHeight="1" x14ac:dyDescent="0.25">
      <c r="A209" s="53">
        <v>229</v>
      </c>
      <c r="B209" s="54" t="s">
        <v>63</v>
      </c>
      <c r="C209" s="55">
        <f>5.92+2.355</f>
        <v>8.2750000000000004</v>
      </c>
      <c r="D209" s="56">
        <v>315</v>
      </c>
      <c r="E209" s="56">
        <f t="shared" si="5"/>
        <v>2606.625</v>
      </c>
    </row>
    <row r="210" spans="1:5" ht="17.25" customHeight="1" x14ac:dyDescent="0.25">
      <c r="A210" s="53">
        <v>231</v>
      </c>
      <c r="B210" s="54" t="s">
        <v>62</v>
      </c>
      <c r="C210" s="55">
        <v>0</v>
      </c>
      <c r="D210" s="56">
        <v>18</v>
      </c>
      <c r="E210" s="56">
        <f t="shared" si="5"/>
        <v>0</v>
      </c>
    </row>
    <row r="211" spans="1:5" ht="17.25" customHeight="1" x14ac:dyDescent="0.25">
      <c r="A211" s="53">
        <v>233</v>
      </c>
      <c r="B211" s="54" t="s">
        <v>60</v>
      </c>
      <c r="C211" s="55">
        <v>0</v>
      </c>
      <c r="D211" s="56">
        <v>177</v>
      </c>
      <c r="E211" s="56">
        <f t="shared" si="5"/>
        <v>0</v>
      </c>
    </row>
    <row r="212" spans="1:5" ht="17.25" customHeight="1" x14ac:dyDescent="0.25">
      <c r="A212" s="53">
        <v>234</v>
      </c>
      <c r="B212" s="54" t="s">
        <v>59</v>
      </c>
      <c r="C212" s="55">
        <v>0</v>
      </c>
      <c r="D212" s="56">
        <v>64</v>
      </c>
      <c r="E212" s="56">
        <f t="shared" si="5"/>
        <v>0</v>
      </c>
    </row>
    <row r="213" spans="1:5" ht="17.25" customHeight="1" x14ac:dyDescent="0.25">
      <c r="A213" s="53">
        <v>235</v>
      </c>
      <c r="B213" s="54" t="s">
        <v>58</v>
      </c>
      <c r="C213" s="55">
        <v>9</v>
      </c>
      <c r="D213" s="56">
        <v>145</v>
      </c>
      <c r="E213" s="56">
        <f t="shared" si="5"/>
        <v>1305</v>
      </c>
    </row>
    <row r="214" spans="1:5" ht="17.25" customHeight="1" x14ac:dyDescent="0.25">
      <c r="A214" s="53">
        <v>236</v>
      </c>
      <c r="B214" s="54" t="s">
        <v>57</v>
      </c>
      <c r="C214" s="55">
        <v>734.5</v>
      </c>
      <c r="D214" s="56">
        <v>58</v>
      </c>
      <c r="E214" s="56">
        <f t="shared" si="5"/>
        <v>42601</v>
      </c>
    </row>
    <row r="215" spans="1:5" ht="17.25" customHeight="1" x14ac:dyDescent="0.25">
      <c r="A215" s="53">
        <v>237</v>
      </c>
      <c r="B215" s="54" t="s">
        <v>56</v>
      </c>
      <c r="C215" s="60">
        <v>310.2</v>
      </c>
      <c r="D215" s="56">
        <v>177</v>
      </c>
      <c r="E215" s="56">
        <f t="shared" si="5"/>
        <v>54905.4</v>
      </c>
    </row>
    <row r="216" spans="1:5" ht="17.25" customHeight="1" x14ac:dyDescent="0.25">
      <c r="A216" s="53">
        <v>238</v>
      </c>
      <c r="B216" s="54" t="s">
        <v>50</v>
      </c>
      <c r="C216" s="55">
        <f>18.28-2.2</f>
        <v>16.080000000000002</v>
      </c>
      <c r="D216" s="56">
        <v>160</v>
      </c>
      <c r="E216" s="56">
        <f t="shared" si="5"/>
        <v>2572.8000000000002</v>
      </c>
    </row>
    <row r="217" spans="1:5" ht="17.25" customHeight="1" x14ac:dyDescent="0.25">
      <c r="A217" s="53">
        <v>239</v>
      </c>
      <c r="B217" s="54" t="s">
        <v>49</v>
      </c>
      <c r="C217" s="55">
        <f>6.05+14.3</f>
        <v>20.350000000000001</v>
      </c>
      <c r="D217" s="56">
        <v>76</v>
      </c>
      <c r="E217" s="56">
        <f t="shared" si="5"/>
        <v>1546.6000000000001</v>
      </c>
    </row>
    <row r="218" spans="1:5" ht="17.25" customHeight="1" x14ac:dyDescent="0.25">
      <c r="A218" s="53">
        <v>240</v>
      </c>
      <c r="B218" s="54" t="s">
        <v>335</v>
      </c>
      <c r="C218" s="55">
        <f>13.54-3.9+12.3</f>
        <v>21.939999999999998</v>
      </c>
      <c r="D218" s="56">
        <v>80</v>
      </c>
      <c r="E218" s="56">
        <f t="shared" si="5"/>
        <v>1755.1999999999998</v>
      </c>
    </row>
    <row r="219" spans="1:5" ht="17.25" customHeight="1" x14ac:dyDescent="0.25">
      <c r="A219" s="53">
        <v>241</v>
      </c>
      <c r="B219" s="54" t="s">
        <v>47</v>
      </c>
      <c r="C219" s="55">
        <v>0</v>
      </c>
      <c r="D219" s="56">
        <v>71</v>
      </c>
      <c r="E219" s="56">
        <f t="shared" si="5"/>
        <v>0</v>
      </c>
    </row>
    <row r="220" spans="1:5" ht="17.25" customHeight="1" x14ac:dyDescent="0.25">
      <c r="A220" s="53">
        <v>242</v>
      </c>
      <c r="B220" s="54" t="s">
        <v>46</v>
      </c>
      <c r="C220" s="55">
        <v>70</v>
      </c>
      <c r="D220" s="56">
        <v>26</v>
      </c>
      <c r="E220" s="56">
        <f t="shared" si="5"/>
        <v>1820</v>
      </c>
    </row>
    <row r="221" spans="1:5" ht="17.25" customHeight="1" x14ac:dyDescent="0.25">
      <c r="A221" s="53">
        <v>244</v>
      </c>
      <c r="B221" s="54" t="s">
        <v>44</v>
      </c>
      <c r="C221" s="55">
        <f>4.6+0.82+24.8</f>
        <v>30.22</v>
      </c>
      <c r="D221" s="56">
        <v>98</v>
      </c>
      <c r="E221" s="56">
        <f t="shared" si="5"/>
        <v>2961.56</v>
      </c>
    </row>
    <row r="222" spans="1:5" ht="17.25" customHeight="1" x14ac:dyDescent="0.25">
      <c r="A222" s="53">
        <v>245</v>
      </c>
      <c r="B222" s="54" t="s">
        <v>43</v>
      </c>
      <c r="C222" s="55">
        <f>4.94-2.2+19.3</f>
        <v>22.04</v>
      </c>
      <c r="D222" s="56">
        <v>125</v>
      </c>
      <c r="E222" s="56">
        <f t="shared" si="5"/>
        <v>2755</v>
      </c>
    </row>
    <row r="223" spans="1:5" ht="15.75" thickBot="1" x14ac:dyDescent="0.3">
      <c r="A223" s="53"/>
      <c r="B223" s="57" t="s">
        <v>17</v>
      </c>
      <c r="C223" s="15">
        <f>SUM(C183:C222)</f>
        <v>2117.6149999999993</v>
      </c>
      <c r="D223" s="38"/>
      <c r="E223" s="36">
        <f>SUM(E183:E222)</f>
        <v>189001.209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246</v>
      </c>
      <c r="B225" s="54" t="s">
        <v>347</v>
      </c>
      <c r="C225" s="55">
        <f>4.58+9</f>
        <v>13.58</v>
      </c>
      <c r="D225" s="56">
        <v>570</v>
      </c>
      <c r="E225" s="56">
        <f t="shared" si="5"/>
        <v>7740.6</v>
      </c>
    </row>
    <row r="226" spans="1:5" ht="17.25" customHeight="1" x14ac:dyDescent="0.25">
      <c r="A226" s="53">
        <v>247</v>
      </c>
      <c r="B226" s="54" t="s">
        <v>42</v>
      </c>
      <c r="C226" s="55">
        <v>19</v>
      </c>
      <c r="D226" s="56">
        <v>20</v>
      </c>
      <c r="E226" s="56">
        <f t="shared" si="5"/>
        <v>380</v>
      </c>
    </row>
    <row r="227" spans="1:5" ht="17.25" customHeight="1" x14ac:dyDescent="0.25">
      <c r="A227" s="53">
        <v>248</v>
      </c>
      <c r="B227" s="54" t="s">
        <v>30</v>
      </c>
      <c r="C227" s="55">
        <v>0.122</v>
      </c>
      <c r="D227" s="56">
        <v>380</v>
      </c>
      <c r="E227" s="56">
        <f t="shared" si="5"/>
        <v>46.36</v>
      </c>
    </row>
    <row r="228" spans="1:5" ht="17.25" customHeight="1" x14ac:dyDescent="0.25">
      <c r="A228" s="53">
        <v>249</v>
      </c>
      <c r="B228" s="54" t="s">
        <v>29</v>
      </c>
      <c r="C228" s="55">
        <v>10.74</v>
      </c>
      <c r="D228" s="56">
        <v>184</v>
      </c>
      <c r="E228" s="56">
        <f t="shared" si="5"/>
        <v>1976.16</v>
      </c>
    </row>
    <row r="229" spans="1:5" ht="17.25" customHeight="1" x14ac:dyDescent="0.25">
      <c r="A229" s="53">
        <v>250</v>
      </c>
      <c r="B229" s="54" t="s">
        <v>333</v>
      </c>
      <c r="C229" s="55">
        <v>1.5</v>
      </c>
      <c r="D229" s="56">
        <v>195</v>
      </c>
      <c r="E229" s="56">
        <f t="shared" si="5"/>
        <v>292.5</v>
      </c>
    </row>
    <row r="230" spans="1:5" ht="17.25" customHeight="1" x14ac:dyDescent="0.25">
      <c r="A230" s="53">
        <v>251</v>
      </c>
      <c r="B230" s="54" t="s">
        <v>98</v>
      </c>
      <c r="C230" s="55">
        <v>0</v>
      </c>
      <c r="D230" s="56">
        <v>50</v>
      </c>
      <c r="E230" s="56">
        <f t="shared" si="5"/>
        <v>0</v>
      </c>
    </row>
    <row r="231" spans="1:5" ht="17.25" customHeight="1" x14ac:dyDescent="0.25">
      <c r="A231" s="53">
        <v>252</v>
      </c>
      <c r="B231" s="54" t="s">
        <v>99</v>
      </c>
      <c r="C231" s="55">
        <v>0</v>
      </c>
      <c r="D231" s="56">
        <v>45</v>
      </c>
      <c r="E231" s="56">
        <f t="shared" si="5"/>
        <v>0</v>
      </c>
    </row>
    <row r="232" spans="1:5" ht="17.25" customHeight="1" x14ac:dyDescent="0.25">
      <c r="A232" s="53">
        <v>253</v>
      </c>
      <c r="B232" s="54" t="s">
        <v>95</v>
      </c>
      <c r="C232" s="55">
        <v>3</v>
      </c>
      <c r="D232" s="56">
        <v>370</v>
      </c>
      <c r="E232" s="56">
        <f t="shared" si="5"/>
        <v>1110</v>
      </c>
    </row>
    <row r="233" spans="1:5" s="63" customFormat="1" ht="17.25" customHeight="1" x14ac:dyDescent="0.25">
      <c r="A233" s="53">
        <v>254</v>
      </c>
      <c r="B233" s="61" t="s">
        <v>27</v>
      </c>
      <c r="C233" s="60">
        <v>0.65</v>
      </c>
      <c r="D233" s="62">
        <v>72</v>
      </c>
      <c r="E233" s="56">
        <f t="shared" si="5"/>
        <v>46.800000000000004</v>
      </c>
    </row>
    <row r="234" spans="1:5" s="63" customFormat="1" ht="17.25" customHeight="1" x14ac:dyDescent="0.25">
      <c r="A234" s="53">
        <v>255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256</v>
      </c>
      <c r="B235" s="54" t="s">
        <v>25</v>
      </c>
      <c r="C235" s="55">
        <v>3.38</v>
      </c>
      <c r="D235" s="56">
        <v>120</v>
      </c>
      <c r="E235" s="56">
        <f t="shared" si="5"/>
        <v>405.59999999999997</v>
      </c>
    </row>
    <row r="236" spans="1:5" x14ac:dyDescent="0.25">
      <c r="A236" s="53">
        <v>257</v>
      </c>
      <c r="B236" s="54" t="s">
        <v>24</v>
      </c>
      <c r="C236" s="55">
        <f>1.015+3.25</f>
        <v>4.2649999999999997</v>
      </c>
      <c r="D236" s="56">
        <v>160</v>
      </c>
      <c r="E236" s="56">
        <f t="shared" si="5"/>
        <v>682.4</v>
      </c>
    </row>
    <row r="237" spans="1:5" x14ac:dyDescent="0.25">
      <c r="A237" s="53">
        <v>258</v>
      </c>
      <c r="B237" s="54" t="s">
        <v>185</v>
      </c>
      <c r="C237" s="55">
        <v>0</v>
      </c>
      <c r="D237" s="56">
        <v>10</v>
      </c>
      <c r="E237" s="56">
        <f t="shared" si="5"/>
        <v>0</v>
      </c>
    </row>
    <row r="238" spans="1:5" x14ac:dyDescent="0.25">
      <c r="A238" s="53">
        <v>259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260</v>
      </c>
      <c r="B239" s="54" t="s">
        <v>187</v>
      </c>
      <c r="C239" s="55">
        <f>12.84+1.34+22.8-2.2</f>
        <v>34.78</v>
      </c>
      <c r="D239" s="56">
        <v>350</v>
      </c>
      <c r="E239" s="56">
        <f t="shared" si="5"/>
        <v>12173</v>
      </c>
    </row>
    <row r="240" spans="1:5" x14ac:dyDescent="0.25">
      <c r="A240" s="53">
        <v>261</v>
      </c>
      <c r="B240" s="54" t="s">
        <v>188</v>
      </c>
      <c r="C240" s="55">
        <v>37.6</v>
      </c>
      <c r="D240" s="56">
        <v>170</v>
      </c>
      <c r="E240" s="56">
        <f t="shared" si="5"/>
        <v>6392</v>
      </c>
    </row>
    <row r="241" spans="1:5" x14ac:dyDescent="0.25">
      <c r="A241" s="53">
        <v>262</v>
      </c>
      <c r="B241" s="54" t="s">
        <v>189</v>
      </c>
      <c r="C241" s="55">
        <f>19.42+6.37-0.35</f>
        <v>25.44</v>
      </c>
      <c r="D241" s="56">
        <v>745</v>
      </c>
      <c r="E241" s="56">
        <f t="shared" si="5"/>
        <v>18952.8</v>
      </c>
    </row>
    <row r="242" spans="1:5" x14ac:dyDescent="0.25">
      <c r="A242" s="53">
        <v>263</v>
      </c>
      <c r="B242" s="54" t="s">
        <v>190</v>
      </c>
      <c r="C242" s="55">
        <v>5.62</v>
      </c>
      <c r="D242" s="56">
        <v>168</v>
      </c>
      <c r="E242" s="56">
        <f t="shared" si="5"/>
        <v>944.16</v>
      </c>
    </row>
    <row r="243" spans="1:5" x14ac:dyDescent="0.25">
      <c r="A243" s="53">
        <v>264</v>
      </c>
      <c r="B243" s="54" t="s">
        <v>191</v>
      </c>
      <c r="C243" s="55">
        <f>4.81-0.35</f>
        <v>4.46</v>
      </c>
      <c r="D243" s="56">
        <v>555</v>
      </c>
      <c r="E243" s="56">
        <f t="shared" si="5"/>
        <v>2475.3000000000002</v>
      </c>
    </row>
    <row r="244" spans="1:5" x14ac:dyDescent="0.25">
      <c r="A244" s="53">
        <v>265</v>
      </c>
      <c r="B244" s="54" t="s">
        <v>192</v>
      </c>
      <c r="C244" s="64">
        <v>7.28</v>
      </c>
      <c r="D244" s="56">
        <v>587</v>
      </c>
      <c r="E244" s="56">
        <f t="shared" si="5"/>
        <v>4273.3600000000006</v>
      </c>
    </row>
    <row r="245" spans="1:5" x14ac:dyDescent="0.25">
      <c r="A245" s="53">
        <v>266</v>
      </c>
      <c r="B245" s="54" t="s">
        <v>193</v>
      </c>
      <c r="C245" s="55">
        <f>7.28-3.5+6.56-0.35</f>
        <v>9.99</v>
      </c>
      <c r="D245" s="56">
        <v>341</v>
      </c>
      <c r="E245" s="56">
        <f t="shared" ref="E245:E307" si="6">C245*D245</f>
        <v>3406.59</v>
      </c>
    </row>
    <row r="246" spans="1:5" x14ac:dyDescent="0.25">
      <c r="A246" s="53">
        <v>267</v>
      </c>
      <c r="B246" s="54" t="s">
        <v>194</v>
      </c>
      <c r="C246" s="55">
        <v>3.3</v>
      </c>
      <c r="D246" s="56">
        <v>659</v>
      </c>
      <c r="E246" s="56">
        <f t="shared" si="6"/>
        <v>2174.6999999999998</v>
      </c>
    </row>
    <row r="247" spans="1:5" x14ac:dyDescent="0.25">
      <c r="A247" s="53">
        <v>268</v>
      </c>
      <c r="B247" s="54" t="s">
        <v>195</v>
      </c>
      <c r="C247" s="55">
        <v>3.44</v>
      </c>
      <c r="D247" s="56">
        <v>689</v>
      </c>
      <c r="E247" s="56">
        <f t="shared" si="6"/>
        <v>2370.16</v>
      </c>
    </row>
    <row r="248" spans="1:5" x14ac:dyDescent="0.25">
      <c r="A248" s="53">
        <v>269</v>
      </c>
      <c r="B248" s="54" t="s">
        <v>126</v>
      </c>
      <c r="C248" s="55">
        <v>5.62</v>
      </c>
      <c r="D248" s="56">
        <v>810</v>
      </c>
      <c r="E248" s="56">
        <f t="shared" si="6"/>
        <v>4552.2</v>
      </c>
    </row>
    <row r="249" spans="1:5" x14ac:dyDescent="0.25">
      <c r="A249" s="53">
        <v>270</v>
      </c>
      <c r="B249" s="54" t="s">
        <v>125</v>
      </c>
      <c r="C249" s="55">
        <f>6.02-0.35</f>
        <v>5.67</v>
      </c>
      <c r="D249" s="56">
        <v>741</v>
      </c>
      <c r="E249" s="56">
        <f t="shared" si="6"/>
        <v>4201.47</v>
      </c>
    </row>
    <row r="250" spans="1:5" x14ac:dyDescent="0.25">
      <c r="A250" s="53">
        <v>271</v>
      </c>
      <c r="B250" s="54" t="s">
        <v>124</v>
      </c>
      <c r="C250" s="55">
        <f>213.86+35.7</f>
        <v>249.56</v>
      </c>
      <c r="D250" s="56">
        <v>152</v>
      </c>
      <c r="E250" s="56">
        <f t="shared" si="6"/>
        <v>37933.120000000003</v>
      </c>
    </row>
    <row r="251" spans="1:5" x14ac:dyDescent="0.25">
      <c r="A251" s="53">
        <v>272</v>
      </c>
      <c r="B251" s="54" t="s">
        <v>123</v>
      </c>
      <c r="C251" s="55">
        <v>0</v>
      </c>
      <c r="D251" s="56">
        <v>145</v>
      </c>
      <c r="E251" s="56">
        <f t="shared" si="6"/>
        <v>0</v>
      </c>
    </row>
    <row r="252" spans="1:5" x14ac:dyDescent="0.25">
      <c r="A252" s="53">
        <v>273</v>
      </c>
      <c r="B252" s="54" t="s">
        <v>122</v>
      </c>
      <c r="C252" s="55">
        <f>8.6+158.3+107.1</f>
        <v>274</v>
      </c>
      <c r="D252" s="56">
        <v>280</v>
      </c>
      <c r="E252" s="56">
        <f t="shared" si="6"/>
        <v>76720</v>
      </c>
    </row>
    <row r="253" spans="1:5" x14ac:dyDescent="0.25">
      <c r="A253" s="53">
        <v>274</v>
      </c>
      <c r="B253" s="54" t="s">
        <v>121</v>
      </c>
      <c r="C253" s="55">
        <v>1.22</v>
      </c>
      <c r="D253" s="56">
        <v>644</v>
      </c>
      <c r="E253" s="56">
        <f t="shared" si="6"/>
        <v>785.68</v>
      </c>
    </row>
    <row r="254" spans="1:5" x14ac:dyDescent="0.25">
      <c r="A254" s="53">
        <v>275</v>
      </c>
      <c r="B254" s="54" t="s">
        <v>120</v>
      </c>
      <c r="C254" s="55">
        <v>0</v>
      </c>
      <c r="D254" s="56">
        <v>435</v>
      </c>
      <c r="E254" s="56">
        <f t="shared" si="6"/>
        <v>0</v>
      </c>
    </row>
    <row r="255" spans="1:5" x14ac:dyDescent="0.25">
      <c r="A255" s="53">
        <v>276</v>
      </c>
      <c r="B255" s="54" t="s">
        <v>119</v>
      </c>
      <c r="C255" s="55">
        <f>5.4+58.96</f>
        <v>64.36</v>
      </c>
      <c r="D255" s="56">
        <v>95</v>
      </c>
      <c r="E255" s="56">
        <f t="shared" si="6"/>
        <v>6114.2</v>
      </c>
    </row>
    <row r="256" spans="1:5" x14ac:dyDescent="0.25">
      <c r="A256" s="53">
        <v>277</v>
      </c>
      <c r="B256" s="54" t="s">
        <v>286</v>
      </c>
      <c r="C256" s="55">
        <v>6</v>
      </c>
      <c r="D256" s="56">
        <v>28</v>
      </c>
      <c r="E256" s="56">
        <f t="shared" si="6"/>
        <v>168</v>
      </c>
    </row>
    <row r="257" spans="1:5" x14ac:dyDescent="0.25">
      <c r="A257" s="53">
        <v>278</v>
      </c>
      <c r="B257" s="54" t="s">
        <v>118</v>
      </c>
      <c r="C257" s="55">
        <f>20.24+32.3</f>
        <v>52.539999999999992</v>
      </c>
      <c r="D257" s="56">
        <v>442</v>
      </c>
      <c r="E257" s="56">
        <f t="shared" si="6"/>
        <v>23222.679999999997</v>
      </c>
    </row>
    <row r="258" spans="1:5" x14ac:dyDescent="0.25">
      <c r="A258" s="53">
        <v>279</v>
      </c>
      <c r="B258" s="54" t="s">
        <v>116</v>
      </c>
      <c r="C258" s="55">
        <v>457.4</v>
      </c>
      <c r="D258" s="56">
        <v>164</v>
      </c>
      <c r="E258" s="56">
        <f t="shared" si="6"/>
        <v>75013.599999999991</v>
      </c>
    </row>
    <row r="259" spans="1:5" x14ac:dyDescent="0.25">
      <c r="A259" s="53">
        <v>280</v>
      </c>
      <c r="B259" s="54" t="s">
        <v>115</v>
      </c>
      <c r="C259" s="55">
        <v>0</v>
      </c>
      <c r="D259" s="56">
        <v>600</v>
      </c>
      <c r="E259" s="56">
        <f t="shared" si="6"/>
        <v>0</v>
      </c>
    </row>
    <row r="260" spans="1:5" x14ac:dyDescent="0.25">
      <c r="A260" s="53">
        <v>281</v>
      </c>
      <c r="B260" s="54" t="s">
        <v>114</v>
      </c>
      <c r="C260" s="55">
        <v>0</v>
      </c>
      <c r="D260" s="56">
        <v>900</v>
      </c>
      <c r="E260" s="56">
        <f t="shared" si="6"/>
        <v>0</v>
      </c>
    </row>
    <row r="261" spans="1:5" x14ac:dyDescent="0.25">
      <c r="A261" s="53">
        <v>282</v>
      </c>
      <c r="B261" s="54" t="s">
        <v>113</v>
      </c>
      <c r="C261" s="55">
        <v>0</v>
      </c>
      <c r="D261" s="56">
        <v>400</v>
      </c>
      <c r="E261" s="56">
        <f t="shared" si="6"/>
        <v>0</v>
      </c>
    </row>
    <row r="262" spans="1:5" x14ac:dyDescent="0.25">
      <c r="A262" s="53">
        <v>283</v>
      </c>
      <c r="B262" s="54" t="s">
        <v>112</v>
      </c>
      <c r="C262" s="55">
        <v>0</v>
      </c>
      <c r="D262" s="56">
        <v>75</v>
      </c>
      <c r="E262" s="56">
        <f t="shared" si="6"/>
        <v>0</v>
      </c>
    </row>
    <row r="263" spans="1:5" x14ac:dyDescent="0.25">
      <c r="A263" s="53">
        <v>284</v>
      </c>
      <c r="B263" s="54" t="s">
        <v>111</v>
      </c>
      <c r="C263" s="55">
        <v>0</v>
      </c>
      <c r="D263" s="56">
        <v>62</v>
      </c>
      <c r="E263" s="56">
        <f t="shared" si="6"/>
        <v>0</v>
      </c>
    </row>
    <row r="264" spans="1:5" x14ac:dyDescent="0.25">
      <c r="A264" s="53">
        <v>285</v>
      </c>
      <c r="B264" s="54" t="s">
        <v>110</v>
      </c>
      <c r="C264" s="55">
        <v>60.2</v>
      </c>
      <c r="D264" s="56">
        <v>68</v>
      </c>
      <c r="E264" s="56">
        <f t="shared" si="6"/>
        <v>4093.6000000000004</v>
      </c>
    </row>
    <row r="265" spans="1:5" x14ac:dyDescent="0.25">
      <c r="A265" s="53">
        <v>286</v>
      </c>
      <c r="B265" s="54" t="s">
        <v>276</v>
      </c>
      <c r="C265" s="55">
        <v>0</v>
      </c>
      <c r="D265" s="56">
        <v>80</v>
      </c>
      <c r="E265" s="56">
        <f t="shared" si="6"/>
        <v>0</v>
      </c>
    </row>
    <row r="266" spans="1:5" x14ac:dyDescent="0.25">
      <c r="A266" s="53">
        <v>287</v>
      </c>
      <c r="B266" s="54" t="s">
        <v>350</v>
      </c>
      <c r="C266" s="55">
        <v>5</v>
      </c>
      <c r="D266" s="56">
        <v>46</v>
      </c>
      <c r="E266" s="56">
        <f t="shared" si="6"/>
        <v>230</v>
      </c>
    </row>
    <row r="267" spans="1:5" ht="15.75" thickBot="1" x14ac:dyDescent="0.3">
      <c r="A267" s="53"/>
      <c r="B267" s="57" t="s">
        <v>17</v>
      </c>
      <c r="C267" s="15">
        <f>SUM(C225:C266)</f>
        <v>1369.7170000000001</v>
      </c>
      <c r="D267" s="38"/>
      <c r="E267" s="36">
        <f>SUM(E225:E266)</f>
        <v>298877.03999999998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288</v>
      </c>
      <c r="B269" s="54" t="s">
        <v>278</v>
      </c>
      <c r="C269" s="55">
        <v>18</v>
      </c>
      <c r="D269" s="56">
        <v>120</v>
      </c>
      <c r="E269" s="56">
        <f t="shared" si="6"/>
        <v>2160</v>
      </c>
    </row>
    <row r="270" spans="1:5" x14ac:dyDescent="0.25">
      <c r="A270" s="53">
        <v>289</v>
      </c>
      <c r="B270" s="54" t="s">
        <v>280</v>
      </c>
      <c r="C270" s="55">
        <v>9</v>
      </c>
      <c r="D270" s="56">
        <v>94</v>
      </c>
      <c r="E270" s="56">
        <f t="shared" si="6"/>
        <v>846</v>
      </c>
    </row>
    <row r="271" spans="1:5" x14ac:dyDescent="0.25">
      <c r="A271" s="53">
        <v>290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291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292</v>
      </c>
      <c r="B273" s="54" t="s">
        <v>284</v>
      </c>
      <c r="C273" s="55">
        <v>2</v>
      </c>
      <c r="D273" s="56">
        <v>85</v>
      </c>
      <c r="E273" s="56">
        <f t="shared" si="6"/>
        <v>170</v>
      </c>
    </row>
    <row r="274" spans="1:5" x14ac:dyDescent="0.25">
      <c r="A274" s="53">
        <v>293</v>
      </c>
      <c r="B274" s="54" t="s">
        <v>285</v>
      </c>
      <c r="C274" s="55">
        <v>4</v>
      </c>
      <c r="D274" s="56">
        <v>61</v>
      </c>
      <c r="E274" s="56">
        <f t="shared" si="6"/>
        <v>244</v>
      </c>
    </row>
    <row r="275" spans="1:5" x14ac:dyDescent="0.25">
      <c r="A275" s="53">
        <v>294</v>
      </c>
      <c r="B275" s="71" t="s">
        <v>287</v>
      </c>
      <c r="C275" s="55">
        <v>0</v>
      </c>
      <c r="D275" s="56">
        <v>79</v>
      </c>
      <c r="E275" s="56">
        <f t="shared" si="6"/>
        <v>0</v>
      </c>
    </row>
    <row r="276" spans="1:5" x14ac:dyDescent="0.25">
      <c r="A276" s="53">
        <v>295</v>
      </c>
      <c r="B276" s="54" t="s">
        <v>288</v>
      </c>
      <c r="C276" s="55">
        <v>9</v>
      </c>
      <c r="D276" s="56">
        <v>95</v>
      </c>
      <c r="E276" s="56">
        <f t="shared" si="6"/>
        <v>855</v>
      </c>
    </row>
    <row r="277" spans="1:5" x14ac:dyDescent="0.25">
      <c r="A277" s="53">
        <v>296</v>
      </c>
      <c r="B277" s="54" t="s">
        <v>330</v>
      </c>
      <c r="C277" s="55">
        <v>0</v>
      </c>
      <c r="D277" s="56">
        <v>110</v>
      </c>
      <c r="E277" s="56">
        <f t="shared" si="6"/>
        <v>0</v>
      </c>
    </row>
    <row r="278" spans="1:5" x14ac:dyDescent="0.25">
      <c r="A278" s="53">
        <v>297</v>
      </c>
      <c r="B278" s="54" t="s">
        <v>291</v>
      </c>
      <c r="C278" s="55">
        <f>68.5+26.4</f>
        <v>94.9</v>
      </c>
      <c r="D278" s="56">
        <v>44</v>
      </c>
      <c r="E278" s="56">
        <f t="shared" si="6"/>
        <v>4175.6000000000004</v>
      </c>
    </row>
    <row r="279" spans="1:5" x14ac:dyDescent="0.25">
      <c r="A279" s="53">
        <v>298</v>
      </c>
      <c r="B279" s="54" t="s">
        <v>292</v>
      </c>
      <c r="C279" s="55">
        <v>10.8</v>
      </c>
      <c r="D279" s="56">
        <v>400</v>
      </c>
      <c r="E279" s="56">
        <f t="shared" si="6"/>
        <v>4320</v>
      </c>
    </row>
    <row r="280" spans="1:5" x14ac:dyDescent="0.25">
      <c r="A280" s="53">
        <v>299</v>
      </c>
      <c r="B280" s="54" t="s">
        <v>293</v>
      </c>
      <c r="C280" s="55">
        <v>27</v>
      </c>
      <c r="D280" s="56">
        <v>530</v>
      </c>
      <c r="E280" s="56">
        <f t="shared" si="6"/>
        <v>14310</v>
      </c>
    </row>
    <row r="281" spans="1:5" x14ac:dyDescent="0.25">
      <c r="A281" s="53">
        <v>300</v>
      </c>
      <c r="B281" s="54" t="s">
        <v>294</v>
      </c>
      <c r="C281" s="55">
        <f>24.3+27</f>
        <v>51.3</v>
      </c>
      <c r="D281" s="56">
        <v>565</v>
      </c>
      <c r="E281" s="56">
        <f t="shared" si="6"/>
        <v>28984.5</v>
      </c>
    </row>
    <row r="282" spans="1:5" x14ac:dyDescent="0.25">
      <c r="A282" s="53">
        <v>301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302</v>
      </c>
      <c r="B283" s="54" t="s">
        <v>296</v>
      </c>
      <c r="C283" s="55">
        <f>21.6+13.5</f>
        <v>35.1</v>
      </c>
      <c r="D283" s="56">
        <v>490</v>
      </c>
      <c r="E283" s="56">
        <f t="shared" si="6"/>
        <v>17199</v>
      </c>
    </row>
    <row r="284" spans="1:5" x14ac:dyDescent="0.25">
      <c r="A284" s="53">
        <v>303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304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305</v>
      </c>
      <c r="B286" s="54" t="s">
        <v>299</v>
      </c>
      <c r="C286" s="55">
        <f>23.53+1.66+1+1.5</f>
        <v>27.69</v>
      </c>
      <c r="D286" s="56">
        <v>142</v>
      </c>
      <c r="E286" s="56">
        <f t="shared" si="6"/>
        <v>3931.98</v>
      </c>
    </row>
    <row r="287" spans="1:5" x14ac:dyDescent="0.25">
      <c r="A287" s="53">
        <v>306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307</v>
      </c>
      <c r="B288" s="54" t="s">
        <v>301</v>
      </c>
      <c r="C288" s="55">
        <v>291</v>
      </c>
      <c r="D288" s="56">
        <v>116</v>
      </c>
      <c r="E288" s="56">
        <f t="shared" si="6"/>
        <v>33756</v>
      </c>
    </row>
    <row r="289" spans="1:5" x14ac:dyDescent="0.25">
      <c r="A289" s="53">
        <v>308</v>
      </c>
      <c r="B289" s="54" t="s">
        <v>302</v>
      </c>
      <c r="C289" s="55">
        <f>2.76+13.8</f>
        <v>16.560000000000002</v>
      </c>
      <c r="D289" s="56">
        <v>210</v>
      </c>
      <c r="E289" s="56">
        <f t="shared" si="6"/>
        <v>3477.6000000000004</v>
      </c>
    </row>
    <row r="290" spans="1:5" x14ac:dyDescent="0.25">
      <c r="A290" s="53">
        <v>309</v>
      </c>
      <c r="B290" s="54" t="s">
        <v>303</v>
      </c>
      <c r="C290" s="55">
        <v>134.80000000000001</v>
      </c>
      <c r="D290" s="56">
        <v>74</v>
      </c>
      <c r="E290" s="56">
        <f t="shared" ref="E290" si="7">C290*D290</f>
        <v>9975.2000000000007</v>
      </c>
    </row>
    <row r="291" spans="1:5" x14ac:dyDescent="0.25">
      <c r="A291" s="53">
        <v>310</v>
      </c>
      <c r="B291" s="54" t="s">
        <v>304</v>
      </c>
      <c r="C291" s="55">
        <v>42</v>
      </c>
      <c r="D291" s="56">
        <v>110</v>
      </c>
      <c r="E291" s="56">
        <f t="shared" si="6"/>
        <v>4620</v>
      </c>
    </row>
    <row r="292" spans="1:5" x14ac:dyDescent="0.25">
      <c r="A292" s="53">
        <v>312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313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314</v>
      </c>
      <c r="B294" s="54" t="s">
        <v>308</v>
      </c>
      <c r="C294" s="55">
        <f>108.96+1</f>
        <v>109.96</v>
      </c>
      <c r="D294" s="56">
        <v>50</v>
      </c>
      <c r="E294" s="56">
        <f t="shared" si="6"/>
        <v>5498</v>
      </c>
    </row>
    <row r="295" spans="1:5" x14ac:dyDescent="0.25">
      <c r="A295" s="53">
        <v>315</v>
      </c>
      <c r="B295" s="54" t="s">
        <v>309</v>
      </c>
      <c r="C295" s="55">
        <f>18+3.06+0.52</f>
        <v>21.58</v>
      </c>
      <c r="D295" s="56">
        <v>64</v>
      </c>
      <c r="E295" s="56">
        <f t="shared" si="6"/>
        <v>1381.12</v>
      </c>
    </row>
    <row r="296" spans="1:5" x14ac:dyDescent="0.25">
      <c r="A296" s="53">
        <v>316</v>
      </c>
      <c r="B296" s="54" t="s">
        <v>310</v>
      </c>
      <c r="C296" s="55">
        <f>15.82+1.7+0.26+2.8</f>
        <v>20.580000000000002</v>
      </c>
      <c r="D296" s="56">
        <v>170</v>
      </c>
      <c r="E296" s="56">
        <f t="shared" si="6"/>
        <v>3498.6000000000004</v>
      </c>
    </row>
    <row r="297" spans="1:5" x14ac:dyDescent="0.25">
      <c r="A297" s="53">
        <v>318</v>
      </c>
      <c r="B297" s="54" t="s">
        <v>313</v>
      </c>
      <c r="C297" s="55">
        <f>2.726+0.26</f>
        <v>2.9859999999999998</v>
      </c>
      <c r="D297" s="56">
        <v>195</v>
      </c>
      <c r="E297" s="56">
        <f t="shared" si="6"/>
        <v>582.27</v>
      </c>
    </row>
    <row r="298" spans="1:5" x14ac:dyDescent="0.25">
      <c r="A298" s="53">
        <v>319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320</v>
      </c>
      <c r="B299" s="54" t="s">
        <v>351</v>
      </c>
      <c r="C299" s="55">
        <v>6</v>
      </c>
      <c r="D299" s="56">
        <v>106</v>
      </c>
      <c r="E299" s="56">
        <f t="shared" si="6"/>
        <v>636</v>
      </c>
    </row>
    <row r="300" spans="1:5" x14ac:dyDescent="0.25">
      <c r="A300" s="53">
        <v>321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322</v>
      </c>
      <c r="B301" s="54" t="s">
        <v>317</v>
      </c>
      <c r="C301" s="55">
        <v>21</v>
      </c>
      <c r="D301" s="56">
        <v>40</v>
      </c>
      <c r="E301" s="56">
        <f t="shared" si="6"/>
        <v>840</v>
      </c>
    </row>
    <row r="302" spans="1:5" x14ac:dyDescent="0.25">
      <c r="A302" s="53">
        <v>323</v>
      </c>
      <c r="B302" s="54" t="s">
        <v>318</v>
      </c>
      <c r="C302" s="55">
        <v>30</v>
      </c>
      <c r="D302" s="56">
        <v>70</v>
      </c>
      <c r="E302" s="56">
        <f t="shared" si="6"/>
        <v>2100</v>
      </c>
    </row>
    <row r="303" spans="1:5" ht="18" customHeight="1" x14ac:dyDescent="0.25">
      <c r="A303" s="53">
        <v>324</v>
      </c>
      <c r="B303" s="54" t="s">
        <v>319</v>
      </c>
      <c r="C303" s="55">
        <v>2.02</v>
      </c>
      <c r="D303" s="56">
        <v>400</v>
      </c>
      <c r="E303" s="56">
        <f t="shared" si="6"/>
        <v>808</v>
      </c>
    </row>
    <row r="304" spans="1:5" ht="18" customHeight="1" x14ac:dyDescent="0.25">
      <c r="A304" s="53">
        <v>325</v>
      </c>
      <c r="B304" s="54" t="s">
        <v>320</v>
      </c>
      <c r="C304" s="55">
        <v>117.78</v>
      </c>
      <c r="D304" s="56">
        <v>360</v>
      </c>
      <c r="E304" s="56">
        <f t="shared" si="6"/>
        <v>42400.800000000003</v>
      </c>
    </row>
    <row r="305" spans="1:5" ht="18" customHeight="1" x14ac:dyDescent="0.25">
      <c r="A305" s="53">
        <v>326</v>
      </c>
      <c r="B305" s="54" t="s">
        <v>357</v>
      </c>
      <c r="C305" s="55">
        <v>6</v>
      </c>
      <c r="D305" s="56">
        <v>980</v>
      </c>
      <c r="E305" s="56">
        <f t="shared" si="6"/>
        <v>5880</v>
      </c>
    </row>
    <row r="306" spans="1:5" ht="18" customHeight="1" x14ac:dyDescent="0.25">
      <c r="A306" s="53">
        <v>327</v>
      </c>
      <c r="B306" s="54" t="s">
        <v>352</v>
      </c>
      <c r="C306" s="55">
        <v>2</v>
      </c>
      <c r="D306" s="56">
        <v>114</v>
      </c>
      <c r="E306" s="56">
        <f t="shared" si="6"/>
        <v>228</v>
      </c>
    </row>
    <row r="307" spans="1:5" ht="18" customHeight="1" x14ac:dyDescent="0.25">
      <c r="A307" s="53">
        <v>328</v>
      </c>
      <c r="B307" s="54" t="s">
        <v>322</v>
      </c>
      <c r="C307" s="55">
        <f>343.1+43.2</f>
        <v>386.3</v>
      </c>
      <c r="D307" s="56">
        <v>116</v>
      </c>
      <c r="E307" s="56">
        <f t="shared" si="6"/>
        <v>44810.8</v>
      </c>
    </row>
    <row r="308" spans="1:5" ht="18" customHeight="1" x14ac:dyDescent="0.25">
      <c r="A308" s="53">
        <v>329</v>
      </c>
      <c r="B308" s="54" t="s">
        <v>323</v>
      </c>
      <c r="C308" s="55">
        <v>45.5</v>
      </c>
      <c r="D308" s="56">
        <v>450</v>
      </c>
      <c r="E308" s="56">
        <f t="shared" ref="E308:E318" si="8">C308*D308</f>
        <v>20475</v>
      </c>
    </row>
    <row r="309" spans="1:5" ht="18" customHeight="1" x14ac:dyDescent="0.25">
      <c r="A309" s="53">
        <v>330</v>
      </c>
      <c r="B309" s="54" t="s">
        <v>325</v>
      </c>
      <c r="C309" s="55">
        <v>113.7</v>
      </c>
      <c r="D309" s="56">
        <v>116</v>
      </c>
      <c r="E309" s="56">
        <f t="shared" si="8"/>
        <v>13189.2</v>
      </c>
    </row>
    <row r="310" spans="1:5" ht="18" customHeight="1" thickBot="1" x14ac:dyDescent="0.3">
      <c r="A310" s="53">
        <v>331</v>
      </c>
      <c r="B310" s="54" t="s">
        <v>326</v>
      </c>
      <c r="C310" s="55">
        <v>2.8</v>
      </c>
      <c r="D310" s="56">
        <v>3</v>
      </c>
      <c r="E310" s="56">
        <f t="shared" si="8"/>
        <v>8.3999999999999986</v>
      </c>
    </row>
    <row r="311" spans="1:5" ht="15.75" thickBot="1" x14ac:dyDescent="0.3">
      <c r="A311" s="53"/>
      <c r="B311" s="57" t="s">
        <v>17</v>
      </c>
      <c r="C311" s="15">
        <f>SUM(C269:C310)</f>
        <v>1688.356</v>
      </c>
      <c r="D311" s="38"/>
      <c r="E311" s="36">
        <f>SUM(E269:E310)</f>
        <v>283781.07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332</v>
      </c>
      <c r="B313" s="54" t="s">
        <v>327</v>
      </c>
      <c r="C313" s="55">
        <v>103</v>
      </c>
      <c r="D313" s="56">
        <v>110</v>
      </c>
      <c r="E313" s="56">
        <f t="shared" si="8"/>
        <v>11330</v>
      </c>
    </row>
    <row r="314" spans="1:5" ht="18" customHeight="1" x14ac:dyDescent="0.25">
      <c r="A314" s="53">
        <v>333</v>
      </c>
      <c r="B314" s="54" t="s">
        <v>328</v>
      </c>
      <c r="C314" s="55">
        <v>1.66</v>
      </c>
      <c r="D314" s="56">
        <v>50</v>
      </c>
      <c r="E314" s="56">
        <f t="shared" si="8"/>
        <v>83</v>
      </c>
    </row>
    <row r="315" spans="1:5" ht="18" customHeight="1" x14ac:dyDescent="0.25">
      <c r="A315" s="53">
        <v>334</v>
      </c>
      <c r="B315" s="54" t="s">
        <v>353</v>
      </c>
      <c r="C315" s="55">
        <v>3.27</v>
      </c>
      <c r="D315" s="56">
        <v>80</v>
      </c>
      <c r="E315" s="56">
        <f t="shared" si="8"/>
        <v>261.60000000000002</v>
      </c>
    </row>
    <row r="316" spans="1:5" ht="18" customHeight="1" x14ac:dyDescent="0.25">
      <c r="A316" s="53">
        <v>336</v>
      </c>
      <c r="B316" s="54" t="s">
        <v>354</v>
      </c>
      <c r="C316" s="55">
        <v>2.48</v>
      </c>
      <c r="D316" s="56">
        <v>112</v>
      </c>
      <c r="E316" s="56">
        <f t="shared" si="8"/>
        <v>277.76</v>
      </c>
    </row>
    <row r="317" spans="1:5" ht="18" customHeight="1" x14ac:dyDescent="0.25">
      <c r="A317" s="53">
        <v>337</v>
      </c>
      <c r="B317" s="54" t="s">
        <v>355</v>
      </c>
      <c r="C317" s="55">
        <v>2.1240000000000001</v>
      </c>
      <c r="D317" s="56">
        <v>75</v>
      </c>
      <c r="E317" s="56">
        <f t="shared" si="8"/>
        <v>159.30000000000001</v>
      </c>
    </row>
    <row r="318" spans="1:5" ht="18" customHeight="1" x14ac:dyDescent="0.25">
      <c r="A318" s="53">
        <v>338</v>
      </c>
      <c r="B318" s="54" t="s">
        <v>356</v>
      </c>
      <c r="C318" s="55">
        <v>26.4</v>
      </c>
      <c r="D318" s="56">
        <v>132</v>
      </c>
      <c r="E318" s="56">
        <f t="shared" si="8"/>
        <v>3484.7999999999997</v>
      </c>
    </row>
    <row r="319" spans="1:5" ht="17.25" customHeight="1" x14ac:dyDescent="0.3">
      <c r="A319" s="65"/>
      <c r="B319" s="57" t="s">
        <v>17</v>
      </c>
      <c r="C319" s="66">
        <f>SUM(C313:C318)</f>
        <v>138.934</v>
      </c>
      <c r="D319" s="67"/>
      <c r="E319" s="68">
        <f>SUM(E313:E318)</f>
        <v>15596.46</v>
      </c>
    </row>
    <row r="320" spans="1:5" ht="18.75" x14ac:dyDescent="0.3">
      <c r="B320" s="57" t="s">
        <v>270</v>
      </c>
      <c r="C320" s="42">
        <f>C319+C311+C267+C223+C181+C135+C89+C44</f>
        <v>19509.1342</v>
      </c>
      <c r="D320" s="69" t="s">
        <v>271</v>
      </c>
      <c r="E320" s="67">
        <f>E319+E311+E267+E223+E181+E135+E89+E44</f>
        <v>2355426.5360000003</v>
      </c>
    </row>
    <row r="323" spans="1:5" x14ac:dyDescent="0.25">
      <c r="A323" s="18">
        <v>289</v>
      </c>
      <c r="B323" s="54" t="s">
        <v>117</v>
      </c>
      <c r="C323" s="55">
        <v>642</v>
      </c>
      <c r="D323" s="55">
        <v>1E-3</v>
      </c>
      <c r="E323" s="55">
        <f t="shared" ref="E323" si="9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opLeftCell="A304" zoomScaleNormal="100" workbookViewId="0">
      <selection activeCell="C315" sqref="C315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78" t="s">
        <v>344</v>
      </c>
      <c r="B1" s="78"/>
      <c r="C1" s="78"/>
      <c r="D1" s="78"/>
      <c r="E1" s="78"/>
      <c r="F1" s="47"/>
      <c r="G1" s="47"/>
    </row>
    <row r="2" spans="1:7" ht="24" thickBot="1" x14ac:dyDescent="0.4">
      <c r="A2" s="79" t="s">
        <v>0</v>
      </c>
      <c r="B2" s="79"/>
      <c r="C2" s="79"/>
      <c r="D2" s="79"/>
      <c r="E2" s="79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15.8+1.64+1.83+33.4</f>
        <v>52.67</v>
      </c>
      <c r="D4" s="56">
        <v>170</v>
      </c>
      <c r="E4" s="56">
        <f>D4*C4</f>
        <v>8953.9</v>
      </c>
    </row>
    <row r="5" spans="1:7" x14ac:dyDescent="0.25">
      <c r="A5" s="53">
        <v>2</v>
      </c>
      <c r="B5" s="43" t="s">
        <v>103</v>
      </c>
      <c r="C5" s="55">
        <v>0</v>
      </c>
      <c r="D5" s="56">
        <v>135</v>
      </c>
      <c r="E5" s="56">
        <f t="shared" ref="E5:E43" si="0">D5*C5</f>
        <v>0</v>
      </c>
    </row>
    <row r="6" spans="1:7" x14ac:dyDescent="0.25">
      <c r="A6" s="53">
        <v>3</v>
      </c>
      <c r="B6" s="54" t="s">
        <v>102</v>
      </c>
      <c r="C6" s="55">
        <f>10.3+4.23</f>
        <v>14.530000000000001</v>
      </c>
      <c r="D6" s="56">
        <v>114</v>
      </c>
      <c r="E6" s="56">
        <f t="shared" si="0"/>
        <v>1656.42</v>
      </c>
    </row>
    <row r="7" spans="1:7" x14ac:dyDescent="0.25">
      <c r="A7" s="53">
        <v>4</v>
      </c>
      <c r="B7" s="54" t="s">
        <v>104</v>
      </c>
      <c r="C7" s="55">
        <f>3.9+5.25</f>
        <v>9.15</v>
      </c>
      <c r="D7" s="56">
        <v>125</v>
      </c>
      <c r="E7" s="56">
        <f t="shared" si="0"/>
        <v>1143.75</v>
      </c>
    </row>
    <row r="8" spans="1:7" x14ac:dyDescent="0.25">
      <c r="A8" s="53">
        <v>5</v>
      </c>
      <c r="B8" s="54" t="s">
        <v>105</v>
      </c>
      <c r="C8" s="55">
        <v>7.58</v>
      </c>
      <c r="D8" s="56">
        <v>98</v>
      </c>
      <c r="E8" s="56">
        <f t="shared" si="0"/>
        <v>742.84</v>
      </c>
    </row>
    <row r="9" spans="1:7" x14ac:dyDescent="0.25">
      <c r="A9" s="53">
        <v>6</v>
      </c>
      <c r="B9" s="54" t="s">
        <v>106</v>
      </c>
      <c r="C9" s="55">
        <f>0.6+27+8.44</f>
        <v>36.04</v>
      </c>
      <c r="D9" s="56">
        <v>110</v>
      </c>
      <c r="E9" s="56">
        <f t="shared" si="0"/>
        <v>3964.4</v>
      </c>
    </row>
    <row r="10" spans="1:7" x14ac:dyDescent="0.25">
      <c r="A10" s="53">
        <v>7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8</v>
      </c>
      <c r="B11" s="54" t="s">
        <v>336</v>
      </c>
      <c r="C11" s="55">
        <v>0</v>
      </c>
      <c r="D11" s="56">
        <v>87</v>
      </c>
      <c r="E11" s="56">
        <f t="shared" si="0"/>
        <v>0</v>
      </c>
    </row>
    <row r="12" spans="1:7" x14ac:dyDescent="0.25">
      <c r="A12" s="53">
        <v>9</v>
      </c>
      <c r="B12" s="54" t="s">
        <v>337</v>
      </c>
      <c r="C12" s="55">
        <v>4</v>
      </c>
      <c r="D12" s="56">
        <v>96</v>
      </c>
      <c r="E12" s="56">
        <f t="shared" si="0"/>
        <v>384</v>
      </c>
    </row>
    <row r="13" spans="1:7" x14ac:dyDescent="0.25">
      <c r="A13" s="53">
        <v>10</v>
      </c>
      <c r="B13" s="54" t="s">
        <v>338</v>
      </c>
      <c r="C13" s="55">
        <v>0</v>
      </c>
      <c r="D13" s="56">
        <v>88</v>
      </c>
      <c r="E13" s="56">
        <f t="shared" si="0"/>
        <v>0</v>
      </c>
    </row>
    <row r="14" spans="1:7" x14ac:dyDescent="0.25">
      <c r="A14" s="53">
        <v>11</v>
      </c>
      <c r="B14" s="54" t="s">
        <v>339</v>
      </c>
      <c r="C14" s="55">
        <v>0.53400000000000003</v>
      </c>
      <c r="D14" s="56">
        <v>280</v>
      </c>
      <c r="E14" s="56">
        <f t="shared" si="0"/>
        <v>149.52000000000001</v>
      </c>
    </row>
    <row r="15" spans="1:7" x14ac:dyDescent="0.25">
      <c r="A15" s="53">
        <v>12</v>
      </c>
      <c r="B15" s="54" t="s">
        <v>127</v>
      </c>
      <c r="C15" s="55">
        <f>11+1.158</f>
        <v>12.157999999999999</v>
      </c>
      <c r="D15" s="56">
        <v>630</v>
      </c>
      <c r="E15" s="56">
        <f t="shared" si="0"/>
        <v>7659.54</v>
      </c>
    </row>
    <row r="16" spans="1:7" x14ac:dyDescent="0.25">
      <c r="A16" s="53">
        <v>13</v>
      </c>
      <c r="B16" s="54" t="s">
        <v>96</v>
      </c>
      <c r="C16" s="55">
        <v>1.016</v>
      </c>
      <c r="D16" s="56">
        <v>110</v>
      </c>
      <c r="E16" s="56">
        <f t="shared" si="0"/>
        <v>111.76</v>
      </c>
    </row>
    <row r="17" spans="1:5" x14ac:dyDescent="0.25">
      <c r="A17" s="53">
        <v>14</v>
      </c>
      <c r="B17" s="54" t="s">
        <v>7</v>
      </c>
      <c r="C17" s="55">
        <v>7</v>
      </c>
      <c r="D17" s="56">
        <v>165</v>
      </c>
      <c r="E17" s="56">
        <f t="shared" si="0"/>
        <v>1155</v>
      </c>
    </row>
    <row r="18" spans="1:5" x14ac:dyDescent="0.25">
      <c r="A18" s="53">
        <v>15</v>
      </c>
      <c r="B18" s="54" t="s">
        <v>6</v>
      </c>
      <c r="C18" s="55">
        <v>0</v>
      </c>
      <c r="D18" s="56">
        <v>18</v>
      </c>
      <c r="E18" s="56">
        <f t="shared" si="0"/>
        <v>0</v>
      </c>
    </row>
    <row r="19" spans="1:5" x14ac:dyDescent="0.25">
      <c r="A19" s="53">
        <v>16</v>
      </c>
      <c r="B19" s="54" t="s">
        <v>94</v>
      </c>
      <c r="C19" s="55">
        <v>0</v>
      </c>
      <c r="D19" s="56">
        <v>64</v>
      </c>
      <c r="E19" s="56">
        <f t="shared" si="0"/>
        <v>0</v>
      </c>
    </row>
    <row r="20" spans="1:5" x14ac:dyDescent="0.25">
      <c r="A20" s="53">
        <v>17</v>
      </c>
      <c r="B20" s="54" t="s">
        <v>348</v>
      </c>
      <c r="C20" s="55">
        <v>0.77600000000000002</v>
      </c>
      <c r="D20" s="56">
        <v>385</v>
      </c>
      <c r="E20" s="56">
        <f t="shared" si="0"/>
        <v>298.76</v>
      </c>
    </row>
    <row r="21" spans="1:5" x14ac:dyDescent="0.25">
      <c r="A21" s="53">
        <v>18</v>
      </c>
      <c r="B21" s="54" t="s">
        <v>20</v>
      </c>
      <c r="C21" s="55">
        <v>2</v>
      </c>
      <c r="D21" s="56">
        <v>46</v>
      </c>
      <c r="E21" s="56">
        <f t="shared" si="0"/>
        <v>92</v>
      </c>
    </row>
    <row r="22" spans="1:5" x14ac:dyDescent="0.25">
      <c r="A22" s="53">
        <v>19</v>
      </c>
      <c r="B22" s="54" t="s">
        <v>8</v>
      </c>
      <c r="C22" s="55">
        <v>0</v>
      </c>
      <c r="D22" s="56">
        <v>64</v>
      </c>
      <c r="E22" s="56">
        <f t="shared" si="0"/>
        <v>0</v>
      </c>
    </row>
    <row r="23" spans="1:5" x14ac:dyDescent="0.25">
      <c r="A23" s="53">
        <v>20</v>
      </c>
      <c r="B23" s="54" t="s">
        <v>363</v>
      </c>
      <c r="C23" s="55">
        <v>0.41199999999999998</v>
      </c>
      <c r="D23" s="56">
        <v>298</v>
      </c>
      <c r="E23" s="56">
        <f t="shared" si="0"/>
        <v>122.776</v>
      </c>
    </row>
    <row r="24" spans="1:5" x14ac:dyDescent="0.25">
      <c r="A24" s="53">
        <v>21</v>
      </c>
      <c r="B24" s="54" t="s">
        <v>364</v>
      </c>
      <c r="C24" s="55">
        <v>2</v>
      </c>
      <c r="D24" s="56">
        <v>35</v>
      </c>
      <c r="E24" s="56">
        <f t="shared" si="0"/>
        <v>70</v>
      </c>
    </row>
    <row r="25" spans="1:5" x14ac:dyDescent="0.25">
      <c r="A25" s="53">
        <v>22</v>
      </c>
      <c r="B25" s="54" t="s">
        <v>362</v>
      </c>
      <c r="C25" s="55">
        <v>3</v>
      </c>
      <c r="D25" s="56">
        <v>90</v>
      </c>
      <c r="E25" s="56">
        <f t="shared" si="0"/>
        <v>270</v>
      </c>
    </row>
    <row r="26" spans="1:5" x14ac:dyDescent="0.25">
      <c r="A26" s="53">
        <v>23</v>
      </c>
      <c r="B26" s="54" t="s">
        <v>340</v>
      </c>
      <c r="C26" s="55">
        <v>2</v>
      </c>
      <c r="D26" s="56">
        <v>72</v>
      </c>
      <c r="E26" s="56">
        <f t="shared" si="0"/>
        <v>144</v>
      </c>
    </row>
    <row r="27" spans="1:5" x14ac:dyDescent="0.25">
      <c r="A27" s="53">
        <v>24</v>
      </c>
      <c r="B27" s="54" t="s">
        <v>273</v>
      </c>
      <c r="C27" s="55">
        <v>5</v>
      </c>
      <c r="D27" s="56">
        <v>15</v>
      </c>
      <c r="E27" s="56">
        <f t="shared" si="0"/>
        <v>75</v>
      </c>
    </row>
    <row r="28" spans="1:5" x14ac:dyDescent="0.25">
      <c r="A28" s="53">
        <v>25</v>
      </c>
      <c r="B28" s="54" t="s">
        <v>341</v>
      </c>
      <c r="C28" s="55">
        <f>1.826+0.542</f>
        <v>2.3680000000000003</v>
      </c>
      <c r="D28" s="56">
        <v>280</v>
      </c>
      <c r="E28" s="56">
        <f t="shared" si="0"/>
        <v>663.04000000000008</v>
      </c>
    </row>
    <row r="29" spans="1:5" ht="15.75" customHeight="1" x14ac:dyDescent="0.25">
      <c r="A29" s="53">
        <v>26</v>
      </c>
      <c r="B29" s="54" t="s">
        <v>342</v>
      </c>
      <c r="C29" s="55">
        <v>0</v>
      </c>
      <c r="D29" s="56">
        <v>398</v>
      </c>
      <c r="E29" s="56">
        <f t="shared" si="0"/>
        <v>0</v>
      </c>
    </row>
    <row r="30" spans="1:5" x14ac:dyDescent="0.25">
      <c r="A30" s="53">
        <v>27</v>
      </c>
      <c r="B30" s="54" t="s">
        <v>131</v>
      </c>
      <c r="C30" s="55">
        <v>5.9</v>
      </c>
      <c r="D30" s="56">
        <v>104</v>
      </c>
      <c r="E30" s="56">
        <f t="shared" si="0"/>
        <v>613.6</v>
      </c>
    </row>
    <row r="31" spans="1:5" x14ac:dyDescent="0.25">
      <c r="A31" s="53">
        <v>28</v>
      </c>
      <c r="B31" s="54" t="s">
        <v>132</v>
      </c>
      <c r="C31" s="55">
        <v>3.58</v>
      </c>
      <c r="D31" s="56">
        <v>590</v>
      </c>
      <c r="E31" s="56">
        <f t="shared" si="0"/>
        <v>2112.1999999999998</v>
      </c>
    </row>
    <row r="32" spans="1:5" x14ac:dyDescent="0.25">
      <c r="A32" s="53">
        <v>29</v>
      </c>
      <c r="B32" s="54" t="s">
        <v>133</v>
      </c>
      <c r="C32" s="55">
        <f>1.6+15.49</f>
        <v>17.09</v>
      </c>
      <c r="D32" s="56">
        <v>103</v>
      </c>
      <c r="E32" s="56">
        <f t="shared" si="0"/>
        <v>1760.27</v>
      </c>
    </row>
    <row r="33" spans="1:5" x14ac:dyDescent="0.25">
      <c r="A33" s="53">
        <v>30</v>
      </c>
      <c r="B33" s="54" t="s">
        <v>134</v>
      </c>
      <c r="C33" s="55">
        <v>8.86</v>
      </c>
      <c r="D33" s="56">
        <v>160</v>
      </c>
      <c r="E33" s="56">
        <f t="shared" si="0"/>
        <v>1417.6</v>
      </c>
    </row>
    <row r="34" spans="1:5" x14ac:dyDescent="0.25">
      <c r="A34" s="53">
        <v>31</v>
      </c>
      <c r="B34" s="54" t="s">
        <v>135</v>
      </c>
      <c r="C34" s="55">
        <v>3.4</v>
      </c>
      <c r="D34" s="56">
        <v>360</v>
      </c>
      <c r="E34" s="56">
        <f t="shared" si="0"/>
        <v>1224</v>
      </c>
    </row>
    <row r="35" spans="1:5" x14ac:dyDescent="0.25">
      <c r="A35" s="53">
        <v>32</v>
      </c>
      <c r="B35" s="54" t="s">
        <v>136</v>
      </c>
      <c r="C35" s="55">
        <f>4.79+0.44</f>
        <v>5.23</v>
      </c>
      <c r="D35" s="56">
        <v>210</v>
      </c>
      <c r="E35" s="56">
        <f t="shared" si="0"/>
        <v>1098.3000000000002</v>
      </c>
    </row>
    <row r="36" spans="1:5" x14ac:dyDescent="0.25">
      <c r="A36" s="53">
        <v>33</v>
      </c>
      <c r="B36" s="54" t="s">
        <v>137</v>
      </c>
      <c r="C36" s="55">
        <v>3.83</v>
      </c>
      <c r="D36" s="56">
        <v>138</v>
      </c>
      <c r="E36" s="56">
        <f t="shared" si="0"/>
        <v>528.54</v>
      </c>
    </row>
    <row r="37" spans="1:5" x14ac:dyDescent="0.25">
      <c r="A37" s="53">
        <v>34</v>
      </c>
      <c r="B37" s="54" t="s">
        <v>138</v>
      </c>
      <c r="C37" s="55">
        <v>26</v>
      </c>
      <c r="D37" s="56">
        <v>26</v>
      </c>
      <c r="E37" s="56">
        <f t="shared" si="0"/>
        <v>676</v>
      </c>
    </row>
    <row r="38" spans="1:5" x14ac:dyDescent="0.25">
      <c r="A38" s="53">
        <v>35</v>
      </c>
      <c r="B38" s="54" t="s">
        <v>139</v>
      </c>
      <c r="C38" s="55">
        <f>0.4+0.13</f>
        <v>0.53</v>
      </c>
      <c r="D38" s="56">
        <v>210</v>
      </c>
      <c r="E38" s="56">
        <f t="shared" si="0"/>
        <v>111.30000000000001</v>
      </c>
    </row>
    <row r="39" spans="1:5" x14ac:dyDescent="0.25">
      <c r="A39" s="53">
        <v>36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37</v>
      </c>
      <c r="B40" s="54" t="s">
        <v>141</v>
      </c>
      <c r="C40" s="55">
        <f>60+38.9</f>
        <v>98.9</v>
      </c>
      <c r="D40" s="56">
        <v>140</v>
      </c>
      <c r="E40" s="56">
        <f t="shared" si="0"/>
        <v>13846</v>
      </c>
    </row>
    <row r="41" spans="1:5" x14ac:dyDescent="0.25">
      <c r="A41" s="53">
        <v>38</v>
      </c>
      <c r="B41" s="54" t="s">
        <v>142</v>
      </c>
      <c r="C41" s="55">
        <f>16.08+0.7</f>
        <v>16.779999999999998</v>
      </c>
      <c r="D41" s="56">
        <v>62</v>
      </c>
      <c r="E41" s="56">
        <f t="shared" si="0"/>
        <v>1040.3599999999999</v>
      </c>
    </row>
    <row r="42" spans="1:5" x14ac:dyDescent="0.25">
      <c r="A42" s="53">
        <v>39</v>
      </c>
      <c r="B42" s="54" t="s">
        <v>143</v>
      </c>
      <c r="C42" s="55">
        <v>3.7650000000000001</v>
      </c>
      <c r="D42" s="56">
        <v>590</v>
      </c>
      <c r="E42" s="56">
        <f t="shared" si="0"/>
        <v>2221.35</v>
      </c>
    </row>
    <row r="43" spans="1:5" x14ac:dyDescent="0.25">
      <c r="A43" s="53">
        <v>40</v>
      </c>
      <c r="B43" s="54" t="s">
        <v>144</v>
      </c>
      <c r="C43" s="55">
        <f>7.05+0.63</f>
        <v>7.68</v>
      </c>
      <c r="D43" s="56">
        <v>98</v>
      </c>
      <c r="E43" s="56">
        <f t="shared" si="0"/>
        <v>752.64</v>
      </c>
    </row>
    <row r="44" spans="1:5" ht="15.75" thickBot="1" x14ac:dyDescent="0.3">
      <c r="B44" s="57" t="s">
        <v>17</v>
      </c>
      <c r="C44" s="15">
        <f>SUM(C4:C43)</f>
        <v>365.77900000000005</v>
      </c>
      <c r="D44" s="15"/>
      <c r="E44" s="36">
        <f>SUM(E4:E43)</f>
        <v>55338.866000000009</v>
      </c>
    </row>
    <row r="45" spans="1:5" ht="31.5" customHeight="1" thickBot="1" x14ac:dyDescent="0.3"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41</v>
      </c>
      <c r="B46" s="54" t="s">
        <v>343</v>
      </c>
      <c r="C46" s="55">
        <f>3.3+1.478</f>
        <v>4.7779999999999996</v>
      </c>
      <c r="D46" s="56">
        <v>405</v>
      </c>
      <c r="E46" s="56">
        <f>D46*C46</f>
        <v>1935.09</v>
      </c>
    </row>
    <row r="47" spans="1:5" x14ac:dyDescent="0.25">
      <c r="A47" s="53">
        <v>42</v>
      </c>
      <c r="B47" s="54" t="s">
        <v>55</v>
      </c>
      <c r="C47" s="55">
        <f>31.5+15.5+9.3+2070.54</f>
        <v>2126.84</v>
      </c>
      <c r="D47" s="56">
        <v>125</v>
      </c>
      <c r="E47" s="56">
        <f t="shared" ref="E47:E88" si="1">D47*C47</f>
        <v>265855</v>
      </c>
    </row>
    <row r="48" spans="1:5" x14ac:dyDescent="0.25">
      <c r="A48" s="53">
        <v>43</v>
      </c>
      <c r="B48" s="54" t="s">
        <v>145</v>
      </c>
      <c r="C48" s="55">
        <f>9.7+7.9+0.658</f>
        <v>18.258000000000003</v>
      </c>
      <c r="D48" s="56">
        <v>92</v>
      </c>
      <c r="E48" s="56">
        <f t="shared" si="1"/>
        <v>1679.7360000000003</v>
      </c>
    </row>
    <row r="49" spans="1:5" x14ac:dyDescent="0.25">
      <c r="A49" s="53">
        <v>44</v>
      </c>
      <c r="B49" s="54" t="s">
        <v>146</v>
      </c>
      <c r="C49" s="55">
        <f>6.31+9.8+7.6+0.726</f>
        <v>24.436</v>
      </c>
      <c r="D49" s="56">
        <v>92</v>
      </c>
      <c r="E49" s="56">
        <f t="shared" si="1"/>
        <v>2248.1120000000001</v>
      </c>
    </row>
    <row r="50" spans="1:5" x14ac:dyDescent="0.25">
      <c r="A50" s="53">
        <v>45</v>
      </c>
      <c r="B50" s="54" t="s">
        <v>147</v>
      </c>
      <c r="C50" s="55">
        <v>20.100000000000001</v>
      </c>
      <c r="D50" s="56">
        <v>214</v>
      </c>
      <c r="E50" s="56">
        <f t="shared" si="1"/>
        <v>4301.4000000000005</v>
      </c>
    </row>
    <row r="51" spans="1:5" x14ac:dyDescent="0.25">
      <c r="A51" s="53">
        <v>46</v>
      </c>
      <c r="B51" s="54" t="s">
        <v>148</v>
      </c>
      <c r="C51" s="55">
        <f>3.23+6.48+32.78</f>
        <v>42.49</v>
      </c>
      <c r="D51" s="56">
        <v>100</v>
      </c>
      <c r="E51" s="56">
        <f t="shared" si="1"/>
        <v>4249</v>
      </c>
    </row>
    <row r="52" spans="1:5" x14ac:dyDescent="0.25">
      <c r="A52" s="53">
        <v>47</v>
      </c>
      <c r="B52" s="54" t="s">
        <v>149</v>
      </c>
      <c r="C52" s="55">
        <f>0.91+13.2+3.2</f>
        <v>17.309999999999999</v>
      </c>
      <c r="D52" s="56">
        <v>95</v>
      </c>
      <c r="E52" s="56">
        <f t="shared" si="1"/>
        <v>1644.4499999999998</v>
      </c>
    </row>
    <row r="53" spans="1:5" x14ac:dyDescent="0.25">
      <c r="A53" s="53">
        <v>48</v>
      </c>
      <c r="B53" s="54" t="s">
        <v>150</v>
      </c>
      <c r="C53" s="55">
        <f>13.9+1.9+44+42+92+0.25</f>
        <v>194.05</v>
      </c>
      <c r="D53" s="56">
        <v>110</v>
      </c>
      <c r="E53" s="56">
        <f t="shared" si="1"/>
        <v>21345.5</v>
      </c>
    </row>
    <row r="54" spans="1:5" x14ac:dyDescent="0.25">
      <c r="A54" s="53">
        <v>49</v>
      </c>
      <c r="B54" s="54" t="s">
        <v>31</v>
      </c>
      <c r="C54" s="55">
        <f>8.72+8.8+3.064</f>
        <v>20.584000000000003</v>
      </c>
      <c r="D54" s="56">
        <v>175</v>
      </c>
      <c r="E54" s="56">
        <f t="shared" si="1"/>
        <v>3602.2000000000007</v>
      </c>
    </row>
    <row r="55" spans="1:5" x14ac:dyDescent="0.25">
      <c r="A55" s="53">
        <v>50</v>
      </c>
      <c r="B55" s="54" t="s">
        <v>32</v>
      </c>
      <c r="C55" s="55">
        <f>16.3+6.3+2.62</f>
        <v>25.220000000000002</v>
      </c>
      <c r="D55" s="56">
        <v>140</v>
      </c>
      <c r="E55" s="56">
        <f t="shared" si="1"/>
        <v>3530.8</v>
      </c>
    </row>
    <row r="56" spans="1:5" x14ac:dyDescent="0.25">
      <c r="A56" s="53">
        <v>51</v>
      </c>
      <c r="B56" s="54" t="s">
        <v>33</v>
      </c>
      <c r="C56" s="55">
        <f>6.44+22.75+18.3+7.75+11.1+8.19</f>
        <v>74.53</v>
      </c>
      <c r="D56" s="56">
        <v>94</v>
      </c>
      <c r="E56" s="56">
        <f t="shared" si="1"/>
        <v>7005.82</v>
      </c>
    </row>
    <row r="57" spans="1:5" x14ac:dyDescent="0.25">
      <c r="A57" s="53">
        <v>52</v>
      </c>
      <c r="B57" s="54" t="s">
        <v>34</v>
      </c>
      <c r="C57" s="55">
        <f>32.15+6.185</f>
        <v>38.335000000000001</v>
      </c>
      <c r="D57" s="56">
        <v>64</v>
      </c>
      <c r="E57" s="56">
        <f t="shared" si="1"/>
        <v>2453.44</v>
      </c>
    </row>
    <row r="58" spans="1:5" x14ac:dyDescent="0.25">
      <c r="A58" s="53">
        <v>53</v>
      </c>
      <c r="B58" s="54" t="s">
        <v>35</v>
      </c>
      <c r="C58" s="55">
        <f>10.1+56+8.7</f>
        <v>74.8</v>
      </c>
      <c r="D58" s="56">
        <v>64</v>
      </c>
      <c r="E58" s="56">
        <f t="shared" si="1"/>
        <v>4787.2</v>
      </c>
    </row>
    <row r="59" spans="1:5" x14ac:dyDescent="0.25">
      <c r="A59" s="53">
        <v>54</v>
      </c>
      <c r="B59" s="54" t="s">
        <v>36</v>
      </c>
      <c r="C59" s="55">
        <f>7.954+4.478</f>
        <v>12.431999999999999</v>
      </c>
      <c r="D59" s="56">
        <v>110</v>
      </c>
      <c r="E59" s="56">
        <f t="shared" si="1"/>
        <v>1367.5199999999998</v>
      </c>
    </row>
    <row r="60" spans="1:5" x14ac:dyDescent="0.25">
      <c r="A60" s="53">
        <v>55</v>
      </c>
      <c r="B60" s="54" t="s">
        <v>37</v>
      </c>
      <c r="C60" s="55">
        <v>0</v>
      </c>
      <c r="D60" s="56">
        <v>63</v>
      </c>
      <c r="E60" s="56">
        <f t="shared" si="1"/>
        <v>0</v>
      </c>
    </row>
    <row r="61" spans="1:5" x14ac:dyDescent="0.25">
      <c r="A61" s="53">
        <v>56</v>
      </c>
      <c r="B61" s="54" t="s">
        <v>15</v>
      </c>
      <c r="C61" s="55">
        <v>0</v>
      </c>
      <c r="D61" s="56">
        <v>56</v>
      </c>
      <c r="E61" s="56">
        <f t="shared" si="1"/>
        <v>0</v>
      </c>
    </row>
    <row r="62" spans="1:5" x14ac:dyDescent="0.25">
      <c r="A62" s="53">
        <v>57</v>
      </c>
      <c r="B62" s="54" t="s">
        <v>16</v>
      </c>
      <c r="C62" s="55">
        <v>0</v>
      </c>
      <c r="D62" s="56">
        <v>72</v>
      </c>
      <c r="E62" s="56">
        <f t="shared" si="1"/>
        <v>0</v>
      </c>
    </row>
    <row r="63" spans="1:5" x14ac:dyDescent="0.25">
      <c r="A63" s="53">
        <v>58</v>
      </c>
      <c r="B63" s="54" t="s">
        <v>18</v>
      </c>
      <c r="C63" s="55">
        <v>0</v>
      </c>
      <c r="D63" s="56">
        <v>40</v>
      </c>
      <c r="E63" s="56">
        <f t="shared" si="1"/>
        <v>0</v>
      </c>
    </row>
    <row r="64" spans="1:5" x14ac:dyDescent="0.25">
      <c r="A64" s="53">
        <v>59</v>
      </c>
      <c r="B64" s="54" t="s">
        <v>38</v>
      </c>
      <c r="C64" s="55">
        <v>8</v>
      </c>
      <c r="D64" s="56">
        <v>21</v>
      </c>
      <c r="E64" s="56">
        <f t="shared" si="1"/>
        <v>168</v>
      </c>
    </row>
    <row r="65" spans="1:5" x14ac:dyDescent="0.25">
      <c r="A65" s="53">
        <v>60</v>
      </c>
      <c r="B65" s="54" t="s">
        <v>39</v>
      </c>
      <c r="C65" s="55">
        <v>0</v>
      </c>
      <c r="D65" s="56">
        <v>31</v>
      </c>
      <c r="E65" s="56">
        <f t="shared" si="1"/>
        <v>0</v>
      </c>
    </row>
    <row r="66" spans="1:5" x14ac:dyDescent="0.25">
      <c r="A66" s="53">
        <v>61</v>
      </c>
      <c r="B66" s="54" t="s">
        <v>40</v>
      </c>
      <c r="C66" s="55">
        <v>28</v>
      </c>
      <c r="D66" s="56">
        <v>60</v>
      </c>
      <c r="E66" s="56">
        <f t="shared" si="1"/>
        <v>1680</v>
      </c>
    </row>
    <row r="67" spans="1:5" x14ac:dyDescent="0.25">
      <c r="A67" s="53">
        <v>62</v>
      </c>
      <c r="B67" s="54" t="s">
        <v>41</v>
      </c>
      <c r="C67" s="55">
        <f>3+4.74+1.8+3.7+3.7+4</f>
        <v>20.94</v>
      </c>
      <c r="D67" s="56">
        <v>250</v>
      </c>
      <c r="E67" s="56">
        <f t="shared" si="1"/>
        <v>5235</v>
      </c>
    </row>
    <row r="68" spans="1:5" x14ac:dyDescent="0.25">
      <c r="A68" s="53">
        <v>63</v>
      </c>
      <c r="B68" s="54" t="s">
        <v>151</v>
      </c>
      <c r="C68" s="55">
        <v>5</v>
      </c>
      <c r="D68" s="56">
        <v>85</v>
      </c>
      <c r="E68" s="56">
        <f t="shared" si="1"/>
        <v>425</v>
      </c>
    </row>
    <row r="69" spans="1:5" x14ac:dyDescent="0.25">
      <c r="A69" s="53">
        <v>64</v>
      </c>
      <c r="B69" s="54" t="s">
        <v>152</v>
      </c>
      <c r="C69" s="55">
        <v>2</v>
      </c>
      <c r="D69" s="56">
        <v>95</v>
      </c>
      <c r="E69" s="56">
        <f t="shared" si="1"/>
        <v>190</v>
      </c>
    </row>
    <row r="70" spans="1:5" x14ac:dyDescent="0.25">
      <c r="A70" s="53">
        <v>65</v>
      </c>
      <c r="B70" s="54" t="s">
        <v>51</v>
      </c>
      <c r="C70" s="55">
        <v>8</v>
      </c>
      <c r="D70" s="56">
        <v>46</v>
      </c>
      <c r="E70" s="56">
        <f t="shared" si="1"/>
        <v>368</v>
      </c>
    </row>
    <row r="71" spans="1:5" x14ac:dyDescent="0.25">
      <c r="A71" s="53">
        <v>66</v>
      </c>
      <c r="B71" s="54" t="s">
        <v>52</v>
      </c>
      <c r="C71" s="60">
        <f>14.5+5.57</f>
        <v>20.07</v>
      </c>
      <c r="D71" s="56">
        <v>116</v>
      </c>
      <c r="E71" s="56">
        <f t="shared" si="1"/>
        <v>2328.12</v>
      </c>
    </row>
    <row r="72" spans="1:5" x14ac:dyDescent="0.25">
      <c r="A72" s="53">
        <v>67</v>
      </c>
      <c r="B72" s="54" t="s">
        <v>53</v>
      </c>
      <c r="C72" s="55">
        <f>33+19.62+6.54+2.468</f>
        <v>61.628</v>
      </c>
      <c r="D72" s="56">
        <v>102</v>
      </c>
      <c r="E72" s="56">
        <f t="shared" si="1"/>
        <v>6286.0559999999996</v>
      </c>
    </row>
    <row r="73" spans="1:5" x14ac:dyDescent="0.25">
      <c r="A73" s="53">
        <v>68</v>
      </c>
      <c r="B73" s="54" t="s">
        <v>349</v>
      </c>
      <c r="C73" s="55">
        <v>3</v>
      </c>
      <c r="D73" s="56">
        <v>155</v>
      </c>
      <c r="E73" s="56">
        <f t="shared" si="1"/>
        <v>465</v>
      </c>
    </row>
    <row r="74" spans="1:5" x14ac:dyDescent="0.25">
      <c r="A74" s="53">
        <v>69</v>
      </c>
      <c r="B74" s="54" t="s">
        <v>100</v>
      </c>
      <c r="C74" s="55">
        <v>20</v>
      </c>
      <c r="D74" s="56">
        <v>26</v>
      </c>
      <c r="E74" s="56">
        <f t="shared" si="1"/>
        <v>520</v>
      </c>
    </row>
    <row r="75" spans="1:5" x14ac:dyDescent="0.25">
      <c r="A75" s="53">
        <v>70</v>
      </c>
      <c r="B75" s="54" t="s">
        <v>366</v>
      </c>
      <c r="C75" s="55">
        <v>3</v>
      </c>
      <c r="D75" s="56">
        <v>175</v>
      </c>
      <c r="E75" s="56">
        <f t="shared" si="1"/>
        <v>525</v>
      </c>
    </row>
    <row r="76" spans="1:5" x14ac:dyDescent="0.25">
      <c r="A76" s="53">
        <v>71</v>
      </c>
      <c r="B76" s="54" t="s">
        <v>154</v>
      </c>
      <c r="C76" s="55">
        <v>36</v>
      </c>
      <c r="D76" s="56">
        <v>26</v>
      </c>
      <c r="E76" s="56">
        <f t="shared" si="1"/>
        <v>936</v>
      </c>
    </row>
    <row r="77" spans="1:5" x14ac:dyDescent="0.25">
      <c r="A77" s="53">
        <v>72</v>
      </c>
      <c r="B77" s="54" t="s">
        <v>155</v>
      </c>
      <c r="C77" s="55">
        <v>22</v>
      </c>
      <c r="D77" s="56">
        <v>50</v>
      </c>
      <c r="E77" s="56">
        <f t="shared" si="1"/>
        <v>1100</v>
      </c>
    </row>
    <row r="78" spans="1:5" x14ac:dyDescent="0.25">
      <c r="A78" s="53">
        <v>73</v>
      </c>
      <c r="B78" s="54" t="s">
        <v>156</v>
      </c>
      <c r="C78" s="55">
        <v>3</v>
      </c>
      <c r="D78" s="56">
        <v>68</v>
      </c>
      <c r="E78" s="56">
        <f t="shared" si="1"/>
        <v>204</v>
      </c>
    </row>
    <row r="79" spans="1:5" x14ac:dyDescent="0.25">
      <c r="A79" s="53">
        <v>74</v>
      </c>
      <c r="B79" s="54" t="s">
        <v>365</v>
      </c>
      <c r="C79" s="55">
        <v>1.1459999999999999</v>
      </c>
      <c r="D79" s="56">
        <v>186</v>
      </c>
      <c r="E79" s="56">
        <f t="shared" si="1"/>
        <v>213.15599999999998</v>
      </c>
    </row>
    <row r="80" spans="1:5" x14ac:dyDescent="0.25">
      <c r="A80" s="53">
        <v>75</v>
      </c>
      <c r="B80" s="54" t="s">
        <v>159</v>
      </c>
      <c r="C80" s="55">
        <f>7.56+3.2</f>
        <v>10.76</v>
      </c>
      <c r="D80" s="56">
        <v>116</v>
      </c>
      <c r="E80" s="56">
        <f t="shared" si="1"/>
        <v>1248.1600000000001</v>
      </c>
    </row>
    <row r="81" spans="1:5" x14ac:dyDescent="0.25">
      <c r="A81" s="53">
        <v>76</v>
      </c>
      <c r="B81" s="54" t="s">
        <v>166</v>
      </c>
      <c r="C81" s="55">
        <f>27+19+40</f>
        <v>86</v>
      </c>
      <c r="D81" s="56">
        <v>45</v>
      </c>
      <c r="E81" s="56">
        <f t="shared" si="1"/>
        <v>3870</v>
      </c>
    </row>
    <row r="82" spans="1:5" x14ac:dyDescent="0.25">
      <c r="A82" s="53">
        <v>77</v>
      </c>
      <c r="B82" s="54" t="s">
        <v>160</v>
      </c>
      <c r="C82" s="55">
        <v>8.5</v>
      </c>
      <c r="D82" s="56">
        <v>60</v>
      </c>
      <c r="E82" s="56">
        <f t="shared" si="1"/>
        <v>510</v>
      </c>
    </row>
    <row r="83" spans="1:5" x14ac:dyDescent="0.25">
      <c r="A83" s="53">
        <v>78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79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80</v>
      </c>
      <c r="B85" s="54" t="s">
        <v>163</v>
      </c>
      <c r="C85" s="55">
        <v>33</v>
      </c>
      <c r="D85" s="56">
        <v>28</v>
      </c>
      <c r="E85" s="56">
        <f t="shared" si="1"/>
        <v>924</v>
      </c>
    </row>
    <row r="86" spans="1:5" x14ac:dyDescent="0.25">
      <c r="A86" s="53">
        <v>81</v>
      </c>
      <c r="B86" s="54" t="s">
        <v>164</v>
      </c>
      <c r="C86" s="55">
        <v>9</v>
      </c>
      <c r="D86" s="56">
        <v>28</v>
      </c>
      <c r="E86" s="56">
        <f t="shared" si="1"/>
        <v>252</v>
      </c>
    </row>
    <row r="87" spans="1:5" x14ac:dyDescent="0.25">
      <c r="A87" s="53">
        <v>82</v>
      </c>
      <c r="B87" s="54" t="s">
        <v>167</v>
      </c>
      <c r="C87" s="55">
        <v>11</v>
      </c>
      <c r="D87" s="56">
        <v>30</v>
      </c>
      <c r="E87" s="56">
        <f t="shared" si="1"/>
        <v>330</v>
      </c>
    </row>
    <row r="88" spans="1:5" x14ac:dyDescent="0.25">
      <c r="A88" s="53">
        <v>83</v>
      </c>
      <c r="B88" s="54" t="s">
        <v>165</v>
      </c>
      <c r="C88" s="55">
        <v>24</v>
      </c>
      <c r="D88" s="56">
        <v>30</v>
      </c>
      <c r="E88" s="56">
        <f t="shared" si="1"/>
        <v>720</v>
      </c>
    </row>
    <row r="89" spans="1:5" ht="15.75" thickBot="1" x14ac:dyDescent="0.3">
      <c r="A89" s="53"/>
      <c r="B89" s="57" t="s">
        <v>17</v>
      </c>
      <c r="C89" s="15">
        <f>SUM(C46:C88)</f>
        <v>3118.2070000000003</v>
      </c>
      <c r="D89" s="36"/>
      <c r="E89" s="36">
        <f>SUM(E46:E88)</f>
        <v>354502.76000000007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84</v>
      </c>
      <c r="B91" s="54" t="s">
        <v>168</v>
      </c>
      <c r="C91" s="55">
        <v>23</v>
      </c>
      <c r="D91" s="56">
        <v>23</v>
      </c>
      <c r="E91" s="56">
        <f>D91*C91</f>
        <v>529</v>
      </c>
    </row>
    <row r="92" spans="1:5" x14ac:dyDescent="0.25">
      <c r="A92" s="53">
        <v>85</v>
      </c>
      <c r="B92" s="54" t="s">
        <v>169</v>
      </c>
      <c r="C92" s="59">
        <v>25</v>
      </c>
      <c r="D92" s="56">
        <v>18</v>
      </c>
      <c r="E92" s="56">
        <f t="shared" ref="E92:E134" si="2">D92*C92</f>
        <v>450</v>
      </c>
    </row>
    <row r="93" spans="1:5" x14ac:dyDescent="0.25">
      <c r="A93" s="53">
        <v>86</v>
      </c>
      <c r="B93" s="54" t="s">
        <v>171</v>
      </c>
      <c r="C93" s="55">
        <v>1.23</v>
      </c>
      <c r="D93" s="56">
        <v>125</v>
      </c>
      <c r="E93" s="56">
        <f t="shared" si="2"/>
        <v>153.75</v>
      </c>
    </row>
    <row r="94" spans="1:5" x14ac:dyDescent="0.25">
      <c r="A94" s="53">
        <v>87</v>
      </c>
      <c r="B94" s="54" t="s">
        <v>172</v>
      </c>
      <c r="C94" s="55">
        <v>2.54</v>
      </c>
      <c r="D94" s="56">
        <v>85</v>
      </c>
      <c r="E94" s="56">
        <f t="shared" si="2"/>
        <v>215.9</v>
      </c>
    </row>
    <row r="95" spans="1:5" x14ac:dyDescent="0.25">
      <c r="A95" s="53">
        <v>88</v>
      </c>
      <c r="B95" s="54" t="s">
        <v>173</v>
      </c>
      <c r="C95" s="55">
        <v>2</v>
      </c>
      <c r="D95" s="56">
        <v>50</v>
      </c>
      <c r="E95" s="56">
        <f t="shared" si="2"/>
        <v>100</v>
      </c>
    </row>
    <row r="96" spans="1:5" x14ac:dyDescent="0.25">
      <c r="A96" s="53">
        <v>89</v>
      </c>
      <c r="B96" s="54" t="s">
        <v>175</v>
      </c>
      <c r="C96" s="55">
        <f>60+9.9+9.43</f>
        <v>79.330000000000013</v>
      </c>
      <c r="D96" s="56">
        <v>115</v>
      </c>
      <c r="E96" s="56">
        <f t="shared" si="2"/>
        <v>9122.9500000000007</v>
      </c>
    </row>
    <row r="97" spans="1:5" x14ac:dyDescent="0.25">
      <c r="A97" s="53">
        <v>90</v>
      </c>
      <c r="B97" s="54" t="s">
        <v>174</v>
      </c>
      <c r="C97" s="55">
        <f>0.57+6.96</f>
        <v>7.53</v>
      </c>
      <c r="D97" s="56">
        <v>98</v>
      </c>
      <c r="E97" s="56">
        <f t="shared" si="2"/>
        <v>737.94</v>
      </c>
    </row>
    <row r="98" spans="1:5" x14ac:dyDescent="0.25">
      <c r="A98" s="53">
        <v>91</v>
      </c>
      <c r="B98" s="54" t="s">
        <v>176</v>
      </c>
      <c r="C98" s="55">
        <f>6.2+2.1+2.26</f>
        <v>10.56</v>
      </c>
      <c r="D98" s="56">
        <v>80</v>
      </c>
      <c r="E98" s="56">
        <f t="shared" si="2"/>
        <v>844.80000000000007</v>
      </c>
    </row>
    <row r="99" spans="1:5" x14ac:dyDescent="0.25">
      <c r="A99" s="53">
        <v>92</v>
      </c>
      <c r="B99" s="54" t="s">
        <v>177</v>
      </c>
      <c r="C99" s="55">
        <v>32.9</v>
      </c>
      <c r="D99" s="56">
        <v>125</v>
      </c>
      <c r="E99" s="56">
        <f t="shared" si="2"/>
        <v>4112.5</v>
      </c>
    </row>
    <row r="100" spans="1:5" x14ac:dyDescent="0.25">
      <c r="A100" s="53">
        <v>93</v>
      </c>
      <c r="B100" s="54" t="s">
        <v>178</v>
      </c>
      <c r="C100" s="55">
        <f>23+1.568</f>
        <v>24.568000000000001</v>
      </c>
      <c r="D100" s="56">
        <v>60</v>
      </c>
      <c r="E100" s="56">
        <f t="shared" si="2"/>
        <v>1474.0800000000002</v>
      </c>
    </row>
    <row r="101" spans="1:5" x14ac:dyDescent="0.25">
      <c r="A101" s="53">
        <v>94</v>
      </c>
      <c r="B101" s="54" t="s">
        <v>179</v>
      </c>
      <c r="C101" s="55">
        <v>3.9</v>
      </c>
      <c r="D101" s="56">
        <v>106</v>
      </c>
      <c r="E101" s="56">
        <f t="shared" si="2"/>
        <v>413.4</v>
      </c>
    </row>
    <row r="102" spans="1:5" x14ac:dyDescent="0.25">
      <c r="A102" s="53">
        <v>95</v>
      </c>
      <c r="B102" s="54" t="s">
        <v>180</v>
      </c>
      <c r="C102" s="55">
        <f>2.72+5.32+1.4+605.5+688</f>
        <v>1302.94</v>
      </c>
      <c r="D102" s="56">
        <v>48</v>
      </c>
      <c r="E102" s="56">
        <f t="shared" si="2"/>
        <v>62541.120000000003</v>
      </c>
    </row>
    <row r="103" spans="1:5" x14ac:dyDescent="0.25">
      <c r="A103" s="53">
        <v>96</v>
      </c>
      <c r="B103" s="54" t="s">
        <v>181</v>
      </c>
      <c r="C103" s="55">
        <f>8.46+11.28-3.9466</f>
        <v>15.793400000000002</v>
      </c>
      <c r="D103" s="56">
        <v>96</v>
      </c>
      <c r="E103" s="56">
        <f t="shared" si="2"/>
        <v>1516.1664000000001</v>
      </c>
    </row>
    <row r="104" spans="1:5" x14ac:dyDescent="0.25">
      <c r="A104" s="53">
        <v>97</v>
      </c>
      <c r="B104" s="54" t="s">
        <v>182</v>
      </c>
      <c r="C104" s="55">
        <v>5.58</v>
      </c>
      <c r="D104" s="56">
        <v>98</v>
      </c>
      <c r="E104" s="56">
        <f t="shared" si="2"/>
        <v>546.84</v>
      </c>
    </row>
    <row r="105" spans="1:5" x14ac:dyDescent="0.25">
      <c r="A105" s="53">
        <v>98</v>
      </c>
      <c r="B105" s="54" t="s">
        <v>183</v>
      </c>
      <c r="C105" s="55">
        <f>14.58-2.2+2.1+37.2</f>
        <v>51.68</v>
      </c>
      <c r="D105" s="56">
        <v>108</v>
      </c>
      <c r="E105" s="56">
        <f t="shared" si="2"/>
        <v>5581.44</v>
      </c>
    </row>
    <row r="106" spans="1:5" x14ac:dyDescent="0.25">
      <c r="A106" s="53">
        <v>99</v>
      </c>
      <c r="B106" s="54" t="s">
        <v>269</v>
      </c>
      <c r="C106" s="60">
        <f>2.2+17.4</f>
        <v>19.599999999999998</v>
      </c>
      <c r="D106" s="56">
        <v>96</v>
      </c>
      <c r="E106" s="56">
        <f t="shared" si="2"/>
        <v>1881.6</v>
      </c>
    </row>
    <row r="107" spans="1:5" x14ac:dyDescent="0.25">
      <c r="A107" s="53">
        <v>100</v>
      </c>
      <c r="B107" s="54" t="s">
        <v>268</v>
      </c>
      <c r="C107" s="55">
        <v>1.28</v>
      </c>
      <c r="D107" s="56">
        <v>112</v>
      </c>
      <c r="E107" s="56">
        <f t="shared" si="2"/>
        <v>143.36000000000001</v>
      </c>
    </row>
    <row r="108" spans="1:5" x14ac:dyDescent="0.25">
      <c r="A108" s="53">
        <v>101</v>
      </c>
      <c r="B108" s="54" t="s">
        <v>267</v>
      </c>
      <c r="C108" s="55">
        <v>1.68</v>
      </c>
      <c r="D108" s="56">
        <v>3</v>
      </c>
      <c r="E108" s="56">
        <f t="shared" si="2"/>
        <v>5.04</v>
      </c>
    </row>
    <row r="109" spans="1:5" x14ac:dyDescent="0.25">
      <c r="A109" s="53">
        <v>102</v>
      </c>
      <c r="B109" s="54" t="s">
        <v>266</v>
      </c>
      <c r="C109" s="55">
        <f>3.42+98.5</f>
        <v>101.92</v>
      </c>
      <c r="D109" s="56">
        <v>89</v>
      </c>
      <c r="E109" s="56">
        <f t="shared" si="2"/>
        <v>9070.880000000001</v>
      </c>
    </row>
    <row r="110" spans="1:5" x14ac:dyDescent="0.25">
      <c r="A110" s="53">
        <v>103</v>
      </c>
      <c r="B110" s="54" t="s">
        <v>265</v>
      </c>
      <c r="C110" s="55">
        <f>11.56-1.5+80</f>
        <v>90.06</v>
      </c>
      <c r="D110" s="56">
        <v>340</v>
      </c>
      <c r="E110" s="56">
        <f t="shared" si="2"/>
        <v>30620.400000000001</v>
      </c>
    </row>
    <row r="111" spans="1:5" x14ac:dyDescent="0.25">
      <c r="A111" s="53">
        <v>104</v>
      </c>
      <c r="B111" s="54" t="s">
        <v>264</v>
      </c>
      <c r="C111" s="55">
        <f>6.5+40.2</f>
        <v>46.7</v>
      </c>
      <c r="D111" s="56">
        <v>76</v>
      </c>
      <c r="E111" s="56">
        <f t="shared" si="2"/>
        <v>3549.2000000000003</v>
      </c>
    </row>
    <row r="112" spans="1:5" x14ac:dyDescent="0.25">
      <c r="A112" s="53">
        <v>105</v>
      </c>
      <c r="B112" s="54" t="s">
        <v>263</v>
      </c>
      <c r="C112" s="55">
        <f>20.5+4.18</f>
        <v>24.68</v>
      </c>
      <c r="D112" s="56">
        <v>96</v>
      </c>
      <c r="E112" s="56">
        <f t="shared" si="2"/>
        <v>2369.2799999999997</v>
      </c>
    </row>
    <row r="113" spans="1:5" x14ac:dyDescent="0.25">
      <c r="A113" s="53">
        <v>106</v>
      </c>
      <c r="B113" s="54" t="s">
        <v>262</v>
      </c>
      <c r="C113" s="55">
        <f>2.82+4.96+9.8+210.5</f>
        <v>228.07999999999998</v>
      </c>
      <c r="D113" s="56">
        <v>120</v>
      </c>
      <c r="E113" s="56">
        <f t="shared" si="2"/>
        <v>27369.599999999999</v>
      </c>
    </row>
    <row r="114" spans="1:5" x14ac:dyDescent="0.25">
      <c r="A114" s="53">
        <v>107</v>
      </c>
      <c r="B114" s="54" t="s">
        <v>260</v>
      </c>
      <c r="C114" s="55">
        <f>27.3</f>
        <v>27.3</v>
      </c>
      <c r="D114" s="56">
        <v>96</v>
      </c>
      <c r="E114" s="56">
        <f t="shared" si="2"/>
        <v>2620.8000000000002</v>
      </c>
    </row>
    <row r="115" spans="1:5" x14ac:dyDescent="0.25">
      <c r="A115" s="53">
        <v>108</v>
      </c>
      <c r="B115" s="54" t="s">
        <v>259</v>
      </c>
      <c r="C115" s="55">
        <v>39.39</v>
      </c>
      <c r="D115" s="56">
        <v>210</v>
      </c>
      <c r="E115" s="56">
        <f t="shared" si="2"/>
        <v>8271.9</v>
      </c>
    </row>
    <row r="116" spans="1:5" x14ac:dyDescent="0.25">
      <c r="A116" s="53">
        <v>109</v>
      </c>
      <c r="B116" s="54" t="s">
        <v>257</v>
      </c>
      <c r="C116" s="55">
        <f>2.66+18</f>
        <v>20.66</v>
      </c>
      <c r="D116" s="56">
        <v>47</v>
      </c>
      <c r="E116" s="56">
        <f t="shared" si="2"/>
        <v>971.02</v>
      </c>
    </row>
    <row r="117" spans="1:5" x14ac:dyDescent="0.25">
      <c r="A117" s="53">
        <v>110</v>
      </c>
      <c r="B117" s="54" t="s">
        <v>256</v>
      </c>
      <c r="C117" s="55">
        <f>9.42-3.9+5.8</f>
        <v>11.32</v>
      </c>
      <c r="D117" s="56">
        <v>95</v>
      </c>
      <c r="E117" s="56">
        <f t="shared" si="2"/>
        <v>1075.4000000000001</v>
      </c>
    </row>
    <row r="118" spans="1:5" x14ac:dyDescent="0.25">
      <c r="A118" s="53">
        <v>111</v>
      </c>
      <c r="B118" s="54" t="s">
        <v>255</v>
      </c>
      <c r="C118" s="55">
        <f>23.46-3.9+7.2</f>
        <v>26.76</v>
      </c>
      <c r="D118" s="56">
        <v>98</v>
      </c>
      <c r="E118" s="56">
        <f t="shared" si="2"/>
        <v>2622.48</v>
      </c>
    </row>
    <row r="119" spans="1:5" x14ac:dyDescent="0.25">
      <c r="A119" s="53">
        <v>112</v>
      </c>
      <c r="B119" s="54" t="s">
        <v>254</v>
      </c>
      <c r="C119" s="55">
        <v>5.32</v>
      </c>
      <c r="D119" s="56">
        <v>125</v>
      </c>
      <c r="E119" s="56">
        <f t="shared" si="2"/>
        <v>665</v>
      </c>
    </row>
    <row r="120" spans="1:5" x14ac:dyDescent="0.25">
      <c r="A120" s="53">
        <v>113</v>
      </c>
      <c r="B120" s="54" t="s">
        <v>253</v>
      </c>
      <c r="C120" s="55">
        <v>9.52</v>
      </c>
      <c r="D120" s="56">
        <v>145</v>
      </c>
      <c r="E120" s="56">
        <f t="shared" si="2"/>
        <v>1380.3999999999999</v>
      </c>
    </row>
    <row r="121" spans="1:5" x14ac:dyDescent="0.25">
      <c r="A121" s="53">
        <v>114</v>
      </c>
      <c r="B121" s="54" t="s">
        <v>252</v>
      </c>
      <c r="C121" s="55">
        <f>11.94-3.9</f>
        <v>8.0399999999999991</v>
      </c>
      <c r="D121" s="56">
        <v>170</v>
      </c>
      <c r="E121" s="56">
        <f t="shared" si="2"/>
        <v>1366.8</v>
      </c>
    </row>
    <row r="122" spans="1:5" x14ac:dyDescent="0.25">
      <c r="A122" s="53">
        <v>115</v>
      </c>
      <c r="B122" s="54" t="s">
        <v>251</v>
      </c>
      <c r="C122" s="55">
        <f>14.8-2.2+63.7+578.9</f>
        <v>655.20000000000005</v>
      </c>
      <c r="D122" s="56">
        <v>112</v>
      </c>
      <c r="E122" s="56">
        <f t="shared" si="2"/>
        <v>73382.400000000009</v>
      </c>
    </row>
    <row r="123" spans="1:5" x14ac:dyDescent="0.25">
      <c r="A123" s="53">
        <v>116</v>
      </c>
      <c r="B123" s="54" t="s">
        <v>250</v>
      </c>
      <c r="C123" s="55">
        <f>1.04+180.4</f>
        <v>181.44</v>
      </c>
      <c r="D123" s="56">
        <v>114</v>
      </c>
      <c r="E123" s="56">
        <f t="shared" si="2"/>
        <v>20684.16</v>
      </c>
    </row>
    <row r="124" spans="1:5" x14ac:dyDescent="0.25">
      <c r="A124" s="53">
        <v>117</v>
      </c>
      <c r="B124" s="54" t="s">
        <v>249</v>
      </c>
      <c r="C124" s="55">
        <f>12.5+18.82+7.5</f>
        <v>38.82</v>
      </c>
      <c r="D124" s="56">
        <v>70</v>
      </c>
      <c r="E124" s="56">
        <f t="shared" si="2"/>
        <v>2717.4</v>
      </c>
    </row>
    <row r="125" spans="1:5" x14ac:dyDescent="0.25">
      <c r="A125" s="53">
        <v>118</v>
      </c>
      <c r="B125" s="54" t="s">
        <v>248</v>
      </c>
      <c r="C125" s="55">
        <f>46.46-6.6+3.22+23.3+9.8+18.3+13.3+260+103+145.9+142.1+111.1+50.7+47.2+301.3+14.8</f>
        <v>1283.8800000000001</v>
      </c>
      <c r="D125" s="56">
        <v>190</v>
      </c>
      <c r="E125" s="56">
        <f t="shared" si="2"/>
        <v>243937.2</v>
      </c>
    </row>
    <row r="126" spans="1:5" x14ac:dyDescent="0.25">
      <c r="A126" s="53">
        <v>119</v>
      </c>
      <c r="B126" s="54" t="s">
        <v>247</v>
      </c>
      <c r="C126" s="55">
        <v>242.6</v>
      </c>
      <c r="D126" s="56">
        <v>177</v>
      </c>
      <c r="E126" s="56">
        <f t="shared" si="2"/>
        <v>42940.2</v>
      </c>
    </row>
    <row r="127" spans="1:5" x14ac:dyDescent="0.25">
      <c r="A127" s="53">
        <v>120</v>
      </c>
      <c r="B127" s="54" t="s">
        <v>246</v>
      </c>
      <c r="C127" s="55">
        <v>0</v>
      </c>
      <c r="D127" s="56">
        <v>190</v>
      </c>
      <c r="E127" s="56">
        <f t="shared" si="2"/>
        <v>0</v>
      </c>
    </row>
    <row r="128" spans="1:5" x14ac:dyDescent="0.25">
      <c r="A128" s="53">
        <v>121</v>
      </c>
      <c r="B128" s="54" t="s">
        <v>243</v>
      </c>
      <c r="C128" s="55">
        <v>0</v>
      </c>
      <c r="D128" s="56">
        <v>80</v>
      </c>
      <c r="E128" s="56">
        <f t="shared" si="2"/>
        <v>0</v>
      </c>
    </row>
    <row r="129" spans="1:5" x14ac:dyDescent="0.25">
      <c r="A129" s="53">
        <v>122</v>
      </c>
      <c r="B129" s="54" t="s">
        <v>242</v>
      </c>
      <c r="C129" s="55">
        <f>9.3-2.2+11.6+61.4</f>
        <v>80.099999999999994</v>
      </c>
      <c r="D129" s="56">
        <v>76</v>
      </c>
      <c r="E129" s="56">
        <f t="shared" si="2"/>
        <v>6087.5999999999995</v>
      </c>
    </row>
    <row r="130" spans="1:5" x14ac:dyDescent="0.25">
      <c r="A130" s="53">
        <v>123</v>
      </c>
      <c r="B130" s="54" t="s">
        <v>240</v>
      </c>
      <c r="C130" s="55">
        <v>0</v>
      </c>
      <c r="D130" s="56">
        <v>59</v>
      </c>
      <c r="E130" s="56">
        <f t="shared" si="2"/>
        <v>0</v>
      </c>
    </row>
    <row r="131" spans="1:5" x14ac:dyDescent="0.25">
      <c r="A131" s="53">
        <v>124</v>
      </c>
      <c r="B131" s="54" t="s">
        <v>239</v>
      </c>
      <c r="C131" s="55">
        <f>21.44+2.6-2.2</f>
        <v>21.840000000000003</v>
      </c>
      <c r="D131" s="56">
        <v>148</v>
      </c>
      <c r="E131" s="56">
        <f t="shared" si="2"/>
        <v>3232.3200000000006</v>
      </c>
    </row>
    <row r="132" spans="1:5" x14ac:dyDescent="0.25">
      <c r="A132" s="53">
        <v>125</v>
      </c>
      <c r="B132" s="54" t="s">
        <v>238</v>
      </c>
      <c r="C132" s="55">
        <v>15.9</v>
      </c>
      <c r="D132" s="56">
        <v>110</v>
      </c>
      <c r="E132" s="56">
        <f t="shared" si="2"/>
        <v>1749</v>
      </c>
    </row>
    <row r="133" spans="1:5" x14ac:dyDescent="0.25">
      <c r="A133" s="53">
        <v>126</v>
      </c>
      <c r="B133" s="54" t="s">
        <v>236</v>
      </c>
      <c r="C133" s="55">
        <f>3.8+10.86-2.2+10.86-2.2</f>
        <v>21.12</v>
      </c>
      <c r="D133" s="56">
        <v>173</v>
      </c>
      <c r="E133" s="56">
        <f t="shared" si="2"/>
        <v>3653.76</v>
      </c>
    </row>
    <row r="134" spans="1:5" x14ac:dyDescent="0.25">
      <c r="A134" s="53">
        <v>127</v>
      </c>
      <c r="B134" s="54" t="s">
        <v>237</v>
      </c>
      <c r="C134" s="55">
        <v>0</v>
      </c>
      <c r="D134" s="56">
        <v>130</v>
      </c>
      <c r="E134" s="56">
        <f t="shared" si="2"/>
        <v>0</v>
      </c>
    </row>
    <row r="135" spans="1:5" ht="15.75" thickBot="1" x14ac:dyDescent="0.3">
      <c r="A135" s="53"/>
      <c r="B135" s="57" t="s">
        <v>17</v>
      </c>
      <c r="C135" s="15">
        <f>SUM(C91:C134)</f>
        <v>4791.7614000000012</v>
      </c>
      <c r="D135" s="38"/>
      <c r="E135" s="36">
        <f>SUM(E91:E134)</f>
        <v>580707.08639999991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128</v>
      </c>
      <c r="B137" s="54" t="s">
        <v>275</v>
      </c>
      <c r="C137" s="55">
        <v>6.3</v>
      </c>
      <c r="D137" s="56">
        <v>92</v>
      </c>
      <c r="E137" s="56">
        <f>D137*C137</f>
        <v>579.6</v>
      </c>
    </row>
    <row r="138" spans="1:5" x14ac:dyDescent="0.25">
      <c r="A138" s="53">
        <v>129</v>
      </c>
      <c r="B138" s="54" t="s">
        <v>235</v>
      </c>
      <c r="C138" s="55">
        <f>12.06+1.74+14.6+306.4</f>
        <v>334.79999999999995</v>
      </c>
      <c r="D138" s="56">
        <v>132</v>
      </c>
      <c r="E138" s="56">
        <f t="shared" ref="E138:E180" si="3">D138*C138</f>
        <v>44193.599999999991</v>
      </c>
    </row>
    <row r="139" spans="1:5" x14ac:dyDescent="0.25">
      <c r="A139" s="53">
        <v>130</v>
      </c>
      <c r="B139" s="54" t="s">
        <v>233</v>
      </c>
      <c r="C139" s="55">
        <f>2.2+99.01</f>
        <v>101.21000000000001</v>
      </c>
      <c r="D139" s="56">
        <v>164</v>
      </c>
      <c r="E139" s="56">
        <f t="shared" si="3"/>
        <v>16598.440000000002</v>
      </c>
    </row>
    <row r="140" spans="1:5" x14ac:dyDescent="0.25">
      <c r="A140" s="53">
        <v>131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132</v>
      </c>
      <c r="B141" s="54" t="s">
        <v>231</v>
      </c>
      <c r="C141" s="55">
        <f>120.64</f>
        <v>120.64</v>
      </c>
      <c r="D141" s="56">
        <v>105</v>
      </c>
      <c r="E141" s="56">
        <f t="shared" si="3"/>
        <v>12667.2</v>
      </c>
    </row>
    <row r="142" spans="1:5" x14ac:dyDescent="0.25">
      <c r="A142" s="53">
        <v>133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134</v>
      </c>
      <c r="B143" s="54" t="s">
        <v>229</v>
      </c>
      <c r="C143" s="60">
        <v>1.5820000000000001</v>
      </c>
      <c r="D143" s="56">
        <v>900</v>
      </c>
      <c r="E143" s="56">
        <f t="shared" si="3"/>
        <v>1423.8</v>
      </c>
    </row>
    <row r="144" spans="1:5" x14ac:dyDescent="0.25">
      <c r="A144" s="53">
        <v>135</v>
      </c>
      <c r="B144" s="54" t="s">
        <v>368</v>
      </c>
      <c r="C144" s="55">
        <f>18.48+13.52-4.4+69.5</f>
        <v>97.1</v>
      </c>
      <c r="D144" s="56">
        <v>85</v>
      </c>
      <c r="E144" s="56">
        <f t="shared" si="3"/>
        <v>8253.5</v>
      </c>
    </row>
    <row r="145" spans="1:5" x14ac:dyDescent="0.25">
      <c r="A145" s="53">
        <v>136</v>
      </c>
      <c r="B145" s="43" t="s">
        <v>227</v>
      </c>
      <c r="C145" s="55">
        <v>15.1</v>
      </c>
      <c r="D145" s="56">
        <v>84</v>
      </c>
      <c r="E145" s="56">
        <f t="shared" si="3"/>
        <v>1268.3999999999999</v>
      </c>
    </row>
    <row r="146" spans="1:5" x14ac:dyDescent="0.25">
      <c r="A146" s="53">
        <v>137</v>
      </c>
      <c r="B146" s="54" t="s">
        <v>21</v>
      </c>
      <c r="C146" s="55">
        <f>6.67+3.362+40.78</f>
        <v>50.811999999999998</v>
      </c>
      <c r="D146" s="56">
        <v>600</v>
      </c>
      <c r="E146" s="56">
        <f t="shared" si="3"/>
        <v>30487.199999999997</v>
      </c>
    </row>
    <row r="147" spans="1:5" x14ac:dyDescent="0.25">
      <c r="A147" s="53">
        <v>138</v>
      </c>
      <c r="B147" s="54" t="s">
        <v>224</v>
      </c>
      <c r="C147" s="55">
        <f>11.56-2.2+3.18</f>
        <v>12.54</v>
      </c>
      <c r="D147" s="56">
        <v>190</v>
      </c>
      <c r="E147" s="56">
        <f t="shared" si="3"/>
        <v>2382.6</v>
      </c>
    </row>
    <row r="148" spans="1:5" x14ac:dyDescent="0.25">
      <c r="A148" s="53">
        <v>139</v>
      </c>
      <c r="B148" s="54" t="s">
        <v>22</v>
      </c>
      <c r="C148" s="55">
        <v>176.2</v>
      </c>
      <c r="D148" s="56">
        <v>136</v>
      </c>
      <c r="E148" s="56">
        <f t="shared" si="3"/>
        <v>23963.199999999997</v>
      </c>
    </row>
    <row r="149" spans="1:5" x14ac:dyDescent="0.25">
      <c r="A149" s="53">
        <v>140</v>
      </c>
      <c r="B149" s="54" t="s">
        <v>223</v>
      </c>
      <c r="C149" s="55">
        <f>8.5+4.92121+32.4</f>
        <v>45.821210000000001</v>
      </c>
      <c r="D149" s="56">
        <v>55</v>
      </c>
      <c r="E149" s="56">
        <f t="shared" si="3"/>
        <v>2520.1665499999999</v>
      </c>
    </row>
    <row r="150" spans="1:5" x14ac:dyDescent="0.25">
      <c r="A150" s="53">
        <v>141</v>
      </c>
      <c r="B150" s="54" t="s">
        <v>23</v>
      </c>
      <c r="C150" s="55">
        <f>7.155+11.92+21.8</f>
        <v>40.875</v>
      </c>
      <c r="D150" s="56">
        <v>600</v>
      </c>
      <c r="E150" s="56">
        <f t="shared" si="3"/>
        <v>24525</v>
      </c>
    </row>
    <row r="151" spans="1:5" x14ac:dyDescent="0.25">
      <c r="A151" s="53">
        <v>142</v>
      </c>
      <c r="B151" s="54" t="s">
        <v>222</v>
      </c>
      <c r="C151" s="55">
        <v>253.1</v>
      </c>
      <c r="D151" s="56">
        <v>116</v>
      </c>
      <c r="E151" s="56">
        <f t="shared" si="3"/>
        <v>29359.599999999999</v>
      </c>
    </row>
    <row r="152" spans="1:5" x14ac:dyDescent="0.25">
      <c r="A152" s="53">
        <v>143</v>
      </c>
      <c r="B152" s="54" t="s">
        <v>221</v>
      </c>
      <c r="C152" s="55">
        <v>0.22</v>
      </c>
      <c r="D152" s="56">
        <v>290</v>
      </c>
      <c r="E152" s="56">
        <f t="shared" si="3"/>
        <v>63.8</v>
      </c>
    </row>
    <row r="153" spans="1:5" x14ac:dyDescent="0.25">
      <c r="A153" s="53">
        <v>144</v>
      </c>
      <c r="B153" s="54" t="s">
        <v>274</v>
      </c>
      <c r="C153" s="55">
        <v>0</v>
      </c>
      <c r="D153" s="56">
        <v>102</v>
      </c>
      <c r="E153" s="56">
        <f t="shared" si="3"/>
        <v>0</v>
      </c>
    </row>
    <row r="154" spans="1:5" x14ac:dyDescent="0.25">
      <c r="A154" s="53">
        <v>145</v>
      </c>
      <c r="B154" s="54" t="s">
        <v>324</v>
      </c>
      <c r="C154" s="55">
        <v>0</v>
      </c>
      <c r="D154" s="56">
        <v>140</v>
      </c>
      <c r="E154" s="56">
        <f t="shared" si="3"/>
        <v>0</v>
      </c>
    </row>
    <row r="155" spans="1:5" x14ac:dyDescent="0.25">
      <c r="A155" s="53">
        <v>146</v>
      </c>
      <c r="B155" s="54" t="s">
        <v>219</v>
      </c>
      <c r="C155" s="55">
        <f>6.6+35.5+164</f>
        <v>206.1</v>
      </c>
      <c r="D155" s="56">
        <v>95</v>
      </c>
      <c r="E155" s="56">
        <f t="shared" si="3"/>
        <v>19579.5</v>
      </c>
    </row>
    <row r="156" spans="1:5" x14ac:dyDescent="0.25">
      <c r="A156" s="53">
        <v>147</v>
      </c>
      <c r="B156" s="54" t="s">
        <v>218</v>
      </c>
      <c r="C156" s="55">
        <v>10.74</v>
      </c>
      <c r="D156" s="56">
        <v>147</v>
      </c>
      <c r="E156" s="56">
        <f t="shared" si="3"/>
        <v>1578.78</v>
      </c>
    </row>
    <row r="157" spans="1:5" x14ac:dyDescent="0.25">
      <c r="A157" s="53">
        <v>148</v>
      </c>
      <c r="B157" s="54" t="s">
        <v>358</v>
      </c>
      <c r="C157" s="55">
        <f>3.46+10.26-3.9</f>
        <v>9.8199999999999985</v>
      </c>
      <c r="D157" s="56">
        <v>134</v>
      </c>
      <c r="E157" s="56">
        <f t="shared" si="3"/>
        <v>1315.8799999999999</v>
      </c>
    </row>
    <row r="158" spans="1:5" x14ac:dyDescent="0.25">
      <c r="A158" s="53">
        <v>149</v>
      </c>
      <c r="B158" s="54" t="s">
        <v>216</v>
      </c>
      <c r="C158" s="55">
        <f>37.22-4.4+16.8</f>
        <v>49.620000000000005</v>
      </c>
      <c r="D158" s="56">
        <v>96</v>
      </c>
      <c r="E158" s="56">
        <f t="shared" si="3"/>
        <v>4763.5200000000004</v>
      </c>
    </row>
    <row r="159" spans="1:5" x14ac:dyDescent="0.25">
      <c r="A159" s="53">
        <v>150</v>
      </c>
      <c r="B159" s="54" t="s">
        <v>215</v>
      </c>
      <c r="C159" s="55">
        <v>399</v>
      </c>
      <c r="D159" s="56">
        <v>88</v>
      </c>
      <c r="E159" s="56">
        <f t="shared" si="3"/>
        <v>35112</v>
      </c>
    </row>
    <row r="160" spans="1:5" x14ac:dyDescent="0.25">
      <c r="A160" s="53">
        <v>151</v>
      </c>
      <c r="B160" s="54" t="s">
        <v>214</v>
      </c>
      <c r="C160" s="55">
        <f>20.6+56.9</f>
        <v>77.5</v>
      </c>
      <c r="D160" s="56">
        <v>80</v>
      </c>
      <c r="E160" s="56">
        <f t="shared" si="3"/>
        <v>6200</v>
      </c>
    </row>
    <row r="161" spans="1:5" x14ac:dyDescent="0.25">
      <c r="A161" s="53">
        <v>152</v>
      </c>
      <c r="B161" s="54" t="s">
        <v>213</v>
      </c>
      <c r="C161" s="55">
        <f>13.78+10.98-2.2+19.22-3.9+8.82-3.9</f>
        <v>42.800000000000004</v>
      </c>
      <c r="D161" s="56">
        <v>170</v>
      </c>
      <c r="E161" s="56">
        <f t="shared" si="3"/>
        <v>7276.0000000000009</v>
      </c>
    </row>
    <row r="162" spans="1:5" x14ac:dyDescent="0.25">
      <c r="A162" s="53">
        <v>153</v>
      </c>
      <c r="B162" s="54" t="s">
        <v>212</v>
      </c>
      <c r="C162" s="55">
        <v>130.1</v>
      </c>
      <c r="D162" s="56">
        <v>94</v>
      </c>
      <c r="E162" s="56">
        <f t="shared" si="3"/>
        <v>12229.4</v>
      </c>
    </row>
    <row r="163" spans="1:5" x14ac:dyDescent="0.25">
      <c r="A163" s="53">
        <v>154</v>
      </c>
      <c r="B163" s="54" t="s">
        <v>211</v>
      </c>
      <c r="C163" s="55">
        <v>0</v>
      </c>
      <c r="D163" s="56">
        <v>100</v>
      </c>
      <c r="E163" s="56">
        <f t="shared" si="3"/>
        <v>0</v>
      </c>
    </row>
    <row r="164" spans="1:5" x14ac:dyDescent="0.25">
      <c r="A164" s="53">
        <v>155</v>
      </c>
      <c r="B164" s="54" t="s">
        <v>210</v>
      </c>
      <c r="C164" s="55">
        <f>6.8-2.2+97.51+20.1+26.8</f>
        <v>149.01000000000002</v>
      </c>
      <c r="D164" s="56">
        <v>120</v>
      </c>
      <c r="E164" s="56">
        <f t="shared" si="3"/>
        <v>17881.2</v>
      </c>
    </row>
    <row r="165" spans="1:5" x14ac:dyDescent="0.25">
      <c r="A165" s="53">
        <v>156</v>
      </c>
      <c r="B165" s="54" t="s">
        <v>207</v>
      </c>
      <c r="C165" s="55">
        <v>117.4</v>
      </c>
      <c r="D165" s="56">
        <v>144</v>
      </c>
      <c r="E165" s="56">
        <f t="shared" si="3"/>
        <v>16905.600000000002</v>
      </c>
    </row>
    <row r="166" spans="1:5" x14ac:dyDescent="0.25">
      <c r="A166" s="53">
        <v>157</v>
      </c>
      <c r="B166" s="54" t="s">
        <v>209</v>
      </c>
      <c r="C166" s="55">
        <v>894.5</v>
      </c>
      <c r="D166" s="56">
        <v>70</v>
      </c>
      <c r="E166" s="56">
        <f t="shared" si="3"/>
        <v>62615</v>
      </c>
    </row>
    <row r="167" spans="1:5" x14ac:dyDescent="0.25">
      <c r="A167" s="53">
        <v>158</v>
      </c>
      <c r="B167" s="54" t="s">
        <v>206</v>
      </c>
      <c r="C167" s="55">
        <v>3.66</v>
      </c>
      <c r="D167" s="56">
        <v>185</v>
      </c>
      <c r="E167" s="56">
        <f t="shared" si="3"/>
        <v>677.1</v>
      </c>
    </row>
    <row r="168" spans="1:5" x14ac:dyDescent="0.25">
      <c r="A168" s="53">
        <v>159</v>
      </c>
      <c r="B168" s="54" t="s">
        <v>205</v>
      </c>
      <c r="C168" s="55">
        <v>65</v>
      </c>
      <c r="D168" s="56">
        <v>180</v>
      </c>
      <c r="E168" s="56">
        <f t="shared" si="3"/>
        <v>11700</v>
      </c>
    </row>
    <row r="169" spans="1:5" x14ac:dyDescent="0.25">
      <c r="A169" s="53">
        <v>160</v>
      </c>
      <c r="B169" s="54" t="s">
        <v>204</v>
      </c>
      <c r="C169" s="55">
        <v>0</v>
      </c>
      <c r="D169" s="56">
        <v>187</v>
      </c>
      <c r="E169" s="56">
        <f t="shared" si="3"/>
        <v>0</v>
      </c>
    </row>
    <row r="170" spans="1:5" x14ac:dyDescent="0.25">
      <c r="A170" s="53">
        <v>161</v>
      </c>
      <c r="B170" s="54" t="s">
        <v>203</v>
      </c>
      <c r="C170" s="55">
        <v>0</v>
      </c>
      <c r="D170" s="56">
        <v>80</v>
      </c>
      <c r="E170" s="56">
        <f t="shared" si="3"/>
        <v>0</v>
      </c>
    </row>
    <row r="171" spans="1:5" x14ac:dyDescent="0.25">
      <c r="A171" s="53">
        <v>162</v>
      </c>
      <c r="B171" s="54" t="s">
        <v>202</v>
      </c>
      <c r="C171" s="55">
        <f>11.8+4.58+3.34+4.414</f>
        <v>24.134</v>
      </c>
      <c r="D171" s="56">
        <v>64</v>
      </c>
      <c r="E171" s="56">
        <f t="shared" si="3"/>
        <v>1544.576</v>
      </c>
    </row>
    <row r="172" spans="1:5" x14ac:dyDescent="0.25">
      <c r="A172" s="53">
        <v>163</v>
      </c>
      <c r="B172" s="54" t="s">
        <v>345</v>
      </c>
      <c r="C172" s="55">
        <v>0</v>
      </c>
      <c r="D172" s="56">
        <v>72</v>
      </c>
      <c r="E172" s="56">
        <f t="shared" si="3"/>
        <v>0</v>
      </c>
    </row>
    <row r="173" spans="1:5" x14ac:dyDescent="0.25">
      <c r="A173" s="53">
        <v>164</v>
      </c>
      <c r="B173" s="54" t="s">
        <v>200</v>
      </c>
      <c r="C173" s="55">
        <f>1.34+7.56-2.2+4.08+21.6+50.2+11.8+24.1</f>
        <v>118.48000000000002</v>
      </c>
      <c r="D173" s="56">
        <v>120</v>
      </c>
      <c r="E173" s="56">
        <f t="shared" si="3"/>
        <v>14217.600000000002</v>
      </c>
    </row>
    <row r="174" spans="1:5" x14ac:dyDescent="0.25">
      <c r="A174" s="53">
        <v>165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166</v>
      </c>
      <c r="B175" s="54" t="s">
        <v>198</v>
      </c>
      <c r="C175" s="55">
        <f>83.5+275</f>
        <v>358.5</v>
      </c>
      <c r="D175" s="56">
        <v>58</v>
      </c>
      <c r="E175" s="56">
        <f t="shared" si="3"/>
        <v>20793</v>
      </c>
    </row>
    <row r="176" spans="1:5" x14ac:dyDescent="0.25">
      <c r="A176" s="53">
        <v>167</v>
      </c>
      <c r="B176" s="54" t="s">
        <v>197</v>
      </c>
      <c r="C176" s="55">
        <v>480.5</v>
      </c>
      <c r="D176" s="56">
        <v>30</v>
      </c>
      <c r="E176" s="56">
        <f t="shared" si="3"/>
        <v>14415</v>
      </c>
    </row>
    <row r="177" spans="1:5" x14ac:dyDescent="0.25">
      <c r="A177" s="53">
        <v>168</v>
      </c>
      <c r="B177" s="54" t="s">
        <v>196</v>
      </c>
      <c r="C177" s="55">
        <v>28</v>
      </c>
      <c r="D177" s="56">
        <v>32</v>
      </c>
      <c r="E177" s="56">
        <f t="shared" si="3"/>
        <v>896</v>
      </c>
    </row>
    <row r="178" spans="1:5" x14ac:dyDescent="0.25">
      <c r="A178" s="53">
        <v>169</v>
      </c>
      <c r="B178" s="54" t="s">
        <v>93</v>
      </c>
      <c r="C178" s="55">
        <f>6.8+3.76+1.745+17.04-2.2+74</f>
        <v>101.145</v>
      </c>
      <c r="D178" s="56">
        <v>45</v>
      </c>
      <c r="E178" s="56">
        <f t="shared" si="3"/>
        <v>4551.5249999999996</v>
      </c>
    </row>
    <row r="179" spans="1:5" x14ac:dyDescent="0.25">
      <c r="A179" s="53">
        <v>170</v>
      </c>
      <c r="B179" s="54" t="s">
        <v>92</v>
      </c>
      <c r="C179" s="55">
        <v>44.4</v>
      </c>
      <c r="D179" s="56">
        <v>95</v>
      </c>
      <c r="E179" s="56">
        <f t="shared" si="3"/>
        <v>4218</v>
      </c>
    </row>
    <row r="180" spans="1:5" x14ac:dyDescent="0.25">
      <c r="A180" s="53">
        <v>171</v>
      </c>
      <c r="B180" s="54" t="s">
        <v>91</v>
      </c>
      <c r="C180" s="55">
        <v>13</v>
      </c>
      <c r="D180" s="56">
        <v>420</v>
      </c>
      <c r="E180" s="56">
        <f t="shared" si="3"/>
        <v>5460</v>
      </c>
    </row>
    <row r="181" spans="1:5" ht="15.75" thickBot="1" x14ac:dyDescent="0.3">
      <c r="A181" s="53"/>
      <c r="B181" s="57" t="s">
        <v>17</v>
      </c>
      <c r="C181" s="15">
        <f>SUM(C137:C180)</f>
        <v>4579.70921</v>
      </c>
      <c r="D181" s="15"/>
      <c r="E181" s="36">
        <f>SUM(E137:E180)</f>
        <v>462215.78754999995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172</v>
      </c>
      <c r="B183" s="54" t="s">
        <v>90</v>
      </c>
      <c r="C183" s="55">
        <f>31.42-2.2+45</f>
        <v>74.22</v>
      </c>
      <c r="D183" s="56">
        <v>195</v>
      </c>
      <c r="E183" s="56">
        <f>D183*C183</f>
        <v>14472.9</v>
      </c>
    </row>
    <row r="184" spans="1:5" x14ac:dyDescent="0.25">
      <c r="A184" s="53">
        <v>173</v>
      </c>
      <c r="B184" s="54" t="s">
        <v>290</v>
      </c>
      <c r="C184" s="55">
        <v>217.56</v>
      </c>
      <c r="D184" s="56">
        <v>74</v>
      </c>
      <c r="E184" s="56">
        <f t="shared" ref="E184:E222" si="4">D184*C184</f>
        <v>16099.44</v>
      </c>
    </row>
    <row r="185" spans="1:5" x14ac:dyDescent="0.25">
      <c r="A185" s="53">
        <v>174</v>
      </c>
      <c r="B185" s="54" t="s">
        <v>88</v>
      </c>
      <c r="C185" s="55">
        <f>23.35-2.2+1.98+1.1+60.06+31</f>
        <v>115.29</v>
      </c>
      <c r="D185" s="56">
        <v>50</v>
      </c>
      <c r="E185" s="56">
        <f t="shared" si="4"/>
        <v>5764.5</v>
      </c>
    </row>
    <row r="186" spans="1:5" x14ac:dyDescent="0.25">
      <c r="A186" s="53">
        <v>175</v>
      </c>
      <c r="B186" s="54" t="s">
        <v>87</v>
      </c>
      <c r="C186" s="55">
        <v>22.5</v>
      </c>
      <c r="D186" s="56">
        <v>130</v>
      </c>
      <c r="E186" s="56">
        <f t="shared" si="4"/>
        <v>2925</v>
      </c>
    </row>
    <row r="187" spans="1:5" x14ac:dyDescent="0.25">
      <c r="A187" s="53">
        <v>176</v>
      </c>
      <c r="B187" s="54" t="s">
        <v>86</v>
      </c>
      <c r="C187" s="55">
        <v>64</v>
      </c>
      <c r="D187" s="56">
        <v>120</v>
      </c>
      <c r="E187" s="56">
        <f t="shared" si="4"/>
        <v>7680</v>
      </c>
    </row>
    <row r="188" spans="1:5" x14ac:dyDescent="0.25">
      <c r="A188" s="53">
        <v>177</v>
      </c>
      <c r="B188" s="54" t="s">
        <v>85</v>
      </c>
      <c r="C188" s="55">
        <v>170</v>
      </c>
      <c r="D188" s="56">
        <v>105</v>
      </c>
      <c r="E188" s="56">
        <f t="shared" si="4"/>
        <v>17850</v>
      </c>
    </row>
    <row r="189" spans="1:5" x14ac:dyDescent="0.25">
      <c r="A189" s="53">
        <v>178</v>
      </c>
      <c r="B189" s="54" t="s">
        <v>84</v>
      </c>
      <c r="C189" s="55">
        <v>7.72</v>
      </c>
      <c r="D189" s="56">
        <v>75</v>
      </c>
      <c r="E189" s="56">
        <f t="shared" si="4"/>
        <v>579</v>
      </c>
    </row>
    <row r="190" spans="1:5" x14ac:dyDescent="0.25">
      <c r="A190" s="53">
        <v>179</v>
      </c>
      <c r="B190" s="54" t="s">
        <v>83</v>
      </c>
      <c r="C190" s="55">
        <f>18.82-2.2+140.36</f>
        <v>156.98000000000002</v>
      </c>
      <c r="D190" s="56">
        <v>105</v>
      </c>
      <c r="E190" s="56">
        <f t="shared" si="4"/>
        <v>16482.900000000001</v>
      </c>
    </row>
    <row r="191" spans="1:5" x14ac:dyDescent="0.25">
      <c r="A191" s="53">
        <v>180</v>
      </c>
      <c r="B191" s="54" t="s">
        <v>82</v>
      </c>
      <c r="C191" s="55">
        <v>10</v>
      </c>
      <c r="D191" s="56">
        <v>93</v>
      </c>
      <c r="E191" s="56">
        <f t="shared" si="4"/>
        <v>930</v>
      </c>
    </row>
    <row r="192" spans="1:5" x14ac:dyDescent="0.25">
      <c r="A192" s="53">
        <v>181</v>
      </c>
      <c r="B192" s="54" t="s">
        <v>81</v>
      </c>
      <c r="C192" s="55">
        <v>6</v>
      </c>
      <c r="D192" s="56">
        <v>75</v>
      </c>
      <c r="E192" s="56">
        <f t="shared" si="4"/>
        <v>450</v>
      </c>
    </row>
    <row r="193" spans="1:5" x14ac:dyDescent="0.25">
      <c r="A193" s="53">
        <v>182</v>
      </c>
      <c r="B193" s="54" t="s">
        <v>80</v>
      </c>
      <c r="C193" s="55">
        <v>0</v>
      </c>
      <c r="D193" s="56">
        <v>65</v>
      </c>
      <c r="E193" s="56">
        <f t="shared" si="4"/>
        <v>0</v>
      </c>
    </row>
    <row r="194" spans="1:5" x14ac:dyDescent="0.25">
      <c r="A194" s="53">
        <v>183</v>
      </c>
      <c r="B194" s="54" t="s">
        <v>279</v>
      </c>
      <c r="C194" s="55">
        <v>0</v>
      </c>
      <c r="D194" s="56">
        <v>36</v>
      </c>
      <c r="E194" s="56">
        <f t="shared" si="4"/>
        <v>0</v>
      </c>
    </row>
    <row r="195" spans="1:5" x14ac:dyDescent="0.25">
      <c r="A195" s="53">
        <v>184</v>
      </c>
      <c r="B195" s="54" t="s">
        <v>97</v>
      </c>
      <c r="C195" s="55">
        <f>0.58+3.83</f>
        <v>4.41</v>
      </c>
      <c r="D195" s="56">
        <v>80</v>
      </c>
      <c r="E195" s="56">
        <f t="shared" si="4"/>
        <v>352.8</v>
      </c>
    </row>
    <row r="196" spans="1:5" x14ac:dyDescent="0.25">
      <c r="A196" s="53">
        <v>185</v>
      </c>
      <c r="B196" s="54" t="s">
        <v>78</v>
      </c>
      <c r="C196" s="55">
        <f>30+8+2.59</f>
        <v>40.590000000000003</v>
      </c>
      <c r="D196" s="56">
        <v>58</v>
      </c>
      <c r="E196" s="56">
        <f t="shared" si="4"/>
        <v>2354.2200000000003</v>
      </c>
    </row>
    <row r="197" spans="1:5" x14ac:dyDescent="0.25">
      <c r="A197" s="53">
        <v>186</v>
      </c>
      <c r="B197" s="54" t="s">
        <v>76</v>
      </c>
      <c r="C197" s="55">
        <v>11</v>
      </c>
      <c r="D197" s="56">
        <v>36</v>
      </c>
      <c r="E197" s="56">
        <f t="shared" si="4"/>
        <v>396</v>
      </c>
    </row>
    <row r="198" spans="1:5" x14ac:dyDescent="0.25">
      <c r="A198" s="53">
        <v>187</v>
      </c>
      <c r="B198" s="54" t="s">
        <v>19</v>
      </c>
      <c r="C198" s="55">
        <v>16</v>
      </c>
      <c r="D198" s="56">
        <v>115</v>
      </c>
      <c r="E198" s="56">
        <f t="shared" si="4"/>
        <v>1840</v>
      </c>
    </row>
    <row r="199" spans="1:5" ht="17.25" customHeight="1" x14ac:dyDescent="0.25">
      <c r="A199" s="53">
        <v>188</v>
      </c>
      <c r="B199" s="54" t="s">
        <v>74</v>
      </c>
      <c r="C199" s="55">
        <v>9</v>
      </c>
      <c r="D199" s="56">
        <v>40</v>
      </c>
      <c r="E199" s="56">
        <f t="shared" si="4"/>
        <v>360</v>
      </c>
    </row>
    <row r="200" spans="1:5" ht="17.25" customHeight="1" x14ac:dyDescent="0.25">
      <c r="A200" s="53">
        <v>189</v>
      </c>
      <c r="B200" s="54" t="s">
        <v>71</v>
      </c>
      <c r="C200" s="55">
        <v>8</v>
      </c>
      <c r="D200" s="56">
        <v>35</v>
      </c>
      <c r="E200" s="56">
        <f t="shared" si="4"/>
        <v>280</v>
      </c>
    </row>
    <row r="201" spans="1:5" ht="17.25" customHeight="1" x14ac:dyDescent="0.25">
      <c r="A201" s="53">
        <v>190</v>
      </c>
      <c r="B201" s="54" t="s">
        <v>72</v>
      </c>
      <c r="C201" s="55">
        <v>3.15</v>
      </c>
      <c r="D201" s="56">
        <v>370</v>
      </c>
      <c r="E201" s="56">
        <f t="shared" si="4"/>
        <v>1165.5</v>
      </c>
    </row>
    <row r="202" spans="1:5" ht="17.25" customHeight="1" x14ac:dyDescent="0.25">
      <c r="A202" s="53">
        <v>191</v>
      </c>
      <c r="B202" s="54" t="s">
        <v>70</v>
      </c>
      <c r="C202" s="55">
        <v>3.6</v>
      </c>
      <c r="D202" s="56">
        <v>280</v>
      </c>
      <c r="E202" s="56">
        <f t="shared" si="4"/>
        <v>1008</v>
      </c>
    </row>
    <row r="203" spans="1:5" ht="17.25" customHeight="1" x14ac:dyDescent="0.25">
      <c r="A203" s="53">
        <v>192</v>
      </c>
      <c r="B203" s="54" t="s">
        <v>69</v>
      </c>
      <c r="C203" s="55">
        <v>0</v>
      </c>
      <c r="D203" s="56">
        <v>475</v>
      </c>
      <c r="E203" s="56">
        <f t="shared" si="4"/>
        <v>0</v>
      </c>
    </row>
    <row r="204" spans="1:5" ht="17.25" customHeight="1" x14ac:dyDescent="0.25">
      <c r="A204" s="53">
        <v>193</v>
      </c>
      <c r="B204" s="54" t="s">
        <v>332</v>
      </c>
      <c r="C204" s="55">
        <v>0.5</v>
      </c>
      <c r="D204" s="56">
        <v>245</v>
      </c>
      <c r="E204" s="56">
        <f t="shared" si="4"/>
        <v>122.5</v>
      </c>
    </row>
    <row r="205" spans="1:5" ht="17.25" customHeight="1" x14ac:dyDescent="0.25">
      <c r="A205" s="53">
        <v>194</v>
      </c>
      <c r="B205" s="54" t="s">
        <v>67</v>
      </c>
      <c r="C205" s="55">
        <v>24</v>
      </c>
      <c r="D205" s="56">
        <v>27</v>
      </c>
      <c r="E205" s="56">
        <f t="shared" si="4"/>
        <v>648</v>
      </c>
    </row>
    <row r="206" spans="1:5" ht="17.25" customHeight="1" x14ac:dyDescent="0.25">
      <c r="A206" s="53">
        <v>195</v>
      </c>
      <c r="B206" s="54" t="s">
        <v>66</v>
      </c>
      <c r="C206" s="55">
        <v>0</v>
      </c>
      <c r="D206" s="56">
        <v>125</v>
      </c>
      <c r="E206" s="56">
        <f t="shared" si="4"/>
        <v>0</v>
      </c>
    </row>
    <row r="207" spans="1:5" ht="17.25" customHeight="1" x14ac:dyDescent="0.25">
      <c r="A207" s="53">
        <v>196</v>
      </c>
      <c r="B207" s="54" t="s">
        <v>65</v>
      </c>
      <c r="C207" s="55">
        <v>5</v>
      </c>
      <c r="D207" s="56">
        <v>52</v>
      </c>
      <c r="E207" s="56">
        <f t="shared" si="4"/>
        <v>260</v>
      </c>
    </row>
    <row r="208" spans="1:5" ht="17.25" customHeight="1" x14ac:dyDescent="0.25">
      <c r="A208" s="53">
        <v>197</v>
      </c>
      <c r="B208" s="54" t="s">
        <v>64</v>
      </c>
      <c r="C208" s="55">
        <v>15</v>
      </c>
      <c r="D208" s="56">
        <v>65</v>
      </c>
      <c r="E208" s="56">
        <f t="shared" si="4"/>
        <v>975</v>
      </c>
    </row>
    <row r="209" spans="1:5" ht="17.25" customHeight="1" x14ac:dyDescent="0.25">
      <c r="A209" s="53">
        <v>198</v>
      </c>
      <c r="B209" s="54" t="s">
        <v>63</v>
      </c>
      <c r="C209" s="55">
        <v>3.5</v>
      </c>
      <c r="D209" s="56">
        <v>315</v>
      </c>
      <c r="E209" s="56">
        <f t="shared" si="4"/>
        <v>1102.5</v>
      </c>
    </row>
    <row r="210" spans="1:5" ht="17.25" customHeight="1" x14ac:dyDescent="0.25">
      <c r="A210" s="53">
        <v>199</v>
      </c>
      <c r="B210" s="54" t="s">
        <v>62</v>
      </c>
      <c r="C210" s="55">
        <v>0</v>
      </c>
      <c r="D210" s="56">
        <v>18</v>
      </c>
      <c r="E210" s="56">
        <f t="shared" si="4"/>
        <v>0</v>
      </c>
    </row>
    <row r="211" spans="1:5" ht="17.25" customHeight="1" x14ac:dyDescent="0.25">
      <c r="A211" s="53">
        <v>200</v>
      </c>
      <c r="B211" s="54" t="s">
        <v>60</v>
      </c>
      <c r="C211" s="55">
        <v>0</v>
      </c>
      <c r="D211" s="56">
        <v>177</v>
      </c>
      <c r="E211" s="56">
        <f t="shared" si="4"/>
        <v>0</v>
      </c>
    </row>
    <row r="212" spans="1:5" ht="17.25" customHeight="1" x14ac:dyDescent="0.25">
      <c r="A212" s="53">
        <v>201</v>
      </c>
      <c r="B212" s="54" t="s">
        <v>59</v>
      </c>
      <c r="C212" s="55">
        <v>0</v>
      </c>
      <c r="D212" s="56">
        <v>64</v>
      </c>
      <c r="E212" s="56">
        <f t="shared" si="4"/>
        <v>0</v>
      </c>
    </row>
    <row r="213" spans="1:5" ht="17.25" customHeight="1" x14ac:dyDescent="0.25">
      <c r="A213" s="53">
        <v>202</v>
      </c>
      <c r="B213" s="54" t="s">
        <v>58</v>
      </c>
      <c r="C213" s="55">
        <v>33</v>
      </c>
      <c r="D213" s="56">
        <v>145</v>
      </c>
      <c r="E213" s="56">
        <f t="shared" si="4"/>
        <v>4785</v>
      </c>
    </row>
    <row r="214" spans="1:5" ht="17.25" customHeight="1" x14ac:dyDescent="0.25">
      <c r="A214" s="53">
        <v>203</v>
      </c>
      <c r="B214" s="54" t="s">
        <v>57</v>
      </c>
      <c r="C214" s="55">
        <v>674</v>
      </c>
      <c r="D214" s="56">
        <v>58</v>
      </c>
      <c r="E214" s="56">
        <f t="shared" si="4"/>
        <v>39092</v>
      </c>
    </row>
    <row r="215" spans="1:5" ht="17.25" customHeight="1" x14ac:dyDescent="0.25">
      <c r="A215" s="53">
        <v>204</v>
      </c>
      <c r="B215" s="54" t="s">
        <v>56</v>
      </c>
      <c r="C215" s="60">
        <v>402.2</v>
      </c>
      <c r="D215" s="56">
        <v>177</v>
      </c>
      <c r="E215" s="56">
        <f t="shared" si="4"/>
        <v>71189.399999999994</v>
      </c>
    </row>
    <row r="216" spans="1:5" ht="17.25" customHeight="1" x14ac:dyDescent="0.25">
      <c r="A216" s="53">
        <v>205</v>
      </c>
      <c r="B216" s="54" t="s">
        <v>50</v>
      </c>
      <c r="C216" s="55">
        <f>14.44-2.2+1.142</f>
        <v>13.381999999999998</v>
      </c>
      <c r="D216" s="56">
        <v>160</v>
      </c>
      <c r="E216" s="56">
        <f t="shared" si="4"/>
        <v>2141.12</v>
      </c>
    </row>
    <row r="217" spans="1:5" ht="17.25" customHeight="1" x14ac:dyDescent="0.25">
      <c r="A217" s="53">
        <v>206</v>
      </c>
      <c r="B217" s="54" t="s">
        <v>49</v>
      </c>
      <c r="C217" s="55">
        <v>0</v>
      </c>
      <c r="D217" s="56">
        <v>78</v>
      </c>
      <c r="E217" s="56">
        <f t="shared" si="4"/>
        <v>0</v>
      </c>
    </row>
    <row r="218" spans="1:5" ht="17.25" customHeight="1" x14ac:dyDescent="0.25">
      <c r="A218" s="53">
        <v>207</v>
      </c>
      <c r="B218" s="54" t="s">
        <v>335</v>
      </c>
      <c r="C218" s="55">
        <f>9.64-3.9</f>
        <v>5.74</v>
      </c>
      <c r="D218" s="56">
        <v>96</v>
      </c>
      <c r="E218" s="56">
        <f t="shared" si="4"/>
        <v>551.04</v>
      </c>
    </row>
    <row r="219" spans="1:5" ht="17.25" customHeight="1" x14ac:dyDescent="0.25">
      <c r="A219" s="53">
        <v>208</v>
      </c>
      <c r="B219" s="54" t="s">
        <v>47</v>
      </c>
      <c r="C219" s="55">
        <v>0</v>
      </c>
      <c r="D219" s="56">
        <v>85</v>
      </c>
      <c r="E219" s="56">
        <f t="shared" si="4"/>
        <v>0</v>
      </c>
    </row>
    <row r="220" spans="1:5" ht="17.25" customHeight="1" x14ac:dyDescent="0.25">
      <c r="A220" s="53">
        <v>209</v>
      </c>
      <c r="B220" s="54" t="s">
        <v>46</v>
      </c>
      <c r="C220" s="55">
        <f>22+3+32+4</f>
        <v>61</v>
      </c>
      <c r="D220" s="56">
        <v>26</v>
      </c>
      <c r="E220" s="56">
        <f t="shared" si="4"/>
        <v>1586</v>
      </c>
    </row>
    <row r="221" spans="1:5" ht="17.25" customHeight="1" x14ac:dyDescent="0.25">
      <c r="A221" s="53">
        <v>210</v>
      </c>
      <c r="B221" s="54" t="s">
        <v>44</v>
      </c>
      <c r="C221" s="55">
        <f>4.34+2.6+3.3+75.7</f>
        <v>85.94</v>
      </c>
      <c r="D221" s="56">
        <v>105</v>
      </c>
      <c r="E221" s="56">
        <f t="shared" si="4"/>
        <v>9023.6999999999989</v>
      </c>
    </row>
    <row r="222" spans="1:5" ht="17.25" customHeight="1" x14ac:dyDescent="0.25">
      <c r="A222" s="53">
        <v>211</v>
      </c>
      <c r="B222" s="54" t="s">
        <v>43</v>
      </c>
      <c r="C222" s="55">
        <f>18.62-2.2+1.9+16.1</f>
        <v>34.42</v>
      </c>
      <c r="D222" s="56">
        <v>125</v>
      </c>
      <c r="E222" s="56">
        <f t="shared" si="4"/>
        <v>4302.5</v>
      </c>
    </row>
    <row r="223" spans="1:5" ht="15.75" thickBot="1" x14ac:dyDescent="0.3">
      <c r="A223" s="53"/>
      <c r="B223" s="57" t="s">
        <v>17</v>
      </c>
      <c r="C223" s="15">
        <f>SUM(C183:C222)</f>
        <v>2297.7019999999998</v>
      </c>
      <c r="D223" s="38"/>
      <c r="E223" s="36">
        <f>SUM(E183:E222)</f>
        <v>226769.02000000002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212</v>
      </c>
      <c r="B225" s="54" t="s">
        <v>347</v>
      </c>
      <c r="C225" s="55">
        <f>5.3+4.906</f>
        <v>10.206</v>
      </c>
      <c r="D225" s="56">
        <v>570</v>
      </c>
      <c r="E225" s="56">
        <f>D225*C225</f>
        <v>5817.42</v>
      </c>
    </row>
    <row r="226" spans="1:5" ht="17.25" customHeight="1" x14ac:dyDescent="0.25">
      <c r="A226" s="53">
        <v>213</v>
      </c>
      <c r="B226" s="54" t="s">
        <v>42</v>
      </c>
      <c r="C226" s="55">
        <v>28</v>
      </c>
      <c r="D226" s="56">
        <v>24</v>
      </c>
      <c r="E226" s="56">
        <f t="shared" ref="E226:E266" si="5">D226*C226</f>
        <v>672</v>
      </c>
    </row>
    <row r="227" spans="1:5" ht="17.25" customHeight="1" x14ac:dyDescent="0.25">
      <c r="A227" s="53">
        <v>214</v>
      </c>
      <c r="B227" s="54" t="s">
        <v>30</v>
      </c>
      <c r="C227" s="55">
        <v>2.74</v>
      </c>
      <c r="D227" s="56">
        <v>390</v>
      </c>
      <c r="E227" s="56">
        <f t="shared" si="5"/>
        <v>1068.6000000000001</v>
      </c>
    </row>
    <row r="228" spans="1:5" ht="17.25" customHeight="1" x14ac:dyDescent="0.25">
      <c r="A228" s="53">
        <v>215</v>
      </c>
      <c r="B228" s="54" t="s">
        <v>29</v>
      </c>
      <c r="C228" s="55">
        <v>8.4</v>
      </c>
      <c r="D228" s="56">
        <v>184</v>
      </c>
      <c r="E228" s="56">
        <f t="shared" si="5"/>
        <v>1545.6000000000001</v>
      </c>
    </row>
    <row r="229" spans="1:5" ht="17.25" customHeight="1" x14ac:dyDescent="0.25">
      <c r="A229" s="53">
        <v>216</v>
      </c>
      <c r="B229" s="54" t="s">
        <v>333</v>
      </c>
      <c r="C229" s="55">
        <f>5.58</f>
        <v>5.58</v>
      </c>
      <c r="D229" s="56">
        <v>220</v>
      </c>
      <c r="E229" s="56">
        <f t="shared" si="5"/>
        <v>1227.5999999999999</v>
      </c>
    </row>
    <row r="230" spans="1:5" ht="17.25" customHeight="1" x14ac:dyDescent="0.25">
      <c r="A230" s="53">
        <v>217</v>
      </c>
      <c r="B230" s="54" t="s">
        <v>98</v>
      </c>
      <c r="C230" s="55">
        <f>10.3+3</f>
        <v>13.3</v>
      </c>
      <c r="D230" s="56">
        <v>50</v>
      </c>
      <c r="E230" s="56">
        <f t="shared" si="5"/>
        <v>665</v>
      </c>
    </row>
    <row r="231" spans="1:5" ht="17.25" customHeight="1" x14ac:dyDescent="0.25">
      <c r="A231" s="53">
        <v>218</v>
      </c>
      <c r="B231" s="54" t="s">
        <v>99</v>
      </c>
      <c r="C231" s="55">
        <v>13.85</v>
      </c>
      <c r="D231" s="56">
        <v>47</v>
      </c>
      <c r="E231" s="56">
        <f t="shared" si="5"/>
        <v>650.94999999999993</v>
      </c>
    </row>
    <row r="232" spans="1:5" ht="17.25" customHeight="1" x14ac:dyDescent="0.25">
      <c r="A232" s="53">
        <v>219</v>
      </c>
      <c r="B232" s="54" t="s">
        <v>95</v>
      </c>
      <c r="C232" s="55">
        <v>1.5</v>
      </c>
      <c r="D232" s="56">
        <v>440</v>
      </c>
      <c r="E232" s="56">
        <f t="shared" si="5"/>
        <v>660</v>
      </c>
    </row>
    <row r="233" spans="1:5" s="63" customFormat="1" ht="17.25" customHeight="1" x14ac:dyDescent="0.25">
      <c r="A233" s="53">
        <v>220</v>
      </c>
      <c r="B233" s="61" t="s">
        <v>27</v>
      </c>
      <c r="C233" s="60">
        <f>10.58+6.4</f>
        <v>16.98</v>
      </c>
      <c r="D233" s="62">
        <v>72</v>
      </c>
      <c r="E233" s="56">
        <f t="shared" si="5"/>
        <v>1222.56</v>
      </c>
    </row>
    <row r="234" spans="1:5" s="63" customFormat="1" ht="17.25" customHeight="1" x14ac:dyDescent="0.25">
      <c r="A234" s="53">
        <v>221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222</v>
      </c>
      <c r="B235" s="54" t="s">
        <v>25</v>
      </c>
      <c r="C235" s="55">
        <f>48.3+13.75+31.2+9.835</f>
        <v>103.08500000000001</v>
      </c>
      <c r="D235" s="56">
        <v>140</v>
      </c>
      <c r="E235" s="56">
        <f t="shared" si="5"/>
        <v>14431.900000000001</v>
      </c>
    </row>
    <row r="236" spans="1:5" x14ac:dyDescent="0.25">
      <c r="A236" s="53">
        <v>223</v>
      </c>
      <c r="B236" s="54" t="s">
        <v>24</v>
      </c>
      <c r="C236" s="55">
        <f>0.86+3.48+0.954</f>
        <v>5.2939999999999996</v>
      </c>
      <c r="D236" s="56">
        <v>210</v>
      </c>
      <c r="E236" s="56">
        <f t="shared" si="5"/>
        <v>1111.74</v>
      </c>
    </row>
    <row r="237" spans="1:5" x14ac:dyDescent="0.25">
      <c r="A237" s="53">
        <v>224</v>
      </c>
      <c r="B237" s="54" t="s">
        <v>185</v>
      </c>
      <c r="C237" s="55">
        <v>9.3000000000000007</v>
      </c>
      <c r="D237" s="56">
        <v>10</v>
      </c>
      <c r="E237" s="56">
        <f t="shared" si="5"/>
        <v>93</v>
      </c>
    </row>
    <row r="238" spans="1:5" x14ac:dyDescent="0.25">
      <c r="A238" s="53">
        <v>225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226</v>
      </c>
      <c r="B239" s="54" t="s">
        <v>187</v>
      </c>
      <c r="C239" s="55">
        <f>22.44-2.2+30.8</f>
        <v>51.040000000000006</v>
      </c>
      <c r="D239" s="56">
        <v>350</v>
      </c>
      <c r="E239" s="56">
        <f t="shared" si="5"/>
        <v>17864.000000000004</v>
      </c>
    </row>
    <row r="240" spans="1:5" x14ac:dyDescent="0.25">
      <c r="A240" s="53">
        <v>227</v>
      </c>
      <c r="B240" s="54" t="s">
        <v>188</v>
      </c>
      <c r="C240" s="55">
        <v>21.1</v>
      </c>
      <c r="D240" s="56">
        <v>170</v>
      </c>
      <c r="E240" s="56">
        <f t="shared" si="5"/>
        <v>3587.0000000000005</v>
      </c>
    </row>
    <row r="241" spans="1:5" x14ac:dyDescent="0.25">
      <c r="A241" s="53">
        <v>228</v>
      </c>
      <c r="B241" s="54" t="s">
        <v>189</v>
      </c>
      <c r="C241" s="55">
        <f>3.24-0.35+19.4</f>
        <v>22.29</v>
      </c>
      <c r="D241" s="56">
        <v>745</v>
      </c>
      <c r="E241" s="56">
        <f t="shared" si="5"/>
        <v>16606.05</v>
      </c>
    </row>
    <row r="242" spans="1:5" x14ac:dyDescent="0.25">
      <c r="A242" s="53">
        <v>229</v>
      </c>
      <c r="B242" s="54" t="s">
        <v>190</v>
      </c>
      <c r="C242" s="55">
        <f>3.56+2.66</f>
        <v>6.2200000000000006</v>
      </c>
      <c r="D242" s="56">
        <v>180</v>
      </c>
      <c r="E242" s="56">
        <f t="shared" si="5"/>
        <v>1119.6000000000001</v>
      </c>
    </row>
    <row r="243" spans="1:5" x14ac:dyDescent="0.25">
      <c r="A243" s="53">
        <v>230</v>
      </c>
      <c r="B243" s="54" t="s">
        <v>191</v>
      </c>
      <c r="C243" s="55">
        <f>5.2-3.5+4.83</f>
        <v>6.53</v>
      </c>
      <c r="D243" s="56">
        <v>555</v>
      </c>
      <c r="E243" s="56">
        <f t="shared" si="5"/>
        <v>3624.15</v>
      </c>
    </row>
    <row r="244" spans="1:5" x14ac:dyDescent="0.25">
      <c r="A244" s="53">
        <v>231</v>
      </c>
      <c r="B244" s="54" t="s">
        <v>192</v>
      </c>
      <c r="C244" s="64">
        <f>8.28-0.35</f>
        <v>7.93</v>
      </c>
      <c r="D244" s="56">
        <v>587</v>
      </c>
      <c r="E244" s="56">
        <f t="shared" si="5"/>
        <v>4654.91</v>
      </c>
    </row>
    <row r="245" spans="1:5" x14ac:dyDescent="0.25">
      <c r="A245" s="53">
        <v>232</v>
      </c>
      <c r="B245" s="54" t="s">
        <v>193</v>
      </c>
      <c r="C245" s="55">
        <f>6.56-0.35+5.04</f>
        <v>11.25</v>
      </c>
      <c r="D245" s="56">
        <v>341</v>
      </c>
      <c r="E245" s="56">
        <f t="shared" si="5"/>
        <v>3836.25</v>
      </c>
    </row>
    <row r="246" spans="1:5" x14ac:dyDescent="0.25">
      <c r="A246" s="53">
        <v>233</v>
      </c>
      <c r="B246" s="54" t="s">
        <v>194</v>
      </c>
      <c r="C246" s="55">
        <v>1.66</v>
      </c>
      <c r="D246" s="56">
        <v>659</v>
      </c>
      <c r="E246" s="56">
        <f t="shared" si="5"/>
        <v>1093.94</v>
      </c>
    </row>
    <row r="247" spans="1:5" x14ac:dyDescent="0.25">
      <c r="A247" s="53">
        <v>234</v>
      </c>
      <c r="B247" s="54" t="s">
        <v>195</v>
      </c>
      <c r="C247" s="55">
        <f>2.84-0.3</f>
        <v>2.54</v>
      </c>
      <c r="D247" s="56">
        <v>689</v>
      </c>
      <c r="E247" s="56">
        <f t="shared" si="5"/>
        <v>1750.06</v>
      </c>
    </row>
    <row r="248" spans="1:5" x14ac:dyDescent="0.25">
      <c r="A248" s="53">
        <v>235</v>
      </c>
      <c r="B248" s="54" t="s">
        <v>126</v>
      </c>
      <c r="C248" s="55">
        <v>5.58</v>
      </c>
      <c r="D248" s="56">
        <v>810</v>
      </c>
      <c r="E248" s="56">
        <f t="shared" si="5"/>
        <v>4519.8</v>
      </c>
    </row>
    <row r="249" spans="1:5" x14ac:dyDescent="0.25">
      <c r="A249" s="53">
        <v>236</v>
      </c>
      <c r="B249" s="54" t="s">
        <v>125</v>
      </c>
      <c r="C249" s="55">
        <f>6.02-0.35499</f>
        <v>5.6650099999999997</v>
      </c>
      <c r="D249" s="56">
        <v>741</v>
      </c>
      <c r="E249" s="56">
        <f t="shared" si="5"/>
        <v>4197.7724099999996</v>
      </c>
    </row>
    <row r="250" spans="1:5" x14ac:dyDescent="0.25">
      <c r="A250" s="53">
        <v>237</v>
      </c>
      <c r="B250" s="54" t="s">
        <v>124</v>
      </c>
      <c r="C250" s="55">
        <f>11.3+22.8</f>
        <v>34.1</v>
      </c>
      <c r="D250" s="56">
        <v>152</v>
      </c>
      <c r="E250" s="56">
        <f t="shared" si="5"/>
        <v>5183.2</v>
      </c>
    </row>
    <row r="251" spans="1:5" x14ac:dyDescent="0.25">
      <c r="A251" s="53">
        <v>238</v>
      </c>
      <c r="B251" s="54" t="s">
        <v>123</v>
      </c>
      <c r="C251" s="55">
        <v>0</v>
      </c>
      <c r="D251" s="56">
        <v>145</v>
      </c>
      <c r="E251" s="56">
        <f t="shared" si="5"/>
        <v>0</v>
      </c>
    </row>
    <row r="252" spans="1:5" x14ac:dyDescent="0.25">
      <c r="A252" s="53">
        <v>239</v>
      </c>
      <c r="B252" s="54" t="s">
        <v>122</v>
      </c>
      <c r="C252" s="55">
        <f>64.5+351.7</f>
        <v>416.2</v>
      </c>
      <c r="D252" s="56">
        <v>280</v>
      </c>
      <c r="E252" s="56">
        <f t="shared" si="5"/>
        <v>116536</v>
      </c>
    </row>
    <row r="253" spans="1:5" x14ac:dyDescent="0.25">
      <c r="A253" s="53">
        <v>240</v>
      </c>
      <c r="B253" s="54" t="s">
        <v>121</v>
      </c>
      <c r="C253" s="55">
        <f>0.628+4.83</f>
        <v>5.4580000000000002</v>
      </c>
      <c r="D253" s="56">
        <v>644</v>
      </c>
      <c r="E253" s="56">
        <f t="shared" si="5"/>
        <v>3514.9520000000002</v>
      </c>
    </row>
    <row r="254" spans="1:5" x14ac:dyDescent="0.25">
      <c r="A254" s="53">
        <v>241</v>
      </c>
      <c r="B254" s="43" t="s">
        <v>120</v>
      </c>
      <c r="C254" s="55">
        <v>0</v>
      </c>
      <c r="D254" s="56">
        <v>435</v>
      </c>
      <c r="E254" s="56">
        <f t="shared" si="5"/>
        <v>0</v>
      </c>
    </row>
    <row r="255" spans="1:5" x14ac:dyDescent="0.25">
      <c r="A255" s="53">
        <v>242</v>
      </c>
      <c r="B255" s="54" t="s">
        <v>119</v>
      </c>
      <c r="C255" s="55">
        <f>5.64+8.8+46.6</f>
        <v>61.040000000000006</v>
      </c>
      <c r="D255" s="56">
        <v>95</v>
      </c>
      <c r="E255" s="56">
        <f t="shared" si="5"/>
        <v>5798.8</v>
      </c>
    </row>
    <row r="256" spans="1:5" x14ac:dyDescent="0.25">
      <c r="A256" s="53">
        <v>243</v>
      </c>
      <c r="B256" s="54" t="s">
        <v>286</v>
      </c>
      <c r="C256" s="55">
        <v>8</v>
      </c>
      <c r="D256" s="56">
        <v>28</v>
      </c>
      <c r="E256" s="56">
        <f t="shared" si="5"/>
        <v>224</v>
      </c>
    </row>
    <row r="257" spans="1:5" x14ac:dyDescent="0.25">
      <c r="A257" s="53">
        <v>244</v>
      </c>
      <c r="B257" s="54" t="s">
        <v>118</v>
      </c>
      <c r="C257" s="55">
        <f>20.24+13.8</f>
        <v>34.04</v>
      </c>
      <c r="D257" s="56">
        <v>442</v>
      </c>
      <c r="E257" s="56">
        <f t="shared" si="5"/>
        <v>15045.68</v>
      </c>
    </row>
    <row r="258" spans="1:5" x14ac:dyDescent="0.25">
      <c r="A258" s="53">
        <v>245</v>
      </c>
      <c r="B258" s="54" t="s">
        <v>116</v>
      </c>
      <c r="C258" s="55">
        <v>448.6</v>
      </c>
      <c r="D258" s="56">
        <v>144</v>
      </c>
      <c r="E258" s="56">
        <f t="shared" si="5"/>
        <v>64598.400000000001</v>
      </c>
    </row>
    <row r="259" spans="1:5" x14ac:dyDescent="0.25">
      <c r="A259" s="53">
        <v>246</v>
      </c>
      <c r="B259" s="54" t="s">
        <v>115</v>
      </c>
      <c r="C259" s="55">
        <v>0</v>
      </c>
      <c r="D259" s="56">
        <v>600</v>
      </c>
      <c r="E259" s="56">
        <f t="shared" si="5"/>
        <v>0</v>
      </c>
    </row>
    <row r="260" spans="1:5" x14ac:dyDescent="0.25">
      <c r="A260" s="53">
        <v>247</v>
      </c>
      <c r="B260" s="54" t="s">
        <v>114</v>
      </c>
      <c r="C260" s="55">
        <v>0</v>
      </c>
      <c r="D260" s="56">
        <v>900</v>
      </c>
      <c r="E260" s="56">
        <f t="shared" si="5"/>
        <v>0</v>
      </c>
    </row>
    <row r="261" spans="1:5" x14ac:dyDescent="0.25">
      <c r="A261" s="53">
        <v>248</v>
      </c>
      <c r="B261" s="54" t="s">
        <v>113</v>
      </c>
      <c r="C261" s="55">
        <v>0</v>
      </c>
      <c r="D261" s="56">
        <v>400</v>
      </c>
      <c r="E261" s="56">
        <f t="shared" si="5"/>
        <v>0</v>
      </c>
    </row>
    <row r="262" spans="1:5" x14ac:dyDescent="0.25">
      <c r="A262" s="53">
        <v>249</v>
      </c>
      <c r="B262" s="54" t="s">
        <v>112</v>
      </c>
      <c r="C262" s="55">
        <v>0</v>
      </c>
      <c r="D262" s="56">
        <v>75</v>
      </c>
      <c r="E262" s="56">
        <f t="shared" si="5"/>
        <v>0</v>
      </c>
    </row>
    <row r="263" spans="1:5" x14ac:dyDescent="0.25">
      <c r="A263" s="53">
        <v>250</v>
      </c>
      <c r="B263" s="54" t="s">
        <v>111</v>
      </c>
      <c r="C263" s="55">
        <v>0</v>
      </c>
      <c r="D263" s="56">
        <v>62</v>
      </c>
      <c r="E263" s="56">
        <f t="shared" si="5"/>
        <v>0</v>
      </c>
    </row>
    <row r="264" spans="1:5" x14ac:dyDescent="0.25">
      <c r="A264" s="53">
        <v>251</v>
      </c>
      <c r="B264" s="54" t="s">
        <v>110</v>
      </c>
      <c r="C264" s="55">
        <v>49.2</v>
      </c>
      <c r="D264" s="56">
        <v>68</v>
      </c>
      <c r="E264" s="56">
        <f t="shared" si="5"/>
        <v>3345.6000000000004</v>
      </c>
    </row>
    <row r="265" spans="1:5" x14ac:dyDescent="0.25">
      <c r="A265" s="53">
        <v>252</v>
      </c>
      <c r="B265" s="54" t="s">
        <v>276</v>
      </c>
      <c r="C265" s="55">
        <f>15.5+2.53+1.92</f>
        <v>19.950000000000003</v>
      </c>
      <c r="D265" s="56">
        <v>80</v>
      </c>
      <c r="E265" s="56">
        <f t="shared" si="5"/>
        <v>1596.0000000000002</v>
      </c>
    </row>
    <row r="266" spans="1:5" x14ac:dyDescent="0.25">
      <c r="A266" s="53">
        <v>253</v>
      </c>
      <c r="B266" s="54" t="s">
        <v>350</v>
      </c>
      <c r="C266" s="55">
        <v>14</v>
      </c>
      <c r="D266" s="56">
        <v>46</v>
      </c>
      <c r="E266" s="56">
        <f t="shared" si="5"/>
        <v>644</v>
      </c>
    </row>
    <row r="267" spans="1:5" ht="15.75" thickBot="1" x14ac:dyDescent="0.3">
      <c r="A267" s="53"/>
      <c r="B267" s="57" t="s">
        <v>17</v>
      </c>
      <c r="C267" s="15">
        <f>SUM(C225:C266)</f>
        <v>1450.6280100000001</v>
      </c>
      <c r="D267" s="38"/>
      <c r="E267" s="36">
        <f>SUM(E225:E266)</f>
        <v>308506.53440999996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254</v>
      </c>
      <c r="B269" s="54" t="s">
        <v>278</v>
      </c>
      <c r="C269" s="55">
        <v>32</v>
      </c>
      <c r="D269" s="56">
        <v>120</v>
      </c>
      <c r="E269" s="56">
        <f>D269*C269</f>
        <v>3840</v>
      </c>
    </row>
    <row r="270" spans="1:5" x14ac:dyDescent="0.25">
      <c r="A270" s="53">
        <v>255</v>
      </c>
      <c r="B270" s="54" t="s">
        <v>280</v>
      </c>
      <c r="C270" s="55">
        <v>16</v>
      </c>
      <c r="D270" s="56">
        <v>94</v>
      </c>
      <c r="E270" s="56">
        <f t="shared" ref="E270:E310" si="6">D270*C270</f>
        <v>1504</v>
      </c>
    </row>
    <row r="271" spans="1:5" x14ac:dyDescent="0.25">
      <c r="A271" s="53">
        <v>256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257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258</v>
      </c>
      <c r="B273" s="54" t="s">
        <v>284</v>
      </c>
      <c r="C273" s="55">
        <v>7</v>
      </c>
      <c r="D273" s="56">
        <v>85</v>
      </c>
      <c r="E273" s="56">
        <f t="shared" si="6"/>
        <v>595</v>
      </c>
    </row>
    <row r="274" spans="1:5" x14ac:dyDescent="0.25">
      <c r="A274" s="53">
        <v>259</v>
      </c>
      <c r="B274" s="54" t="s">
        <v>285</v>
      </c>
      <c r="C274" s="55">
        <v>3</v>
      </c>
      <c r="D274" s="56">
        <v>61</v>
      </c>
      <c r="E274" s="56">
        <f t="shared" si="6"/>
        <v>183</v>
      </c>
    </row>
    <row r="275" spans="1:5" x14ac:dyDescent="0.25">
      <c r="A275" s="53">
        <v>260</v>
      </c>
      <c r="B275" s="54" t="s">
        <v>361</v>
      </c>
      <c r="C275" s="55">
        <f>1.3+3.042</f>
        <v>4.3419999999999996</v>
      </c>
      <c r="D275" s="56">
        <v>90</v>
      </c>
      <c r="E275" s="56">
        <f t="shared" si="6"/>
        <v>390.78</v>
      </c>
    </row>
    <row r="276" spans="1:5" x14ac:dyDescent="0.25">
      <c r="A276" s="53">
        <v>261</v>
      </c>
      <c r="B276" s="54" t="s">
        <v>288</v>
      </c>
      <c r="C276" s="55">
        <v>5</v>
      </c>
      <c r="D276" s="56">
        <v>95</v>
      </c>
      <c r="E276" s="56">
        <f t="shared" si="6"/>
        <v>475</v>
      </c>
    </row>
    <row r="277" spans="1:5" x14ac:dyDescent="0.25">
      <c r="A277" s="53">
        <v>262</v>
      </c>
      <c r="B277" s="54" t="s">
        <v>330</v>
      </c>
      <c r="C277" s="55">
        <f>0.52+1</f>
        <v>1.52</v>
      </c>
      <c r="D277" s="56">
        <v>110</v>
      </c>
      <c r="E277" s="56">
        <f t="shared" si="6"/>
        <v>167.2</v>
      </c>
    </row>
    <row r="278" spans="1:5" x14ac:dyDescent="0.25">
      <c r="A278" s="53">
        <v>263</v>
      </c>
      <c r="B278" s="54" t="s">
        <v>291</v>
      </c>
      <c r="C278" s="55">
        <f>4.1+0.5+13.6</f>
        <v>18.2</v>
      </c>
      <c r="D278" s="56">
        <v>60</v>
      </c>
      <c r="E278" s="56">
        <f t="shared" si="6"/>
        <v>1092</v>
      </c>
    </row>
    <row r="279" spans="1:5" x14ac:dyDescent="0.25">
      <c r="A279" s="53">
        <v>264</v>
      </c>
      <c r="B279" s="54" t="s">
        <v>292</v>
      </c>
      <c r="C279" s="55">
        <v>8.1</v>
      </c>
      <c r="D279" s="56">
        <v>400</v>
      </c>
      <c r="E279" s="56">
        <f t="shared" si="6"/>
        <v>3240</v>
      </c>
    </row>
    <row r="280" spans="1:5" x14ac:dyDescent="0.25">
      <c r="A280" s="53">
        <v>265</v>
      </c>
      <c r="B280" s="54" t="s">
        <v>293</v>
      </c>
      <c r="C280" s="55">
        <v>40.5</v>
      </c>
      <c r="D280" s="56">
        <v>530</v>
      </c>
      <c r="E280" s="56">
        <f t="shared" si="6"/>
        <v>21465</v>
      </c>
    </row>
    <row r="281" spans="1:5" x14ac:dyDescent="0.25">
      <c r="A281" s="53">
        <v>266</v>
      </c>
      <c r="B281" s="54" t="s">
        <v>294</v>
      </c>
      <c r="C281" s="55">
        <v>32.4</v>
      </c>
      <c r="D281" s="56">
        <v>565</v>
      </c>
      <c r="E281" s="56">
        <f t="shared" si="6"/>
        <v>18306</v>
      </c>
    </row>
    <row r="282" spans="1:5" x14ac:dyDescent="0.25">
      <c r="A282" s="53">
        <v>267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268</v>
      </c>
      <c r="B283" s="54" t="s">
        <v>296</v>
      </c>
      <c r="C283" s="55">
        <v>32.4</v>
      </c>
      <c r="D283" s="56">
        <v>490</v>
      </c>
      <c r="E283" s="56">
        <f t="shared" si="6"/>
        <v>15876</v>
      </c>
    </row>
    <row r="284" spans="1:5" x14ac:dyDescent="0.25">
      <c r="A284" s="53">
        <v>269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270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271</v>
      </c>
      <c r="B286" s="54" t="s">
        <v>299</v>
      </c>
      <c r="C286" s="55">
        <f>3.36+77.87</f>
        <v>81.23</v>
      </c>
      <c r="D286" s="56">
        <v>142</v>
      </c>
      <c r="E286" s="56">
        <f t="shared" si="6"/>
        <v>11534.66</v>
      </c>
    </row>
    <row r="287" spans="1:5" x14ac:dyDescent="0.25">
      <c r="A287" s="53">
        <v>272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273</v>
      </c>
      <c r="B288" s="54" t="s">
        <v>301</v>
      </c>
      <c r="C288" s="55">
        <v>211.1</v>
      </c>
      <c r="D288" s="56">
        <v>116</v>
      </c>
      <c r="E288" s="56">
        <f t="shared" si="6"/>
        <v>24487.599999999999</v>
      </c>
    </row>
    <row r="289" spans="1:5" x14ac:dyDescent="0.25">
      <c r="A289" s="53">
        <v>274</v>
      </c>
      <c r="B289" s="54" t="s">
        <v>302</v>
      </c>
      <c r="C289" s="55">
        <f>1.242+0.9</f>
        <v>2.1419999999999999</v>
      </c>
      <c r="D289" s="56">
        <v>210</v>
      </c>
      <c r="E289" s="56">
        <f t="shared" si="6"/>
        <v>449.82</v>
      </c>
    </row>
    <row r="290" spans="1:5" x14ac:dyDescent="0.25">
      <c r="A290" s="53">
        <v>275</v>
      </c>
      <c r="B290" s="54" t="s">
        <v>303</v>
      </c>
      <c r="C290" s="55">
        <v>0</v>
      </c>
      <c r="D290" s="56">
        <v>87</v>
      </c>
      <c r="E290" s="56">
        <f t="shared" si="6"/>
        <v>0</v>
      </c>
    </row>
    <row r="291" spans="1:5" x14ac:dyDescent="0.25">
      <c r="A291" s="53">
        <v>276</v>
      </c>
      <c r="B291" s="54" t="s">
        <v>304</v>
      </c>
      <c r="C291" s="55">
        <v>112</v>
      </c>
      <c r="D291" s="56">
        <v>110</v>
      </c>
      <c r="E291" s="56">
        <f t="shared" si="6"/>
        <v>12320</v>
      </c>
    </row>
    <row r="292" spans="1:5" x14ac:dyDescent="0.25">
      <c r="A292" s="53">
        <v>277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278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279</v>
      </c>
      <c r="B294" s="54" t="s">
        <v>308</v>
      </c>
      <c r="C294" s="55">
        <f>9+0.58+40.86+4.5</f>
        <v>54.94</v>
      </c>
      <c r="D294" s="56">
        <v>50</v>
      </c>
      <c r="E294" s="56">
        <f t="shared" si="6"/>
        <v>2747</v>
      </c>
    </row>
    <row r="295" spans="1:5" x14ac:dyDescent="0.25">
      <c r="A295" s="53">
        <v>280</v>
      </c>
      <c r="B295" s="54" t="s">
        <v>309</v>
      </c>
      <c r="C295" s="55">
        <f>2.58+27.08-4.4+0.5+12</f>
        <v>37.76</v>
      </c>
      <c r="D295" s="56">
        <v>64</v>
      </c>
      <c r="E295" s="56">
        <f t="shared" si="6"/>
        <v>2416.64</v>
      </c>
    </row>
    <row r="296" spans="1:5" x14ac:dyDescent="0.25">
      <c r="A296" s="53">
        <v>281</v>
      </c>
      <c r="B296" s="54" t="s">
        <v>310</v>
      </c>
      <c r="C296" s="55">
        <f>1.56+15.82</f>
        <v>17.38</v>
      </c>
      <c r="D296" s="56">
        <v>170</v>
      </c>
      <c r="E296" s="56">
        <f t="shared" si="6"/>
        <v>2954.6</v>
      </c>
    </row>
    <row r="297" spans="1:5" x14ac:dyDescent="0.25">
      <c r="A297" s="53">
        <v>282</v>
      </c>
      <c r="B297" s="54" t="s">
        <v>313</v>
      </c>
      <c r="C297" s="55">
        <v>0</v>
      </c>
      <c r="D297" s="56">
        <v>195</v>
      </c>
      <c r="E297" s="56">
        <f t="shared" si="6"/>
        <v>0</v>
      </c>
    </row>
    <row r="298" spans="1:5" x14ac:dyDescent="0.25">
      <c r="A298" s="53">
        <v>283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284</v>
      </c>
      <c r="B299" s="54" t="s">
        <v>351</v>
      </c>
      <c r="C299" s="55">
        <v>0</v>
      </c>
      <c r="D299" s="56">
        <v>106</v>
      </c>
      <c r="E299" s="56">
        <f t="shared" si="6"/>
        <v>0</v>
      </c>
    </row>
    <row r="300" spans="1:5" x14ac:dyDescent="0.25">
      <c r="A300" s="53">
        <v>285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286</v>
      </c>
      <c r="B301" s="54" t="s">
        <v>317</v>
      </c>
      <c r="C301" s="55">
        <v>15</v>
      </c>
      <c r="D301" s="56">
        <v>40</v>
      </c>
      <c r="E301" s="56">
        <f t="shared" si="6"/>
        <v>600</v>
      </c>
    </row>
    <row r="302" spans="1:5" x14ac:dyDescent="0.25">
      <c r="A302" s="53">
        <v>287</v>
      </c>
      <c r="B302" s="54" t="s">
        <v>318</v>
      </c>
      <c r="C302" s="55">
        <f>13+8+6</f>
        <v>27</v>
      </c>
      <c r="D302" s="56">
        <v>70</v>
      </c>
      <c r="E302" s="56">
        <f t="shared" si="6"/>
        <v>1890</v>
      </c>
    </row>
    <row r="303" spans="1:5" ht="18" customHeight="1" x14ac:dyDescent="0.25">
      <c r="A303" s="53">
        <v>288</v>
      </c>
      <c r="B303" s="54" t="s">
        <v>319</v>
      </c>
      <c r="C303" s="55">
        <v>0</v>
      </c>
      <c r="D303" s="56">
        <v>400</v>
      </c>
      <c r="E303" s="56">
        <f t="shared" si="6"/>
        <v>0</v>
      </c>
    </row>
    <row r="304" spans="1:5" ht="18" customHeight="1" x14ac:dyDescent="0.25">
      <c r="A304" s="53">
        <v>289</v>
      </c>
      <c r="B304" s="54" t="s">
        <v>320</v>
      </c>
      <c r="C304" s="55">
        <v>25</v>
      </c>
      <c r="D304" s="56">
        <v>360</v>
      </c>
      <c r="E304" s="56">
        <f t="shared" si="6"/>
        <v>9000</v>
      </c>
    </row>
    <row r="305" spans="1:5" ht="18" customHeight="1" x14ac:dyDescent="0.25">
      <c r="A305" s="53">
        <v>290</v>
      </c>
      <c r="B305" s="54" t="s">
        <v>357</v>
      </c>
      <c r="C305" s="55">
        <v>8</v>
      </c>
      <c r="D305" s="56">
        <v>980</v>
      </c>
      <c r="E305" s="56">
        <f t="shared" si="6"/>
        <v>7840</v>
      </c>
    </row>
    <row r="306" spans="1:5" ht="18" customHeight="1" x14ac:dyDescent="0.25">
      <c r="A306" s="53">
        <v>291</v>
      </c>
      <c r="B306" s="54" t="s">
        <v>352</v>
      </c>
      <c r="C306" s="55">
        <v>0</v>
      </c>
      <c r="D306" s="56">
        <v>114</v>
      </c>
      <c r="E306" s="56">
        <f t="shared" si="6"/>
        <v>0</v>
      </c>
    </row>
    <row r="307" spans="1:5" ht="18" customHeight="1" x14ac:dyDescent="0.25">
      <c r="A307" s="53">
        <v>292</v>
      </c>
      <c r="B307" s="54" t="s">
        <v>322</v>
      </c>
      <c r="C307" s="55">
        <f>90.6+390.2+81.1</f>
        <v>561.9</v>
      </c>
      <c r="D307" s="56">
        <v>116</v>
      </c>
      <c r="E307" s="56">
        <f t="shared" si="6"/>
        <v>65180.399999999994</v>
      </c>
    </row>
    <row r="308" spans="1:5" ht="18" customHeight="1" x14ac:dyDescent="0.25">
      <c r="A308" s="53">
        <v>293</v>
      </c>
      <c r="B308" s="54" t="s">
        <v>323</v>
      </c>
      <c r="C308" s="55">
        <f>23.34-2.2+4.92+9</f>
        <v>35.06</v>
      </c>
      <c r="D308" s="56">
        <v>450</v>
      </c>
      <c r="E308" s="56">
        <f t="shared" si="6"/>
        <v>15777.000000000002</v>
      </c>
    </row>
    <row r="309" spans="1:5" ht="18" customHeight="1" x14ac:dyDescent="0.25">
      <c r="A309" s="53">
        <v>294</v>
      </c>
      <c r="B309" s="54" t="s">
        <v>325</v>
      </c>
      <c r="C309" s="55">
        <v>155.5</v>
      </c>
      <c r="D309" s="56">
        <v>116</v>
      </c>
      <c r="E309" s="56">
        <f t="shared" si="6"/>
        <v>18038</v>
      </c>
    </row>
    <row r="310" spans="1:5" ht="18" customHeight="1" x14ac:dyDescent="0.25">
      <c r="A310" s="53">
        <v>295</v>
      </c>
      <c r="B310" s="54" t="s">
        <v>326</v>
      </c>
      <c r="C310" s="55">
        <f>293.5+3.5</f>
        <v>297</v>
      </c>
      <c r="D310" s="56">
        <v>3</v>
      </c>
      <c r="E310" s="56">
        <f t="shared" si="6"/>
        <v>891</v>
      </c>
    </row>
    <row r="311" spans="1:5" ht="15.75" thickBot="1" x14ac:dyDescent="0.3">
      <c r="A311" s="53"/>
      <c r="B311" s="57" t="s">
        <v>17</v>
      </c>
      <c r="C311" s="15">
        <f>SUM(C269:C310)</f>
        <v>1868.4739999999999</v>
      </c>
      <c r="D311" s="38"/>
      <c r="E311" s="36">
        <f>SUM(E269:E310)</f>
        <v>255680.7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296</v>
      </c>
      <c r="B313" s="54" t="s">
        <v>327</v>
      </c>
      <c r="C313" s="55">
        <v>0</v>
      </c>
      <c r="D313" s="56">
        <v>110</v>
      </c>
      <c r="E313" s="56">
        <f>D313*C313</f>
        <v>0</v>
      </c>
    </row>
    <row r="314" spans="1:5" ht="18" customHeight="1" x14ac:dyDescent="0.25">
      <c r="A314" s="53">
        <v>297</v>
      </c>
      <c r="B314" s="54" t="s">
        <v>328</v>
      </c>
      <c r="C314" s="55">
        <v>0</v>
      </c>
      <c r="D314" s="56">
        <v>50</v>
      </c>
      <c r="E314" s="56">
        <f t="shared" ref="E314:E322" si="7">D314*C314</f>
        <v>0</v>
      </c>
    </row>
    <row r="315" spans="1:5" ht="18" customHeight="1" x14ac:dyDescent="0.25">
      <c r="A315" s="53">
        <v>298</v>
      </c>
      <c r="B315" s="54" t="s">
        <v>353</v>
      </c>
      <c r="C315" s="55">
        <v>2.25</v>
      </c>
      <c r="D315" s="56">
        <v>80</v>
      </c>
      <c r="E315" s="56">
        <f t="shared" si="7"/>
        <v>180</v>
      </c>
    </row>
    <row r="316" spans="1:5" ht="18" customHeight="1" x14ac:dyDescent="0.25">
      <c r="A316" s="53">
        <v>299</v>
      </c>
      <c r="B316" s="54" t="s">
        <v>237</v>
      </c>
      <c r="C316" s="55">
        <f>5.14+109.3</f>
        <v>114.44</v>
      </c>
      <c r="D316" s="56">
        <v>130</v>
      </c>
      <c r="E316" s="56">
        <f t="shared" si="7"/>
        <v>14877.199999999999</v>
      </c>
    </row>
    <row r="317" spans="1:5" ht="18" customHeight="1" x14ac:dyDescent="0.25">
      <c r="A317" s="53">
        <v>300</v>
      </c>
      <c r="B317" s="54" t="s">
        <v>354</v>
      </c>
      <c r="C317" s="55">
        <v>1.67</v>
      </c>
      <c r="D317" s="56">
        <v>112</v>
      </c>
      <c r="E317" s="56">
        <f t="shared" si="7"/>
        <v>187.04</v>
      </c>
    </row>
    <row r="318" spans="1:5" ht="18" customHeight="1" x14ac:dyDescent="0.25">
      <c r="A318" s="53">
        <v>301</v>
      </c>
      <c r="B318" s="54" t="s">
        <v>355</v>
      </c>
      <c r="C318" s="55">
        <v>2.5</v>
      </c>
      <c r="D318" s="56">
        <v>75</v>
      </c>
      <c r="E318" s="56">
        <f t="shared" si="7"/>
        <v>187.5</v>
      </c>
    </row>
    <row r="319" spans="1:5" ht="18" customHeight="1" x14ac:dyDescent="0.25">
      <c r="A319" s="53">
        <v>302</v>
      </c>
      <c r="B319" s="54" t="s">
        <v>356</v>
      </c>
      <c r="C319" s="55">
        <v>0</v>
      </c>
      <c r="D319" s="56">
        <v>132</v>
      </c>
      <c r="E319" s="56">
        <f t="shared" si="7"/>
        <v>0</v>
      </c>
    </row>
    <row r="320" spans="1:5" ht="18" customHeight="1" x14ac:dyDescent="0.25">
      <c r="A320" s="53">
        <v>303</v>
      </c>
      <c r="B320" s="54" t="s">
        <v>359</v>
      </c>
      <c r="C320" s="55">
        <v>2</v>
      </c>
      <c r="D320" s="56">
        <v>115</v>
      </c>
      <c r="E320" s="56">
        <f t="shared" si="7"/>
        <v>230</v>
      </c>
    </row>
    <row r="321" spans="1:5" ht="18" customHeight="1" x14ac:dyDescent="0.25">
      <c r="A321" s="53">
        <v>304</v>
      </c>
      <c r="B321" s="54" t="s">
        <v>360</v>
      </c>
      <c r="C321" s="55">
        <v>3.74</v>
      </c>
      <c r="D321" s="56">
        <v>190</v>
      </c>
      <c r="E321" s="56">
        <f t="shared" si="7"/>
        <v>710.6</v>
      </c>
    </row>
    <row r="322" spans="1:5" ht="18" customHeight="1" x14ac:dyDescent="0.25">
      <c r="A322" s="53">
        <v>305</v>
      </c>
      <c r="B322" s="54" t="s">
        <v>367</v>
      </c>
      <c r="C322" s="55">
        <v>182</v>
      </c>
      <c r="D322" s="56">
        <v>80</v>
      </c>
      <c r="E322" s="56">
        <f t="shared" si="7"/>
        <v>14560</v>
      </c>
    </row>
    <row r="323" spans="1:5" ht="17.25" customHeight="1" x14ac:dyDescent="0.3">
      <c r="A323" s="65"/>
      <c r="B323" s="57" t="s">
        <v>17</v>
      </c>
      <c r="C323" s="66">
        <f>SUM(C313:C322)</f>
        <v>308.60000000000002</v>
      </c>
      <c r="D323" s="67"/>
      <c r="E323" s="68">
        <f>SUM(E313:E322)</f>
        <v>30932.34</v>
      </c>
    </row>
    <row r="324" spans="1:5" ht="18.75" x14ac:dyDescent="0.3">
      <c r="B324" s="57" t="s">
        <v>270</v>
      </c>
      <c r="C324" s="42">
        <f>C323+C311+C267+C223+C181+C135+C89+C44</f>
        <v>18780.860619999999</v>
      </c>
      <c r="D324" s="69" t="s">
        <v>271</v>
      </c>
      <c r="E324" s="67">
        <f>E323+E311+E267+E223+E181+E135+E89+E44</f>
        <v>2274653.09436</v>
      </c>
    </row>
    <row r="327" spans="1:5" x14ac:dyDescent="0.25">
      <c r="A327" s="18">
        <v>289</v>
      </c>
      <c r="B327" s="54" t="s">
        <v>117</v>
      </c>
      <c r="C327" s="55">
        <v>0</v>
      </c>
      <c r="D327" s="55">
        <v>1E-3</v>
      </c>
      <c r="E327" s="55">
        <f t="shared" ref="E327" si="8">C327*D327</f>
        <v>0</v>
      </c>
    </row>
  </sheetData>
  <mergeCells count="2">
    <mergeCell ref="A1:E1"/>
    <mergeCell ref="A2:E2"/>
  </mergeCells>
  <pageMargins left="0.7" right="0.7" top="0.75" bottom="0.75" header="0.3" footer="0.3"/>
  <pageSetup orientation="portrait" horizontalDpi="203" verticalDpi="20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zoomScale="91" zoomScaleNormal="91" workbookViewId="0">
      <selection activeCell="M21" sqref="M21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4.140625" style="18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78" t="s">
        <v>423</v>
      </c>
      <c r="B1" s="78"/>
      <c r="C1" s="78"/>
      <c r="D1" s="78"/>
      <c r="E1" s="78"/>
      <c r="F1" s="78"/>
      <c r="G1" s="78"/>
      <c r="H1" s="47"/>
      <c r="I1" s="47"/>
    </row>
    <row r="2" spans="1:9" ht="24" thickBot="1" x14ac:dyDescent="0.4">
      <c r="A2" s="79" t="s">
        <v>0</v>
      </c>
      <c r="B2" s="79"/>
      <c r="C2" s="79"/>
      <c r="D2" s="79"/>
      <c r="E2" s="79"/>
      <c r="F2" s="79"/>
      <c r="G2" s="79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25.3+5.47+2.3+171</f>
        <v>204.07</v>
      </c>
      <c r="D4" s="55">
        <v>10</v>
      </c>
      <c r="E4" s="55">
        <f t="shared" ref="E4:E67" si="0">C4-(D4*2.2)</f>
        <v>182.07</v>
      </c>
      <c r="F4" s="56">
        <v>170</v>
      </c>
      <c r="G4" s="56">
        <f>F4*E4</f>
        <v>30951.899999999998</v>
      </c>
    </row>
    <row r="5" spans="1:9" x14ac:dyDescent="0.25">
      <c r="A5" s="53">
        <v>2</v>
      </c>
      <c r="B5" s="54" t="s">
        <v>381</v>
      </c>
      <c r="C5" s="55">
        <f>25.5+3.86+3.66</f>
        <v>33.019999999999996</v>
      </c>
      <c r="D5" s="55">
        <v>2</v>
      </c>
      <c r="E5" s="55">
        <f t="shared" si="0"/>
        <v>28.619999999999997</v>
      </c>
      <c r="F5" s="56">
        <v>135</v>
      </c>
      <c r="G5" s="56">
        <f t="shared" ref="G5:G43" si="1">F5*E5</f>
        <v>3863.7</v>
      </c>
    </row>
    <row r="6" spans="1:9" x14ac:dyDescent="0.25">
      <c r="A6" s="53">
        <v>3</v>
      </c>
      <c r="B6" s="54" t="s">
        <v>102</v>
      </c>
      <c r="C6" s="55">
        <f>15.4+1.03</f>
        <v>16.43</v>
      </c>
      <c r="D6" s="55"/>
      <c r="E6" s="55">
        <f t="shared" si="0"/>
        <v>16.43</v>
      </c>
      <c r="F6" s="56">
        <v>114</v>
      </c>
      <c r="G6" s="56">
        <f t="shared" si="1"/>
        <v>1873.02</v>
      </c>
    </row>
    <row r="7" spans="1:9" x14ac:dyDescent="0.25">
      <c r="A7" s="53">
        <v>4</v>
      </c>
      <c r="B7" s="54" t="s">
        <v>104</v>
      </c>
      <c r="C7" s="55">
        <v>0</v>
      </c>
      <c r="D7" s="55"/>
      <c r="E7" s="55">
        <f t="shared" si="0"/>
        <v>0</v>
      </c>
      <c r="F7" s="56">
        <v>125</v>
      </c>
      <c r="G7" s="56">
        <f t="shared" si="1"/>
        <v>0</v>
      </c>
    </row>
    <row r="8" spans="1:9" x14ac:dyDescent="0.25">
      <c r="A8" s="53">
        <v>5</v>
      </c>
      <c r="B8" s="54" t="s">
        <v>105</v>
      </c>
      <c r="C8" s="55">
        <v>3.3</v>
      </c>
      <c r="D8" s="55"/>
      <c r="E8" s="55">
        <f t="shared" si="0"/>
        <v>3.3</v>
      </c>
      <c r="F8" s="56">
        <v>98</v>
      </c>
      <c r="G8" s="56">
        <f t="shared" si="1"/>
        <v>323.39999999999998</v>
      </c>
    </row>
    <row r="9" spans="1:9" x14ac:dyDescent="0.25">
      <c r="A9" s="53">
        <v>6</v>
      </c>
      <c r="B9" s="54" t="s">
        <v>106</v>
      </c>
      <c r="C9" s="55">
        <f>2.64+4.3+12.36</f>
        <v>19.299999999999997</v>
      </c>
      <c r="D9" s="55"/>
      <c r="E9" s="55">
        <f t="shared" si="0"/>
        <v>19.299999999999997</v>
      </c>
      <c r="F9" s="56">
        <v>110</v>
      </c>
      <c r="G9" s="56">
        <f t="shared" si="1"/>
        <v>2122.9999999999995</v>
      </c>
    </row>
    <row r="10" spans="1:9" x14ac:dyDescent="0.25">
      <c r="A10" s="53">
        <v>7</v>
      </c>
      <c r="B10" s="54" t="s">
        <v>346</v>
      </c>
      <c r="C10" s="55">
        <v>0</v>
      </c>
      <c r="D10" s="55"/>
      <c r="E10" s="55">
        <f t="shared" si="0"/>
        <v>0</v>
      </c>
      <c r="F10" s="56">
        <v>140</v>
      </c>
      <c r="G10" s="56">
        <f t="shared" si="1"/>
        <v>0</v>
      </c>
    </row>
    <row r="11" spans="1:9" x14ac:dyDescent="0.25">
      <c r="A11" s="53">
        <v>8</v>
      </c>
      <c r="B11" s="54" t="s">
        <v>336</v>
      </c>
      <c r="C11" s="55">
        <v>4</v>
      </c>
      <c r="D11" s="55"/>
      <c r="E11" s="55">
        <f t="shared" si="0"/>
        <v>4</v>
      </c>
      <c r="F11" s="56">
        <v>87</v>
      </c>
      <c r="G11" s="56">
        <f t="shared" si="1"/>
        <v>348</v>
      </c>
    </row>
    <row r="12" spans="1:9" x14ac:dyDescent="0.25">
      <c r="A12" s="53">
        <v>9</v>
      </c>
      <c r="B12" s="54" t="s">
        <v>337</v>
      </c>
      <c r="C12" s="55">
        <v>6</v>
      </c>
      <c r="D12" s="55"/>
      <c r="E12" s="55">
        <f t="shared" si="0"/>
        <v>6</v>
      </c>
      <c r="F12" s="56">
        <v>96</v>
      </c>
      <c r="G12" s="56">
        <f t="shared" si="1"/>
        <v>576</v>
      </c>
    </row>
    <row r="13" spans="1:9" x14ac:dyDescent="0.25">
      <c r="A13" s="53">
        <v>10</v>
      </c>
      <c r="B13" s="54" t="s">
        <v>338</v>
      </c>
      <c r="C13" s="55">
        <v>3</v>
      </c>
      <c r="D13" s="55"/>
      <c r="E13" s="55">
        <f t="shared" si="0"/>
        <v>3</v>
      </c>
      <c r="F13" s="56">
        <v>88</v>
      </c>
      <c r="G13" s="56">
        <f t="shared" si="1"/>
        <v>264</v>
      </c>
    </row>
    <row r="14" spans="1:9" x14ac:dyDescent="0.25">
      <c r="A14" s="53">
        <v>11</v>
      </c>
      <c r="B14" s="54" t="s">
        <v>339</v>
      </c>
      <c r="C14" s="55">
        <f>0.39+1.56</f>
        <v>1.9500000000000002</v>
      </c>
      <c r="D14" s="55"/>
      <c r="E14" s="55">
        <f t="shared" si="0"/>
        <v>1.9500000000000002</v>
      </c>
      <c r="F14" s="56">
        <v>280</v>
      </c>
      <c r="G14" s="56">
        <f t="shared" si="1"/>
        <v>546</v>
      </c>
    </row>
    <row r="15" spans="1:9" x14ac:dyDescent="0.25">
      <c r="A15" s="53">
        <v>12</v>
      </c>
      <c r="B15" s="54" t="s">
        <v>127</v>
      </c>
      <c r="C15" s="55">
        <f>9+1.73</f>
        <v>10.73</v>
      </c>
      <c r="D15" s="55"/>
      <c r="E15" s="55">
        <f t="shared" si="0"/>
        <v>10.73</v>
      </c>
      <c r="F15" s="56">
        <v>630</v>
      </c>
      <c r="G15" s="56">
        <f t="shared" si="1"/>
        <v>6759.9000000000005</v>
      </c>
    </row>
    <row r="16" spans="1:9" x14ac:dyDescent="0.25">
      <c r="A16" s="53">
        <v>13</v>
      </c>
      <c r="B16" s="54" t="s">
        <v>96</v>
      </c>
      <c r="C16" s="55">
        <v>0</v>
      </c>
      <c r="D16" s="55"/>
      <c r="E16" s="55">
        <f t="shared" si="0"/>
        <v>0</v>
      </c>
      <c r="F16" s="56">
        <v>110</v>
      </c>
      <c r="G16" s="56">
        <f t="shared" si="1"/>
        <v>0</v>
      </c>
    </row>
    <row r="17" spans="1:7" x14ac:dyDescent="0.25">
      <c r="A17" s="53">
        <v>14</v>
      </c>
      <c r="B17" s="54" t="s">
        <v>7</v>
      </c>
      <c r="C17" s="55">
        <f>3+3</f>
        <v>6</v>
      </c>
      <c r="D17" s="55"/>
      <c r="E17" s="55">
        <f t="shared" si="0"/>
        <v>6</v>
      </c>
      <c r="F17" s="56">
        <v>165</v>
      </c>
      <c r="G17" s="56">
        <f t="shared" si="1"/>
        <v>990</v>
      </c>
    </row>
    <row r="18" spans="1:7" x14ac:dyDescent="0.25">
      <c r="A18" s="53">
        <v>15</v>
      </c>
      <c r="B18" s="54" t="s">
        <v>6</v>
      </c>
      <c r="C18" s="55">
        <v>22</v>
      </c>
      <c r="D18" s="55"/>
      <c r="E18" s="55">
        <f t="shared" si="0"/>
        <v>22</v>
      </c>
      <c r="F18" s="56">
        <v>18</v>
      </c>
      <c r="G18" s="56">
        <f t="shared" si="1"/>
        <v>396</v>
      </c>
    </row>
    <row r="19" spans="1:7" x14ac:dyDescent="0.25">
      <c r="A19" s="53">
        <v>16</v>
      </c>
      <c r="B19" s="54" t="s">
        <v>94</v>
      </c>
      <c r="C19" s="55">
        <v>1</v>
      </c>
      <c r="D19" s="55"/>
      <c r="E19" s="55">
        <f t="shared" si="0"/>
        <v>1</v>
      </c>
      <c r="F19" s="56">
        <v>64</v>
      </c>
      <c r="G19" s="56">
        <f t="shared" si="1"/>
        <v>64</v>
      </c>
    </row>
    <row r="20" spans="1:7" x14ac:dyDescent="0.25">
      <c r="A20" s="53">
        <v>17</v>
      </c>
      <c r="B20" s="54" t="s">
        <v>348</v>
      </c>
      <c r="C20" s="55">
        <v>1.22</v>
      </c>
      <c r="D20" s="55"/>
      <c r="E20" s="55">
        <f t="shared" si="0"/>
        <v>1.22</v>
      </c>
      <c r="F20" s="56">
        <v>385</v>
      </c>
      <c r="G20" s="56">
        <f t="shared" si="1"/>
        <v>469.7</v>
      </c>
    </row>
    <row r="21" spans="1:7" x14ac:dyDescent="0.25">
      <c r="A21" s="53">
        <v>18</v>
      </c>
      <c r="B21" s="54" t="s">
        <v>20</v>
      </c>
      <c r="C21" s="55">
        <v>0</v>
      </c>
      <c r="D21" s="55"/>
      <c r="E21" s="55">
        <f t="shared" si="0"/>
        <v>0</v>
      </c>
      <c r="F21" s="56">
        <v>46</v>
      </c>
      <c r="G21" s="56">
        <f t="shared" si="1"/>
        <v>0</v>
      </c>
    </row>
    <row r="22" spans="1:7" x14ac:dyDescent="0.25">
      <c r="A22" s="53">
        <v>19</v>
      </c>
      <c r="B22" s="54" t="s">
        <v>8</v>
      </c>
      <c r="C22" s="55">
        <v>1</v>
      </c>
      <c r="D22" s="55"/>
      <c r="E22" s="55">
        <f t="shared" si="0"/>
        <v>1</v>
      </c>
      <c r="F22" s="56">
        <v>64</v>
      </c>
      <c r="G22" s="56">
        <f t="shared" si="1"/>
        <v>64</v>
      </c>
    </row>
    <row r="23" spans="1:7" x14ac:dyDescent="0.25">
      <c r="A23" s="53">
        <v>20</v>
      </c>
      <c r="B23" s="54" t="s">
        <v>363</v>
      </c>
      <c r="C23" s="55">
        <v>2</v>
      </c>
      <c r="D23" s="55"/>
      <c r="E23" s="55">
        <f t="shared" si="0"/>
        <v>2</v>
      </c>
      <c r="F23" s="56">
        <v>298</v>
      </c>
      <c r="G23" s="56">
        <f t="shared" si="1"/>
        <v>596</v>
      </c>
    </row>
    <row r="24" spans="1:7" x14ac:dyDescent="0.25">
      <c r="A24" s="53">
        <v>21</v>
      </c>
      <c r="B24" s="54" t="s">
        <v>364</v>
      </c>
      <c r="C24" s="55">
        <v>1</v>
      </c>
      <c r="D24" s="55"/>
      <c r="E24" s="55">
        <f t="shared" si="0"/>
        <v>1</v>
      </c>
      <c r="F24" s="56">
        <v>35</v>
      </c>
      <c r="G24" s="56">
        <f t="shared" si="1"/>
        <v>35</v>
      </c>
    </row>
    <row r="25" spans="1:7" x14ac:dyDescent="0.25">
      <c r="A25" s="53">
        <v>22</v>
      </c>
      <c r="B25" s="54" t="s">
        <v>362</v>
      </c>
      <c r="C25" s="55">
        <v>2</v>
      </c>
      <c r="D25" s="55"/>
      <c r="E25" s="55">
        <f t="shared" si="0"/>
        <v>2</v>
      </c>
      <c r="F25" s="56">
        <v>90</v>
      </c>
      <c r="G25" s="56">
        <f t="shared" si="1"/>
        <v>180</v>
      </c>
    </row>
    <row r="26" spans="1:7" x14ac:dyDescent="0.25">
      <c r="A26" s="53">
        <v>23</v>
      </c>
      <c r="B26" s="54" t="s">
        <v>340</v>
      </c>
      <c r="C26" s="55">
        <v>3</v>
      </c>
      <c r="D26" s="55"/>
      <c r="E26" s="55">
        <f t="shared" si="0"/>
        <v>3</v>
      </c>
      <c r="F26" s="56">
        <v>72</v>
      </c>
      <c r="G26" s="56">
        <f t="shared" si="1"/>
        <v>216</v>
      </c>
    </row>
    <row r="27" spans="1:7" x14ac:dyDescent="0.25">
      <c r="A27" s="53">
        <v>24</v>
      </c>
      <c r="B27" s="54" t="s">
        <v>273</v>
      </c>
      <c r="C27" s="55">
        <v>65</v>
      </c>
      <c r="D27" s="55"/>
      <c r="E27" s="55">
        <f t="shared" si="0"/>
        <v>65</v>
      </c>
      <c r="F27" s="56">
        <v>15</v>
      </c>
      <c r="G27" s="56">
        <f t="shared" si="1"/>
        <v>975</v>
      </c>
    </row>
    <row r="28" spans="1:7" x14ac:dyDescent="0.25">
      <c r="A28" s="53">
        <v>25</v>
      </c>
      <c r="B28" s="54" t="s">
        <v>341</v>
      </c>
      <c r="C28" s="55">
        <v>1.76</v>
      </c>
      <c r="D28" s="55"/>
      <c r="E28" s="55">
        <f t="shared" si="0"/>
        <v>1.76</v>
      </c>
      <c r="F28" s="56">
        <v>280</v>
      </c>
      <c r="G28" s="56">
        <f t="shared" si="1"/>
        <v>492.8</v>
      </c>
    </row>
    <row r="29" spans="1:7" ht="15.75" customHeight="1" x14ac:dyDescent="0.25">
      <c r="A29" s="53">
        <v>26</v>
      </c>
      <c r="B29" s="54" t="s">
        <v>342</v>
      </c>
      <c r="C29" s="55">
        <v>0</v>
      </c>
      <c r="D29" s="55"/>
      <c r="E29" s="55">
        <f t="shared" si="0"/>
        <v>0</v>
      </c>
      <c r="F29" s="56">
        <v>398</v>
      </c>
      <c r="G29" s="56">
        <f t="shared" si="1"/>
        <v>0</v>
      </c>
    </row>
    <row r="30" spans="1:7" x14ac:dyDescent="0.25">
      <c r="A30" s="53">
        <v>27</v>
      </c>
      <c r="B30" s="54" t="s">
        <v>131</v>
      </c>
      <c r="C30" s="55">
        <f>11.7+1.06</f>
        <v>12.76</v>
      </c>
      <c r="D30" s="55"/>
      <c r="E30" s="55">
        <f t="shared" si="0"/>
        <v>12.76</v>
      </c>
      <c r="F30" s="56">
        <v>104</v>
      </c>
      <c r="G30" s="56">
        <f t="shared" si="1"/>
        <v>1327.04</v>
      </c>
    </row>
    <row r="31" spans="1:7" x14ac:dyDescent="0.25">
      <c r="A31" s="53">
        <v>28</v>
      </c>
      <c r="B31" s="54" t="s">
        <v>132</v>
      </c>
      <c r="C31" s="55">
        <v>4.28</v>
      </c>
      <c r="D31" s="55"/>
      <c r="E31" s="55">
        <f t="shared" si="0"/>
        <v>4.28</v>
      </c>
      <c r="F31" s="56">
        <v>590</v>
      </c>
      <c r="G31" s="56">
        <f t="shared" si="1"/>
        <v>2525.2000000000003</v>
      </c>
    </row>
    <row r="32" spans="1:7" x14ac:dyDescent="0.25">
      <c r="A32" s="53">
        <v>29</v>
      </c>
      <c r="B32" s="54" t="s">
        <v>133</v>
      </c>
      <c r="C32" s="55">
        <v>0</v>
      </c>
      <c r="D32" s="55"/>
      <c r="E32" s="55">
        <f t="shared" si="0"/>
        <v>0</v>
      </c>
      <c r="F32" s="56">
        <v>103</v>
      </c>
      <c r="G32" s="56">
        <f t="shared" si="1"/>
        <v>0</v>
      </c>
    </row>
    <row r="33" spans="1:7" x14ac:dyDescent="0.25">
      <c r="A33" s="53">
        <v>30</v>
      </c>
      <c r="B33" s="54" t="s">
        <v>134</v>
      </c>
      <c r="C33" s="55">
        <v>12.38</v>
      </c>
      <c r="D33" s="55"/>
      <c r="E33" s="55">
        <f t="shared" si="0"/>
        <v>12.38</v>
      </c>
      <c r="F33" s="56">
        <v>160</v>
      </c>
      <c r="G33" s="56">
        <f t="shared" si="1"/>
        <v>1980.8000000000002</v>
      </c>
    </row>
    <row r="34" spans="1:7" x14ac:dyDescent="0.25">
      <c r="A34" s="53">
        <v>31</v>
      </c>
      <c r="B34" s="54" t="s">
        <v>135</v>
      </c>
      <c r="C34" s="55">
        <f>2.86+5.78</f>
        <v>8.64</v>
      </c>
      <c r="D34" s="55"/>
      <c r="E34" s="55">
        <f t="shared" si="0"/>
        <v>8.64</v>
      </c>
      <c r="F34" s="56">
        <v>360</v>
      </c>
      <c r="G34" s="56">
        <f t="shared" si="1"/>
        <v>3110.4</v>
      </c>
    </row>
    <row r="35" spans="1:7" x14ac:dyDescent="0.25">
      <c r="A35" s="53">
        <v>32</v>
      </c>
      <c r="B35" s="54" t="s">
        <v>136</v>
      </c>
      <c r="C35" s="55">
        <f>4.13+0.8+9.68+0.97</f>
        <v>15.58</v>
      </c>
      <c r="D35" s="55"/>
      <c r="E35" s="55">
        <f t="shared" si="0"/>
        <v>15.58</v>
      </c>
      <c r="F35" s="56">
        <v>210</v>
      </c>
      <c r="G35" s="56">
        <f t="shared" si="1"/>
        <v>3271.8</v>
      </c>
    </row>
    <row r="36" spans="1:7" x14ac:dyDescent="0.25">
      <c r="A36" s="53">
        <v>33</v>
      </c>
      <c r="B36" s="54" t="s">
        <v>137</v>
      </c>
      <c r="C36" s="55">
        <v>2.75</v>
      </c>
      <c r="D36" s="55"/>
      <c r="E36" s="55">
        <f t="shared" si="0"/>
        <v>2.75</v>
      </c>
      <c r="F36" s="56">
        <v>138</v>
      </c>
      <c r="G36" s="56">
        <f t="shared" si="1"/>
        <v>379.5</v>
      </c>
    </row>
    <row r="37" spans="1:7" x14ac:dyDescent="0.25">
      <c r="A37" s="53">
        <v>34</v>
      </c>
      <c r="B37" s="54" t="s">
        <v>138</v>
      </c>
      <c r="C37" s="55">
        <f>12+1+15</f>
        <v>28</v>
      </c>
      <c r="D37" s="55"/>
      <c r="E37" s="55">
        <f t="shared" si="0"/>
        <v>28</v>
      </c>
      <c r="F37" s="56">
        <v>26</v>
      </c>
      <c r="G37" s="56">
        <f t="shared" si="1"/>
        <v>728</v>
      </c>
    </row>
    <row r="38" spans="1:7" x14ac:dyDescent="0.25">
      <c r="A38" s="53">
        <v>35</v>
      </c>
      <c r="B38" s="54" t="s">
        <v>139</v>
      </c>
      <c r="C38" s="55">
        <f>0.96+2.7</f>
        <v>3.66</v>
      </c>
      <c r="D38" s="55"/>
      <c r="E38" s="55">
        <f t="shared" si="0"/>
        <v>3.66</v>
      </c>
      <c r="F38" s="56">
        <v>210</v>
      </c>
      <c r="G38" s="56">
        <f t="shared" si="1"/>
        <v>768.6</v>
      </c>
    </row>
    <row r="39" spans="1:7" x14ac:dyDescent="0.25">
      <c r="A39" s="53">
        <v>36</v>
      </c>
      <c r="B39" s="54" t="s">
        <v>140</v>
      </c>
      <c r="C39" s="55">
        <v>0</v>
      </c>
      <c r="D39" s="55"/>
      <c r="E39" s="55">
        <f t="shared" si="0"/>
        <v>0</v>
      </c>
      <c r="F39" s="56">
        <v>72</v>
      </c>
      <c r="G39" s="56">
        <f t="shared" si="1"/>
        <v>0</v>
      </c>
    </row>
    <row r="40" spans="1:7" x14ac:dyDescent="0.25">
      <c r="A40" s="53">
        <v>37</v>
      </c>
      <c r="B40" s="54" t="s">
        <v>141</v>
      </c>
      <c r="C40" s="55">
        <f>25+6.906</f>
        <v>31.905999999999999</v>
      </c>
      <c r="D40" s="55"/>
      <c r="E40" s="55">
        <f t="shared" si="0"/>
        <v>31.905999999999999</v>
      </c>
      <c r="F40" s="56">
        <v>140</v>
      </c>
      <c r="G40" s="56">
        <f t="shared" si="1"/>
        <v>4466.84</v>
      </c>
    </row>
    <row r="41" spans="1:7" x14ac:dyDescent="0.25">
      <c r="A41" s="53">
        <v>38</v>
      </c>
      <c r="B41" s="54" t="s">
        <v>142</v>
      </c>
      <c r="C41" s="55">
        <f>20.2+0.81</f>
        <v>21.009999999999998</v>
      </c>
      <c r="D41" s="55"/>
      <c r="E41" s="55">
        <f t="shared" si="0"/>
        <v>21.009999999999998</v>
      </c>
      <c r="F41" s="56">
        <v>62</v>
      </c>
      <c r="G41" s="56">
        <f t="shared" si="1"/>
        <v>1302.6199999999999</v>
      </c>
    </row>
    <row r="42" spans="1:7" x14ac:dyDescent="0.25">
      <c r="A42" s="53">
        <v>39</v>
      </c>
      <c r="B42" s="54" t="s">
        <v>143</v>
      </c>
      <c r="C42" s="55">
        <f>1.46+6.1</f>
        <v>7.56</v>
      </c>
      <c r="D42" s="55"/>
      <c r="E42" s="55">
        <f t="shared" si="0"/>
        <v>7.56</v>
      </c>
      <c r="F42" s="56">
        <v>590</v>
      </c>
      <c r="G42" s="56">
        <f t="shared" si="1"/>
        <v>4460.3999999999996</v>
      </c>
    </row>
    <row r="43" spans="1:7" x14ac:dyDescent="0.25">
      <c r="A43" s="53">
        <v>40</v>
      </c>
      <c r="B43" s="54" t="s">
        <v>144</v>
      </c>
      <c r="C43" s="55">
        <f>10.51+2.05</f>
        <v>12.559999999999999</v>
      </c>
      <c r="D43" s="55"/>
      <c r="E43" s="55">
        <f t="shared" si="0"/>
        <v>12.559999999999999</v>
      </c>
      <c r="F43" s="56">
        <v>98</v>
      </c>
      <c r="G43" s="56">
        <f t="shared" si="1"/>
        <v>1230.8799999999999</v>
      </c>
    </row>
    <row r="44" spans="1:7" ht="15.75" thickBot="1" x14ac:dyDescent="0.3">
      <c r="B44" s="57" t="s">
        <v>17</v>
      </c>
      <c r="C44" s="15">
        <f>SUM(C4:C43)</f>
        <v>568.86599999999987</v>
      </c>
      <c r="D44" s="74" t="s">
        <v>402</v>
      </c>
      <c r="E44" s="15">
        <f>SUM(E4:E43)</f>
        <v>542.46599999999989</v>
      </c>
      <c r="F44" s="15"/>
      <c r="G44" s="36">
        <f>SUM(G4:G43)</f>
        <v>77659.5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v>2.59</v>
      </c>
      <c r="D46" s="55"/>
      <c r="E46" s="55">
        <f t="shared" si="0"/>
        <v>2.59</v>
      </c>
      <c r="F46" s="56">
        <v>405</v>
      </c>
      <c r="G46" s="56">
        <f>F46*E46</f>
        <v>1048.95</v>
      </c>
    </row>
    <row r="47" spans="1:7" x14ac:dyDescent="0.25">
      <c r="A47" s="53">
        <v>42</v>
      </c>
      <c r="B47" s="54" t="s">
        <v>55</v>
      </c>
      <c r="C47" s="55">
        <f>2.53+1.52+15.5+13.8+21+63*12.3</f>
        <v>829.25000000000011</v>
      </c>
      <c r="D47" s="55"/>
      <c r="E47" s="55">
        <f t="shared" si="0"/>
        <v>829.25000000000011</v>
      </c>
      <c r="F47" s="56">
        <v>125</v>
      </c>
      <c r="G47" s="56">
        <f t="shared" ref="G47:G88" si="2">F47*E47</f>
        <v>103656.25000000001</v>
      </c>
    </row>
    <row r="48" spans="1:7" x14ac:dyDescent="0.25">
      <c r="A48" s="53">
        <v>43</v>
      </c>
      <c r="B48" s="54" t="s">
        <v>145</v>
      </c>
      <c r="C48" s="55">
        <f>4.3+11.1+0.768</f>
        <v>16.167999999999999</v>
      </c>
      <c r="D48" s="55"/>
      <c r="E48" s="55">
        <f t="shared" si="0"/>
        <v>16.167999999999999</v>
      </c>
      <c r="F48" s="56">
        <v>92</v>
      </c>
      <c r="G48" s="56">
        <f t="shared" si="2"/>
        <v>1487.4559999999999</v>
      </c>
    </row>
    <row r="49" spans="1:7" x14ac:dyDescent="0.25">
      <c r="A49" s="53">
        <v>44</v>
      </c>
      <c r="B49" s="54" t="s">
        <v>146</v>
      </c>
      <c r="C49" s="55">
        <f>5.36+5.13+16.7+1.152</f>
        <v>28.341999999999999</v>
      </c>
      <c r="D49" s="55"/>
      <c r="E49" s="55">
        <f t="shared" si="0"/>
        <v>28.341999999999999</v>
      </c>
      <c r="F49" s="56">
        <v>92</v>
      </c>
      <c r="G49" s="56">
        <f t="shared" si="2"/>
        <v>2607.4639999999999</v>
      </c>
    </row>
    <row r="50" spans="1:7" x14ac:dyDescent="0.25">
      <c r="A50" s="53">
        <v>45</v>
      </c>
      <c r="B50" s="54" t="s">
        <v>147</v>
      </c>
      <c r="C50" s="55">
        <f>4.096+22.5-4.4</f>
        <v>22.195999999999998</v>
      </c>
      <c r="D50" s="55"/>
      <c r="E50" s="55">
        <f t="shared" si="0"/>
        <v>22.195999999999998</v>
      </c>
      <c r="F50" s="56">
        <v>214</v>
      </c>
      <c r="G50" s="56">
        <f t="shared" si="2"/>
        <v>4749.9439999999995</v>
      </c>
    </row>
    <row r="51" spans="1:7" x14ac:dyDescent="0.25">
      <c r="A51" s="53">
        <v>46</v>
      </c>
      <c r="B51" s="54" t="s">
        <v>148</v>
      </c>
      <c r="C51" s="55">
        <f>3.26+19.3</f>
        <v>22.560000000000002</v>
      </c>
      <c r="D51" s="55"/>
      <c r="E51" s="55">
        <f t="shared" si="0"/>
        <v>22.560000000000002</v>
      </c>
      <c r="F51" s="56">
        <v>100</v>
      </c>
      <c r="G51" s="56">
        <f t="shared" si="2"/>
        <v>2256</v>
      </c>
    </row>
    <row r="52" spans="1:7" x14ac:dyDescent="0.25">
      <c r="A52" s="53">
        <v>47</v>
      </c>
      <c r="B52" s="54" t="s">
        <v>149</v>
      </c>
      <c r="C52" s="55">
        <v>2.54</v>
      </c>
      <c r="D52" s="55"/>
      <c r="E52" s="55">
        <f t="shared" si="0"/>
        <v>2.54</v>
      </c>
      <c r="F52" s="56">
        <v>95</v>
      </c>
      <c r="G52" s="56">
        <f t="shared" si="2"/>
        <v>241.3</v>
      </c>
    </row>
    <row r="53" spans="1:7" x14ac:dyDescent="0.25">
      <c r="A53" s="53">
        <v>48</v>
      </c>
      <c r="B53" s="54" t="s">
        <v>150</v>
      </c>
      <c r="C53" s="55">
        <f>90.15+21.4+40+4.626+1.35</f>
        <v>157.52600000000001</v>
      </c>
      <c r="D53" s="55"/>
      <c r="E53" s="55">
        <f t="shared" si="0"/>
        <v>157.52600000000001</v>
      </c>
      <c r="F53" s="56">
        <v>110</v>
      </c>
      <c r="G53" s="56">
        <f t="shared" si="2"/>
        <v>17327.86</v>
      </c>
    </row>
    <row r="54" spans="1:7" x14ac:dyDescent="0.25">
      <c r="A54" s="53">
        <v>49</v>
      </c>
      <c r="B54" s="54" t="s">
        <v>31</v>
      </c>
      <c r="C54" s="55">
        <f>7.5+10.12+4</f>
        <v>21.619999999999997</v>
      </c>
      <c r="D54" s="55"/>
      <c r="E54" s="55">
        <f t="shared" si="0"/>
        <v>21.619999999999997</v>
      </c>
      <c r="F54" s="56">
        <v>175</v>
      </c>
      <c r="G54" s="56">
        <f t="shared" si="2"/>
        <v>3783.4999999999995</v>
      </c>
    </row>
    <row r="55" spans="1:7" x14ac:dyDescent="0.25">
      <c r="A55" s="53">
        <v>50</v>
      </c>
      <c r="B55" s="54" t="s">
        <v>32</v>
      </c>
      <c r="C55" s="55">
        <f>23.6+5.8+2.616+3.14</f>
        <v>35.156000000000006</v>
      </c>
      <c r="D55" s="55"/>
      <c r="E55" s="55">
        <f t="shared" si="0"/>
        <v>35.156000000000006</v>
      </c>
      <c r="F55" s="56">
        <v>140</v>
      </c>
      <c r="G55" s="56">
        <f t="shared" si="2"/>
        <v>4921.8400000000011</v>
      </c>
    </row>
    <row r="56" spans="1:7" x14ac:dyDescent="0.25">
      <c r="A56" s="53">
        <v>51</v>
      </c>
      <c r="B56" s="54" t="s">
        <v>33</v>
      </c>
      <c r="C56" s="55">
        <f>39.9+22.3+43.6+5.85+8.3+10.135+40+6.2+10.53</f>
        <v>186.815</v>
      </c>
      <c r="D56" s="55"/>
      <c r="E56" s="55">
        <f t="shared" si="0"/>
        <v>186.815</v>
      </c>
      <c r="F56" s="56">
        <v>94</v>
      </c>
      <c r="G56" s="56">
        <f t="shared" si="2"/>
        <v>17560.61</v>
      </c>
    </row>
    <row r="57" spans="1:7" x14ac:dyDescent="0.25">
      <c r="A57" s="53">
        <v>52</v>
      </c>
      <c r="B57" s="54" t="s">
        <v>34</v>
      </c>
      <c r="C57" s="55">
        <f>19+38.6+12.735</f>
        <v>70.335000000000008</v>
      </c>
      <c r="D57" s="55"/>
      <c r="E57" s="55">
        <f t="shared" si="0"/>
        <v>70.335000000000008</v>
      </c>
      <c r="F57" s="56">
        <v>64</v>
      </c>
      <c r="G57" s="56">
        <f t="shared" si="2"/>
        <v>4501.4400000000005</v>
      </c>
    </row>
    <row r="58" spans="1:7" x14ac:dyDescent="0.25">
      <c r="A58" s="53">
        <v>53</v>
      </c>
      <c r="B58" s="54" t="s">
        <v>35</v>
      </c>
      <c r="C58" s="55">
        <f>22.8+20.4+10+7.805</f>
        <v>61.005000000000003</v>
      </c>
      <c r="D58" s="55"/>
      <c r="E58" s="55">
        <f t="shared" si="0"/>
        <v>61.005000000000003</v>
      </c>
      <c r="F58" s="56">
        <v>64</v>
      </c>
      <c r="G58" s="56">
        <f t="shared" si="2"/>
        <v>3904.32</v>
      </c>
    </row>
    <row r="59" spans="1:7" x14ac:dyDescent="0.25">
      <c r="A59" s="53">
        <v>54</v>
      </c>
      <c r="B59" s="54" t="s">
        <v>36</v>
      </c>
      <c r="C59" s="55">
        <f>4.5+7.66+13.395</f>
        <v>25.555</v>
      </c>
      <c r="D59" s="55"/>
      <c r="E59" s="55">
        <f t="shared" si="0"/>
        <v>25.555</v>
      </c>
      <c r="F59" s="56">
        <v>110</v>
      </c>
      <c r="G59" s="56">
        <f t="shared" si="2"/>
        <v>2811.05</v>
      </c>
    </row>
    <row r="60" spans="1:7" x14ac:dyDescent="0.25">
      <c r="A60" s="53">
        <v>55</v>
      </c>
      <c r="B60" s="54" t="s">
        <v>37</v>
      </c>
      <c r="C60" s="55">
        <v>5</v>
      </c>
      <c r="D60" s="55"/>
      <c r="E60" s="55">
        <f t="shared" si="0"/>
        <v>5</v>
      </c>
      <c r="F60" s="56">
        <v>63</v>
      </c>
      <c r="G60" s="56">
        <f t="shared" si="2"/>
        <v>315</v>
      </c>
    </row>
    <row r="61" spans="1:7" x14ac:dyDescent="0.25">
      <c r="A61" s="53">
        <v>56</v>
      </c>
      <c r="B61" s="54" t="s">
        <v>380</v>
      </c>
      <c r="C61" s="55">
        <v>4</v>
      </c>
      <c r="D61" s="55"/>
      <c r="E61" s="55">
        <f t="shared" si="0"/>
        <v>4</v>
      </c>
      <c r="F61" s="56">
        <v>56</v>
      </c>
      <c r="G61" s="56">
        <f t="shared" si="2"/>
        <v>224</v>
      </c>
    </row>
    <row r="62" spans="1:7" x14ac:dyDescent="0.25">
      <c r="A62" s="53">
        <v>57</v>
      </c>
      <c r="B62" s="54" t="s">
        <v>16</v>
      </c>
      <c r="C62" s="55">
        <v>1</v>
      </c>
      <c r="D62" s="55"/>
      <c r="E62" s="55">
        <f t="shared" si="0"/>
        <v>1</v>
      </c>
      <c r="F62" s="56">
        <v>72</v>
      </c>
      <c r="G62" s="56">
        <f t="shared" si="2"/>
        <v>72</v>
      </c>
    </row>
    <row r="63" spans="1:7" x14ac:dyDescent="0.25">
      <c r="A63" s="53">
        <v>58</v>
      </c>
      <c r="B63" s="54" t="s">
        <v>18</v>
      </c>
      <c r="C63" s="55">
        <v>0</v>
      </c>
      <c r="D63" s="55"/>
      <c r="E63" s="55">
        <f t="shared" si="0"/>
        <v>0</v>
      </c>
      <c r="F63" s="56">
        <v>40</v>
      </c>
      <c r="G63" s="56">
        <f t="shared" si="2"/>
        <v>0</v>
      </c>
    </row>
    <row r="64" spans="1:7" x14ac:dyDescent="0.25">
      <c r="A64" s="53">
        <v>59</v>
      </c>
      <c r="B64" s="54" t="s">
        <v>38</v>
      </c>
      <c r="C64" s="55">
        <v>19</v>
      </c>
      <c r="D64" s="55"/>
      <c r="E64" s="55">
        <f t="shared" si="0"/>
        <v>19</v>
      </c>
      <c r="F64" s="56">
        <v>23</v>
      </c>
      <c r="G64" s="56">
        <f t="shared" si="2"/>
        <v>437</v>
      </c>
    </row>
    <row r="65" spans="1:7" x14ac:dyDescent="0.25">
      <c r="A65" s="53">
        <v>60</v>
      </c>
      <c r="B65" s="54" t="s">
        <v>39</v>
      </c>
      <c r="C65" s="55">
        <v>4</v>
      </c>
      <c r="D65" s="55"/>
      <c r="E65" s="55">
        <f t="shared" si="0"/>
        <v>4</v>
      </c>
      <c r="F65" s="56">
        <v>31</v>
      </c>
      <c r="G65" s="56">
        <f t="shared" si="2"/>
        <v>124</v>
      </c>
    </row>
    <row r="66" spans="1:7" x14ac:dyDescent="0.25">
      <c r="A66" s="53">
        <v>61</v>
      </c>
      <c r="B66" s="54" t="s">
        <v>40</v>
      </c>
      <c r="C66" s="55">
        <v>56</v>
      </c>
      <c r="D66" s="55"/>
      <c r="E66" s="55">
        <f t="shared" si="0"/>
        <v>56</v>
      </c>
      <c r="F66" s="56">
        <v>60</v>
      </c>
      <c r="G66" s="56">
        <f t="shared" si="2"/>
        <v>3360</v>
      </c>
    </row>
    <row r="67" spans="1:7" x14ac:dyDescent="0.25">
      <c r="A67" s="53">
        <v>62</v>
      </c>
      <c r="B67" s="54" t="s">
        <v>41</v>
      </c>
      <c r="C67" s="55">
        <f>2.73+3.185+2.58+0.33+1.26+1.12+8.33</f>
        <v>19.535000000000004</v>
      </c>
      <c r="D67" s="55"/>
      <c r="E67" s="55">
        <f t="shared" si="0"/>
        <v>19.535000000000004</v>
      </c>
      <c r="F67" s="56">
        <v>250</v>
      </c>
      <c r="G67" s="56">
        <f t="shared" si="2"/>
        <v>4883.7500000000009</v>
      </c>
    </row>
    <row r="68" spans="1:7" x14ac:dyDescent="0.25">
      <c r="A68" s="53">
        <v>63</v>
      </c>
      <c r="B68" s="54" t="s">
        <v>151</v>
      </c>
      <c r="C68" s="55">
        <v>4</v>
      </c>
      <c r="D68" s="55"/>
      <c r="E68" s="55">
        <f t="shared" ref="E68:E131" si="3">C68-(D68*2.2)</f>
        <v>4</v>
      </c>
      <c r="F68" s="56">
        <v>85</v>
      </c>
      <c r="G68" s="56">
        <f t="shared" si="2"/>
        <v>340</v>
      </c>
    </row>
    <row r="69" spans="1:7" x14ac:dyDescent="0.25">
      <c r="A69" s="53">
        <v>64</v>
      </c>
      <c r="B69" s="54" t="s">
        <v>152</v>
      </c>
      <c r="C69" s="55">
        <v>0</v>
      </c>
      <c r="D69" s="55"/>
      <c r="E69" s="55">
        <f t="shared" si="3"/>
        <v>0</v>
      </c>
      <c r="F69" s="56">
        <v>95</v>
      </c>
      <c r="G69" s="56">
        <f t="shared" si="2"/>
        <v>0</v>
      </c>
    </row>
    <row r="70" spans="1:7" x14ac:dyDescent="0.25">
      <c r="A70" s="53">
        <v>65</v>
      </c>
      <c r="B70" s="54" t="s">
        <v>51</v>
      </c>
      <c r="C70" s="55">
        <v>12</v>
      </c>
      <c r="D70" s="55"/>
      <c r="E70" s="55">
        <f t="shared" si="3"/>
        <v>12</v>
      </c>
      <c r="F70" s="56">
        <v>46</v>
      </c>
      <c r="G70" s="56">
        <f t="shared" si="2"/>
        <v>552</v>
      </c>
    </row>
    <row r="71" spans="1:7" x14ac:dyDescent="0.25">
      <c r="A71" s="53">
        <v>66</v>
      </c>
      <c r="B71" s="54" t="s">
        <v>52</v>
      </c>
      <c r="C71" s="60">
        <v>0</v>
      </c>
      <c r="D71" s="60"/>
      <c r="E71" s="55">
        <f t="shared" si="3"/>
        <v>0</v>
      </c>
      <c r="F71" s="56">
        <v>116</v>
      </c>
      <c r="G71" s="56">
        <f t="shared" si="2"/>
        <v>0</v>
      </c>
    </row>
    <row r="72" spans="1:7" x14ac:dyDescent="0.25">
      <c r="A72" s="53">
        <v>67</v>
      </c>
      <c r="B72" s="54" t="s">
        <v>53</v>
      </c>
      <c r="C72" s="55">
        <f>5.3+23+0.44+3.81</f>
        <v>32.550000000000004</v>
      </c>
      <c r="D72" s="55"/>
      <c r="E72" s="55">
        <f t="shared" si="3"/>
        <v>32.550000000000004</v>
      </c>
      <c r="F72" s="56">
        <v>102</v>
      </c>
      <c r="G72" s="56">
        <f t="shared" si="2"/>
        <v>3320.1000000000004</v>
      </c>
    </row>
    <row r="73" spans="1:7" x14ac:dyDescent="0.25">
      <c r="A73" s="53">
        <v>68</v>
      </c>
      <c r="B73" s="54" t="s">
        <v>349</v>
      </c>
      <c r="C73" s="55">
        <v>1</v>
      </c>
      <c r="D73" s="55"/>
      <c r="E73" s="55">
        <f t="shared" si="3"/>
        <v>1</v>
      </c>
      <c r="F73" s="56">
        <v>155</v>
      </c>
      <c r="G73" s="56">
        <f t="shared" si="2"/>
        <v>155</v>
      </c>
    </row>
    <row r="74" spans="1:7" x14ac:dyDescent="0.25">
      <c r="A74" s="53">
        <v>69</v>
      </c>
      <c r="B74" s="54" t="s">
        <v>100</v>
      </c>
      <c r="C74" s="55">
        <v>49</v>
      </c>
      <c r="D74" s="55"/>
      <c r="E74" s="55">
        <f t="shared" si="3"/>
        <v>49</v>
      </c>
      <c r="F74" s="56">
        <v>26</v>
      </c>
      <c r="G74" s="56">
        <f t="shared" si="2"/>
        <v>1274</v>
      </c>
    </row>
    <row r="75" spans="1:7" x14ac:dyDescent="0.25">
      <c r="A75" s="53">
        <v>70</v>
      </c>
      <c r="B75" s="54" t="s">
        <v>366</v>
      </c>
      <c r="C75" s="55">
        <v>1.92</v>
      </c>
      <c r="D75" s="55"/>
      <c r="E75" s="55">
        <f t="shared" si="3"/>
        <v>1.92</v>
      </c>
      <c r="F75" s="56">
        <v>175</v>
      </c>
      <c r="G75" s="56">
        <f t="shared" si="2"/>
        <v>336</v>
      </c>
    </row>
    <row r="76" spans="1:7" x14ac:dyDescent="0.25">
      <c r="A76" s="53">
        <v>71</v>
      </c>
      <c r="B76" s="54" t="s">
        <v>154</v>
      </c>
      <c r="C76" s="55">
        <f>34+25+3</f>
        <v>62</v>
      </c>
      <c r="D76" s="55"/>
      <c r="E76" s="55">
        <f t="shared" si="3"/>
        <v>62</v>
      </c>
      <c r="F76" s="56">
        <v>26</v>
      </c>
      <c r="G76" s="56">
        <f t="shared" si="2"/>
        <v>1612</v>
      </c>
    </row>
    <row r="77" spans="1:7" x14ac:dyDescent="0.25">
      <c r="A77" s="53">
        <v>72</v>
      </c>
      <c r="B77" s="54" t="s">
        <v>155</v>
      </c>
      <c r="C77" s="55">
        <v>3</v>
      </c>
      <c r="D77" s="55"/>
      <c r="E77" s="55">
        <f t="shared" si="3"/>
        <v>3</v>
      </c>
      <c r="F77" s="56">
        <v>50</v>
      </c>
      <c r="G77" s="56">
        <f t="shared" si="2"/>
        <v>150</v>
      </c>
    </row>
    <row r="78" spans="1:7" x14ac:dyDescent="0.25">
      <c r="A78" s="53">
        <v>73</v>
      </c>
      <c r="B78" s="54" t="s">
        <v>156</v>
      </c>
      <c r="C78" s="55">
        <v>7</v>
      </c>
      <c r="D78" s="55"/>
      <c r="E78" s="55">
        <f t="shared" si="3"/>
        <v>7</v>
      </c>
      <c r="F78" s="56">
        <v>68</v>
      </c>
      <c r="G78" s="56">
        <f t="shared" si="2"/>
        <v>476</v>
      </c>
    </row>
    <row r="79" spans="1:7" x14ac:dyDescent="0.25">
      <c r="A79" s="53">
        <v>74</v>
      </c>
      <c r="B79" s="54" t="s">
        <v>365</v>
      </c>
      <c r="C79" s="55">
        <v>1.1419999999999999</v>
      </c>
      <c r="D79" s="55"/>
      <c r="E79" s="55">
        <f t="shared" si="3"/>
        <v>1.1419999999999999</v>
      </c>
      <c r="F79" s="56">
        <v>186</v>
      </c>
      <c r="G79" s="56">
        <f t="shared" si="2"/>
        <v>212.41199999999998</v>
      </c>
    </row>
    <row r="80" spans="1:7" x14ac:dyDescent="0.25">
      <c r="A80" s="53">
        <v>75</v>
      </c>
      <c r="B80" s="54" t="s">
        <v>159</v>
      </c>
      <c r="C80" s="55">
        <f>3.1+6.67+9.92</f>
        <v>19.689999999999998</v>
      </c>
      <c r="D80" s="55"/>
      <c r="E80" s="55">
        <f t="shared" si="3"/>
        <v>19.689999999999998</v>
      </c>
      <c r="F80" s="56">
        <v>116</v>
      </c>
      <c r="G80" s="56">
        <f t="shared" si="2"/>
        <v>2284.04</v>
      </c>
    </row>
    <row r="81" spans="1:7" x14ac:dyDescent="0.25">
      <c r="A81" s="53">
        <v>76</v>
      </c>
      <c r="B81" s="54" t="s">
        <v>166</v>
      </c>
      <c r="C81" s="55">
        <v>94</v>
      </c>
      <c r="D81" s="55"/>
      <c r="E81" s="55">
        <f t="shared" si="3"/>
        <v>94</v>
      </c>
      <c r="F81" s="56">
        <v>45</v>
      </c>
      <c r="G81" s="56">
        <f t="shared" si="2"/>
        <v>4230</v>
      </c>
    </row>
    <row r="82" spans="1:7" x14ac:dyDescent="0.25">
      <c r="A82" s="53">
        <v>77</v>
      </c>
      <c r="B82" s="54" t="s">
        <v>160</v>
      </c>
      <c r="C82" s="55">
        <v>5.5</v>
      </c>
      <c r="D82" s="55"/>
      <c r="E82" s="55">
        <f t="shared" si="3"/>
        <v>5.5</v>
      </c>
      <c r="F82" s="56">
        <v>60</v>
      </c>
      <c r="G82" s="56">
        <f t="shared" si="2"/>
        <v>330</v>
      </c>
    </row>
    <row r="83" spans="1:7" x14ac:dyDescent="0.25">
      <c r="A83" s="53">
        <v>78</v>
      </c>
      <c r="B83" s="54" t="s">
        <v>373</v>
      </c>
      <c r="C83" s="55">
        <v>2.5499999999999998</v>
      </c>
      <c r="D83" s="55"/>
      <c r="E83" s="55">
        <f t="shared" si="3"/>
        <v>2.5499999999999998</v>
      </c>
      <c r="F83" s="56">
        <v>78</v>
      </c>
      <c r="G83" s="56">
        <f t="shared" si="2"/>
        <v>198.89999999999998</v>
      </c>
    </row>
    <row r="84" spans="1:7" x14ac:dyDescent="0.25">
      <c r="A84" s="53">
        <v>79</v>
      </c>
      <c r="B84" s="54" t="s">
        <v>374</v>
      </c>
      <c r="C84" s="55">
        <v>4.1900000000000004</v>
      </c>
      <c r="D84" s="55"/>
      <c r="E84" s="55">
        <f t="shared" si="3"/>
        <v>4.1900000000000004</v>
      </c>
      <c r="F84" s="56">
        <v>160</v>
      </c>
      <c r="G84" s="56">
        <f t="shared" si="2"/>
        <v>670.40000000000009</v>
      </c>
    </row>
    <row r="85" spans="1:7" x14ac:dyDescent="0.25">
      <c r="A85" s="53">
        <v>80</v>
      </c>
      <c r="B85" s="54" t="s">
        <v>163</v>
      </c>
      <c r="C85" s="55">
        <v>19</v>
      </c>
      <c r="D85" s="55"/>
      <c r="E85" s="55">
        <f t="shared" si="3"/>
        <v>19</v>
      </c>
      <c r="F85" s="56">
        <v>28</v>
      </c>
      <c r="G85" s="56">
        <f t="shared" si="2"/>
        <v>532</v>
      </c>
    </row>
    <row r="86" spans="1:7" x14ac:dyDescent="0.25">
      <c r="A86" s="53">
        <v>81</v>
      </c>
      <c r="B86" s="54" t="s">
        <v>164</v>
      </c>
      <c r="C86" s="55">
        <v>39</v>
      </c>
      <c r="D86" s="55"/>
      <c r="E86" s="55">
        <f t="shared" si="3"/>
        <v>39</v>
      </c>
      <c r="F86" s="56">
        <v>28</v>
      </c>
      <c r="G86" s="56">
        <f t="shared" si="2"/>
        <v>1092</v>
      </c>
    </row>
    <row r="87" spans="1:7" x14ac:dyDescent="0.25">
      <c r="A87" s="53">
        <v>82</v>
      </c>
      <c r="B87" s="54" t="s">
        <v>167</v>
      </c>
      <c r="C87" s="55">
        <v>26</v>
      </c>
      <c r="D87" s="55"/>
      <c r="E87" s="55">
        <f t="shared" si="3"/>
        <v>26</v>
      </c>
      <c r="F87" s="56">
        <v>30</v>
      </c>
      <c r="G87" s="56">
        <f t="shared" si="2"/>
        <v>780</v>
      </c>
    </row>
    <row r="88" spans="1:7" x14ac:dyDescent="0.25">
      <c r="A88" s="53">
        <v>83</v>
      </c>
      <c r="B88" s="54" t="s">
        <v>165</v>
      </c>
      <c r="C88" s="55">
        <v>30</v>
      </c>
      <c r="D88" s="55"/>
      <c r="E88" s="55">
        <f t="shared" si="3"/>
        <v>30</v>
      </c>
      <c r="F88" s="56">
        <v>30</v>
      </c>
      <c r="G88" s="56">
        <f t="shared" si="2"/>
        <v>900</v>
      </c>
    </row>
    <row r="89" spans="1:7" ht="15.75" thickBot="1" x14ac:dyDescent="0.3">
      <c r="A89" s="53"/>
      <c r="B89" s="57" t="s">
        <v>17</v>
      </c>
      <c r="C89" s="15">
        <f>SUM(C46:C88)</f>
        <v>2003.7350000000006</v>
      </c>
      <c r="D89" s="74" t="s">
        <v>402</v>
      </c>
      <c r="E89" s="15">
        <f>SUM(E46:E88)</f>
        <v>2003.7350000000006</v>
      </c>
      <c r="F89" s="36"/>
      <c r="G89" s="36">
        <f>SUM(G46:G88)</f>
        <v>199718.58600000007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11</v>
      </c>
      <c r="D91" s="55"/>
      <c r="E91" s="55">
        <f t="shared" si="3"/>
        <v>11</v>
      </c>
      <c r="F91" s="56">
        <v>23</v>
      </c>
      <c r="G91" s="56">
        <f>F91*E91</f>
        <v>253</v>
      </c>
    </row>
    <row r="92" spans="1:7" x14ac:dyDescent="0.25">
      <c r="A92" s="53">
        <v>85</v>
      </c>
      <c r="B92" s="54" t="s">
        <v>169</v>
      </c>
      <c r="C92" s="59">
        <v>15</v>
      </c>
      <c r="D92" s="59"/>
      <c r="E92" s="55">
        <f t="shared" si="3"/>
        <v>15</v>
      </c>
      <c r="F92" s="56">
        <v>18</v>
      </c>
      <c r="G92" s="56">
        <f t="shared" ref="G92:G134" si="4">F92*E92</f>
        <v>270</v>
      </c>
    </row>
    <row r="93" spans="1:7" x14ac:dyDescent="0.25">
      <c r="A93" s="53">
        <v>86</v>
      </c>
      <c r="B93" s="54" t="s">
        <v>171</v>
      </c>
      <c r="C93" s="55">
        <v>2.12</v>
      </c>
      <c r="D93" s="55"/>
      <c r="E93" s="55">
        <f t="shared" si="3"/>
        <v>2.12</v>
      </c>
      <c r="F93" s="56">
        <v>125</v>
      </c>
      <c r="G93" s="56">
        <f t="shared" si="4"/>
        <v>265</v>
      </c>
    </row>
    <row r="94" spans="1:7" x14ac:dyDescent="0.25">
      <c r="A94" s="53">
        <v>87</v>
      </c>
      <c r="B94" s="54" t="s">
        <v>172</v>
      </c>
      <c r="C94" s="55">
        <f>1.5+7.85+1.18</f>
        <v>10.53</v>
      </c>
      <c r="D94" s="55"/>
      <c r="E94" s="55">
        <f t="shared" si="3"/>
        <v>10.53</v>
      </c>
      <c r="F94" s="56">
        <v>85</v>
      </c>
      <c r="G94" s="56">
        <f t="shared" si="4"/>
        <v>895.05</v>
      </c>
    </row>
    <row r="95" spans="1:7" x14ac:dyDescent="0.25">
      <c r="A95" s="53">
        <v>88</v>
      </c>
      <c r="B95" s="54" t="s">
        <v>173</v>
      </c>
      <c r="C95" s="55">
        <v>4</v>
      </c>
      <c r="D95" s="55"/>
      <c r="E95" s="55">
        <f t="shared" si="3"/>
        <v>4</v>
      </c>
      <c r="F95" s="56">
        <v>50</v>
      </c>
      <c r="G95" s="56">
        <f t="shared" si="4"/>
        <v>200</v>
      </c>
    </row>
    <row r="96" spans="1:7" x14ac:dyDescent="0.25">
      <c r="A96" s="53">
        <v>89</v>
      </c>
      <c r="B96" s="54" t="s">
        <v>175</v>
      </c>
      <c r="C96" s="55">
        <f>90+7.7</f>
        <v>97.7</v>
      </c>
      <c r="D96" s="55"/>
      <c r="E96" s="55">
        <f t="shared" si="3"/>
        <v>97.7</v>
      </c>
      <c r="F96" s="56">
        <v>115</v>
      </c>
      <c r="G96" s="56">
        <f t="shared" si="4"/>
        <v>11235.5</v>
      </c>
    </row>
    <row r="97" spans="1:7" x14ac:dyDescent="0.25">
      <c r="A97" s="53">
        <v>90</v>
      </c>
      <c r="B97" s="54" t="s">
        <v>174</v>
      </c>
      <c r="C97" s="55">
        <v>6.3</v>
      </c>
      <c r="D97" s="55"/>
      <c r="E97" s="55">
        <f t="shared" si="3"/>
        <v>6.3</v>
      </c>
      <c r="F97" s="56">
        <v>98</v>
      </c>
      <c r="G97" s="56">
        <f t="shared" si="4"/>
        <v>617.4</v>
      </c>
    </row>
    <row r="98" spans="1:7" x14ac:dyDescent="0.25">
      <c r="A98" s="53">
        <v>91</v>
      </c>
      <c r="B98" s="54" t="s">
        <v>176</v>
      </c>
      <c r="C98" s="55">
        <f>6.9+8.21+4.9+1.512</f>
        <v>21.522000000000002</v>
      </c>
      <c r="D98" s="55"/>
      <c r="E98" s="55">
        <f t="shared" si="3"/>
        <v>21.522000000000002</v>
      </c>
      <c r="F98" s="56">
        <v>80</v>
      </c>
      <c r="G98" s="56">
        <f t="shared" si="4"/>
        <v>1721.7600000000002</v>
      </c>
    </row>
    <row r="99" spans="1:7" x14ac:dyDescent="0.25">
      <c r="A99" s="53">
        <v>92</v>
      </c>
      <c r="B99" s="54" t="s">
        <v>177</v>
      </c>
      <c r="C99" s="55">
        <f>3.74+23</f>
        <v>26.740000000000002</v>
      </c>
      <c r="D99" s="55">
        <v>2</v>
      </c>
      <c r="E99" s="55">
        <f t="shared" si="3"/>
        <v>22.340000000000003</v>
      </c>
      <c r="F99" s="56">
        <v>125</v>
      </c>
      <c r="G99" s="56">
        <f t="shared" si="4"/>
        <v>2792.5000000000005</v>
      </c>
    </row>
    <row r="100" spans="1:7" x14ac:dyDescent="0.25">
      <c r="A100" s="53">
        <v>93</v>
      </c>
      <c r="B100" s="54" t="s">
        <v>178</v>
      </c>
      <c r="C100" s="55">
        <v>2.5</v>
      </c>
      <c r="D100" s="55"/>
      <c r="E100" s="55">
        <f t="shared" si="3"/>
        <v>2.5</v>
      </c>
      <c r="F100" s="56">
        <v>60</v>
      </c>
      <c r="G100" s="56">
        <f t="shared" si="4"/>
        <v>150</v>
      </c>
    </row>
    <row r="101" spans="1:7" x14ac:dyDescent="0.25">
      <c r="A101" s="53">
        <v>94</v>
      </c>
      <c r="B101" s="54" t="s">
        <v>179</v>
      </c>
      <c r="C101" s="55">
        <f>9.5+12.44+4.36+1.38+0.64+2.12+3.43+1.13</f>
        <v>35</v>
      </c>
      <c r="D101" s="55">
        <v>1</v>
      </c>
      <c r="E101" s="55">
        <f t="shared" si="3"/>
        <v>32.799999999999997</v>
      </c>
      <c r="F101" s="56">
        <v>106</v>
      </c>
      <c r="G101" s="56">
        <f t="shared" si="4"/>
        <v>3476.7999999999997</v>
      </c>
    </row>
    <row r="102" spans="1:7" x14ac:dyDescent="0.25">
      <c r="A102" s="53">
        <v>95</v>
      </c>
      <c r="B102" s="54" t="s">
        <v>180</v>
      </c>
      <c r="C102" s="55">
        <f>11.48+4.3</f>
        <v>15.780000000000001</v>
      </c>
      <c r="D102" s="55"/>
      <c r="E102" s="55">
        <f t="shared" si="3"/>
        <v>15.780000000000001</v>
      </c>
      <c r="F102" s="56">
        <v>48</v>
      </c>
      <c r="G102" s="56">
        <f t="shared" si="4"/>
        <v>757.44</v>
      </c>
    </row>
    <row r="103" spans="1:7" x14ac:dyDescent="0.25">
      <c r="A103" s="53">
        <v>96</v>
      </c>
      <c r="B103" s="54" t="s">
        <v>181</v>
      </c>
      <c r="C103" s="55">
        <f>61.5+8.04+5.28</f>
        <v>74.819999999999993</v>
      </c>
      <c r="D103" s="55">
        <v>3</v>
      </c>
      <c r="E103" s="55">
        <f t="shared" si="3"/>
        <v>68.22</v>
      </c>
      <c r="F103" s="56">
        <v>96</v>
      </c>
      <c r="G103" s="56">
        <f t="shared" si="4"/>
        <v>6549.12</v>
      </c>
    </row>
    <row r="104" spans="1:7" x14ac:dyDescent="0.25">
      <c r="A104" s="53">
        <v>97</v>
      </c>
      <c r="B104" s="54" t="s">
        <v>182</v>
      </c>
      <c r="C104" s="55">
        <f>4.76+6.34+0.74+18.74+7.02</f>
        <v>37.599999999999994</v>
      </c>
      <c r="D104" s="55"/>
      <c r="E104" s="55">
        <f t="shared" si="3"/>
        <v>37.599999999999994</v>
      </c>
      <c r="F104" s="56">
        <v>98</v>
      </c>
      <c r="G104" s="56">
        <f t="shared" si="4"/>
        <v>3684.7999999999993</v>
      </c>
    </row>
    <row r="105" spans="1:7" x14ac:dyDescent="0.25">
      <c r="A105" s="53">
        <v>98</v>
      </c>
      <c r="B105" s="54" t="s">
        <v>183</v>
      </c>
      <c r="C105" s="55">
        <v>15.18</v>
      </c>
      <c r="D105" s="55"/>
      <c r="E105" s="55">
        <f t="shared" si="3"/>
        <v>15.18</v>
      </c>
      <c r="F105" s="56">
        <v>108</v>
      </c>
      <c r="G105" s="56">
        <f t="shared" si="4"/>
        <v>1639.44</v>
      </c>
    </row>
    <row r="106" spans="1:7" x14ac:dyDescent="0.25">
      <c r="A106" s="53">
        <v>99</v>
      </c>
      <c r="B106" s="54" t="s">
        <v>269</v>
      </c>
      <c r="C106" s="60">
        <f>1.76+11.42+17.56</f>
        <v>30.74</v>
      </c>
      <c r="D106" s="60"/>
      <c r="E106" s="55">
        <f t="shared" si="3"/>
        <v>30.74</v>
      </c>
      <c r="F106" s="56">
        <v>96</v>
      </c>
      <c r="G106" s="56">
        <f t="shared" si="4"/>
        <v>2951.04</v>
      </c>
    </row>
    <row r="107" spans="1:7" x14ac:dyDescent="0.25">
      <c r="A107" s="53">
        <v>100</v>
      </c>
      <c r="B107" s="54" t="s">
        <v>268</v>
      </c>
      <c r="C107" s="55">
        <f>3.2+5</f>
        <v>8.1999999999999993</v>
      </c>
      <c r="D107" s="55"/>
      <c r="E107" s="55">
        <f t="shared" si="3"/>
        <v>8.1999999999999993</v>
      </c>
      <c r="F107" s="56">
        <v>112</v>
      </c>
      <c r="G107" s="56">
        <f t="shared" si="4"/>
        <v>918.39999999999986</v>
      </c>
    </row>
    <row r="108" spans="1:7" x14ac:dyDescent="0.25">
      <c r="A108" s="53">
        <v>101</v>
      </c>
      <c r="B108" s="54" t="s">
        <v>267</v>
      </c>
      <c r="C108" s="55">
        <f>20+5.7+2.76</f>
        <v>28.46</v>
      </c>
      <c r="D108" s="55">
        <v>4</v>
      </c>
      <c r="E108" s="55">
        <f t="shared" si="3"/>
        <v>19.66</v>
      </c>
      <c r="F108" s="56">
        <v>3</v>
      </c>
      <c r="G108" s="56">
        <f t="shared" si="4"/>
        <v>58.980000000000004</v>
      </c>
    </row>
    <row r="109" spans="1:7" x14ac:dyDescent="0.25">
      <c r="A109" s="53">
        <v>102</v>
      </c>
      <c r="B109" s="54" t="s">
        <v>266</v>
      </c>
      <c r="C109" s="55">
        <f>97.4+5.92+4.6</f>
        <v>107.92</v>
      </c>
      <c r="D109" s="55">
        <v>4</v>
      </c>
      <c r="E109" s="55">
        <f t="shared" si="3"/>
        <v>99.12</v>
      </c>
      <c r="F109" s="56">
        <v>74</v>
      </c>
      <c r="G109" s="56">
        <f t="shared" si="4"/>
        <v>7334.88</v>
      </c>
    </row>
    <row r="110" spans="1:7" x14ac:dyDescent="0.25">
      <c r="A110" s="53">
        <v>103</v>
      </c>
      <c r="B110" s="54" t="s">
        <v>265</v>
      </c>
      <c r="C110" s="55">
        <f>18*5+5.82</f>
        <v>95.82</v>
      </c>
      <c r="D110" s="55"/>
      <c r="E110" s="55">
        <f t="shared" si="3"/>
        <v>95.82</v>
      </c>
      <c r="F110" s="56">
        <v>340</v>
      </c>
      <c r="G110" s="56">
        <f t="shared" si="4"/>
        <v>32578.799999999999</v>
      </c>
    </row>
    <row r="111" spans="1:7" x14ac:dyDescent="0.25">
      <c r="A111" s="53">
        <v>104</v>
      </c>
      <c r="B111" s="54" t="s">
        <v>264</v>
      </c>
      <c r="C111" s="55">
        <f>78+23.5+5.68+7.12</f>
        <v>114.30000000000001</v>
      </c>
      <c r="D111" s="55">
        <v>7</v>
      </c>
      <c r="E111" s="55">
        <f t="shared" si="3"/>
        <v>98.9</v>
      </c>
      <c r="F111" s="56">
        <v>76</v>
      </c>
      <c r="G111" s="56">
        <f t="shared" si="4"/>
        <v>7516.4000000000005</v>
      </c>
    </row>
    <row r="112" spans="1:7" x14ac:dyDescent="0.25">
      <c r="A112" s="53">
        <v>105</v>
      </c>
      <c r="B112" s="54" t="s">
        <v>263</v>
      </c>
      <c r="C112" s="55">
        <f>8.1+1.072+1.02</f>
        <v>10.192</v>
      </c>
      <c r="D112" s="55"/>
      <c r="E112" s="55">
        <f t="shared" si="3"/>
        <v>10.192</v>
      </c>
      <c r="F112" s="56">
        <v>96</v>
      </c>
      <c r="G112" s="56">
        <f t="shared" si="4"/>
        <v>978.43200000000002</v>
      </c>
    </row>
    <row r="113" spans="1:7" x14ac:dyDescent="0.25">
      <c r="A113" s="53">
        <v>106</v>
      </c>
      <c r="B113" s="54" t="s">
        <v>262</v>
      </c>
      <c r="C113" s="55">
        <f>257+7+12.84+1.14</f>
        <v>277.97999999999996</v>
      </c>
      <c r="D113" s="55">
        <v>11</v>
      </c>
      <c r="E113" s="55">
        <f t="shared" si="3"/>
        <v>253.77999999999997</v>
      </c>
      <c r="F113" s="56">
        <v>120</v>
      </c>
      <c r="G113" s="56">
        <f t="shared" si="4"/>
        <v>30453.599999999999</v>
      </c>
    </row>
    <row r="114" spans="1:7" x14ac:dyDescent="0.25">
      <c r="A114" s="53">
        <v>107</v>
      </c>
      <c r="B114" s="54" t="s">
        <v>260</v>
      </c>
      <c r="C114" s="55">
        <f>20+12.3</f>
        <v>32.299999999999997</v>
      </c>
      <c r="D114" s="55">
        <v>1</v>
      </c>
      <c r="E114" s="55">
        <f t="shared" si="3"/>
        <v>30.099999999999998</v>
      </c>
      <c r="F114" s="56">
        <v>96</v>
      </c>
      <c r="G114" s="56">
        <f t="shared" si="4"/>
        <v>2889.6</v>
      </c>
    </row>
    <row r="115" spans="1:7" x14ac:dyDescent="0.25">
      <c r="A115" s="53">
        <v>108</v>
      </c>
      <c r="B115" s="54" t="s">
        <v>259</v>
      </c>
      <c r="C115" s="55">
        <f>40+13.5-1+7.2</f>
        <v>59.7</v>
      </c>
      <c r="D115" s="55"/>
      <c r="E115" s="55">
        <f t="shared" si="3"/>
        <v>59.7</v>
      </c>
      <c r="F115" s="56">
        <v>210</v>
      </c>
      <c r="G115" s="56">
        <f t="shared" si="4"/>
        <v>12537</v>
      </c>
    </row>
    <row r="116" spans="1:7" x14ac:dyDescent="0.25">
      <c r="A116" s="53">
        <v>109</v>
      </c>
      <c r="B116" s="54" t="s">
        <v>257</v>
      </c>
      <c r="C116" s="55">
        <v>54.5</v>
      </c>
      <c r="D116" s="55">
        <v>2</v>
      </c>
      <c r="E116" s="55">
        <f t="shared" si="3"/>
        <v>50.1</v>
      </c>
      <c r="F116" s="56">
        <v>47</v>
      </c>
      <c r="G116" s="56">
        <f t="shared" si="4"/>
        <v>2354.7000000000003</v>
      </c>
    </row>
    <row r="117" spans="1:7" x14ac:dyDescent="0.25">
      <c r="A117" s="53">
        <v>110</v>
      </c>
      <c r="B117" s="54" t="s">
        <v>256</v>
      </c>
      <c r="C117" s="55">
        <v>24.8</v>
      </c>
      <c r="D117" s="55">
        <v>1</v>
      </c>
      <c r="E117" s="55">
        <f t="shared" si="3"/>
        <v>22.6</v>
      </c>
      <c r="F117" s="56">
        <v>95</v>
      </c>
      <c r="G117" s="56">
        <f t="shared" si="4"/>
        <v>2147</v>
      </c>
    </row>
    <row r="118" spans="1:7" x14ac:dyDescent="0.25">
      <c r="A118" s="53">
        <v>111</v>
      </c>
      <c r="B118" s="54" t="s">
        <v>255</v>
      </c>
      <c r="C118" s="55">
        <v>0</v>
      </c>
      <c r="D118" s="55"/>
      <c r="E118" s="55">
        <f t="shared" si="3"/>
        <v>0</v>
      </c>
      <c r="F118" s="56">
        <v>98</v>
      </c>
      <c r="G118" s="56">
        <f t="shared" si="4"/>
        <v>0</v>
      </c>
    </row>
    <row r="119" spans="1:7" x14ac:dyDescent="0.25">
      <c r="A119" s="53">
        <v>112</v>
      </c>
      <c r="B119" s="54" t="s">
        <v>254</v>
      </c>
      <c r="C119" s="55">
        <f>1.98+3.86</f>
        <v>5.84</v>
      </c>
      <c r="D119" s="55"/>
      <c r="E119" s="55">
        <f t="shared" si="3"/>
        <v>5.84</v>
      </c>
      <c r="F119" s="56">
        <v>125</v>
      </c>
      <c r="G119" s="56">
        <f t="shared" si="4"/>
        <v>730</v>
      </c>
    </row>
    <row r="120" spans="1:7" x14ac:dyDescent="0.25">
      <c r="A120" s="53">
        <v>113</v>
      </c>
      <c r="B120" s="54" t="s">
        <v>253</v>
      </c>
      <c r="C120" s="55">
        <f>12+3.1+4.56</f>
        <v>19.66</v>
      </c>
      <c r="D120" s="55">
        <v>1</v>
      </c>
      <c r="E120" s="55">
        <f t="shared" si="3"/>
        <v>17.46</v>
      </c>
      <c r="F120" s="56">
        <v>145</v>
      </c>
      <c r="G120" s="56">
        <f t="shared" si="4"/>
        <v>2531.7000000000003</v>
      </c>
    </row>
    <row r="121" spans="1:7" x14ac:dyDescent="0.25">
      <c r="A121" s="53">
        <v>114</v>
      </c>
      <c r="B121" s="54" t="s">
        <v>252</v>
      </c>
      <c r="C121" s="55">
        <v>5.8</v>
      </c>
      <c r="D121" s="55"/>
      <c r="E121" s="55">
        <f t="shared" si="3"/>
        <v>5.8</v>
      </c>
      <c r="F121" s="56">
        <v>170</v>
      </c>
      <c r="G121" s="56">
        <f t="shared" si="4"/>
        <v>986</v>
      </c>
    </row>
    <row r="122" spans="1:7" x14ac:dyDescent="0.25">
      <c r="A122" s="53">
        <v>115</v>
      </c>
      <c r="B122" s="54" t="s">
        <v>251</v>
      </c>
      <c r="C122" s="55">
        <f>436+54.55+16.1+6.62+2.14</f>
        <v>515.41</v>
      </c>
      <c r="D122" s="55">
        <v>25</v>
      </c>
      <c r="E122" s="55">
        <f t="shared" si="3"/>
        <v>460.40999999999997</v>
      </c>
      <c r="F122" s="56">
        <v>112</v>
      </c>
      <c r="G122" s="56">
        <f t="shared" si="4"/>
        <v>51565.919999999998</v>
      </c>
    </row>
    <row r="123" spans="1:7" x14ac:dyDescent="0.25">
      <c r="A123" s="53">
        <v>116</v>
      </c>
      <c r="B123" s="54" t="s">
        <v>250</v>
      </c>
      <c r="C123" s="55">
        <v>116.5</v>
      </c>
      <c r="D123" s="55">
        <v>5</v>
      </c>
      <c r="E123" s="55">
        <f t="shared" si="3"/>
        <v>105.5</v>
      </c>
      <c r="F123" s="56">
        <v>114</v>
      </c>
      <c r="G123" s="56">
        <f t="shared" si="4"/>
        <v>12027</v>
      </c>
    </row>
    <row r="124" spans="1:7" x14ac:dyDescent="0.25">
      <c r="A124" s="53">
        <v>117</v>
      </c>
      <c r="B124" s="54" t="s">
        <v>249</v>
      </c>
      <c r="C124" s="55">
        <f>47+11.82+6.72</f>
        <v>65.540000000000006</v>
      </c>
      <c r="D124" s="55">
        <v>3</v>
      </c>
      <c r="E124" s="55">
        <f t="shared" si="3"/>
        <v>58.940000000000005</v>
      </c>
      <c r="F124" s="56">
        <v>70</v>
      </c>
      <c r="G124" s="56">
        <f t="shared" si="4"/>
        <v>4125.8</v>
      </c>
    </row>
    <row r="125" spans="1:7" x14ac:dyDescent="0.25">
      <c r="A125" s="53">
        <v>118</v>
      </c>
      <c r="B125" s="54" t="s">
        <v>248</v>
      </c>
      <c r="C125" s="55">
        <f>564+337+199.5+270.5+170.5+62.5+108.5+2.5+56.5+16.5+25+11.2+11.38+13.86+5.94+17.8+7.56+1.6+1.68+0.8+7.08+9.5+3.66+0.1+5.28+4.82</f>
        <v>1915.2599999999998</v>
      </c>
      <c r="D125" s="55">
        <v>87</v>
      </c>
      <c r="E125" s="55">
        <f t="shared" si="3"/>
        <v>1723.8599999999997</v>
      </c>
      <c r="F125" s="56">
        <v>198</v>
      </c>
      <c r="G125" s="56">
        <f t="shared" si="4"/>
        <v>341324.27999999991</v>
      </c>
    </row>
    <row r="126" spans="1:7" x14ac:dyDescent="0.25">
      <c r="A126" s="53">
        <v>119</v>
      </c>
      <c r="B126" s="54" t="s">
        <v>247</v>
      </c>
      <c r="C126" s="55">
        <v>657.5</v>
      </c>
      <c r="D126" s="55">
        <v>28</v>
      </c>
      <c r="E126" s="55">
        <f t="shared" si="3"/>
        <v>595.9</v>
      </c>
      <c r="F126" s="56">
        <v>177</v>
      </c>
      <c r="G126" s="56">
        <f t="shared" si="4"/>
        <v>105474.3</v>
      </c>
    </row>
    <row r="127" spans="1:7" x14ac:dyDescent="0.25">
      <c r="A127" s="53">
        <v>120</v>
      </c>
      <c r="B127" s="54" t="s">
        <v>246</v>
      </c>
      <c r="C127" s="55">
        <f>1.72+3.9+6.1+1.54</f>
        <v>13.259999999999998</v>
      </c>
      <c r="D127" s="55"/>
      <c r="E127" s="55">
        <f t="shared" si="3"/>
        <v>13.259999999999998</v>
      </c>
      <c r="F127" s="56">
        <v>190</v>
      </c>
      <c r="G127" s="56">
        <f t="shared" si="4"/>
        <v>2519.3999999999996</v>
      </c>
    </row>
    <row r="128" spans="1:7" x14ac:dyDescent="0.25">
      <c r="A128" s="53">
        <v>121</v>
      </c>
      <c r="B128" s="54" t="s">
        <v>243</v>
      </c>
      <c r="C128" s="55">
        <v>0</v>
      </c>
      <c r="D128" s="55"/>
      <c r="E128" s="55">
        <f t="shared" si="3"/>
        <v>0</v>
      </c>
      <c r="F128" s="56">
        <v>80</v>
      </c>
      <c r="G128" s="56">
        <f t="shared" si="4"/>
        <v>0</v>
      </c>
    </row>
    <row r="129" spans="1:7" x14ac:dyDescent="0.25">
      <c r="A129" s="53">
        <v>122</v>
      </c>
      <c r="B129" s="54" t="s">
        <v>242</v>
      </c>
      <c r="C129" s="55">
        <f>55+25.5+14.58+10.42+2.59</f>
        <v>108.09</v>
      </c>
      <c r="D129" s="55">
        <v>6</v>
      </c>
      <c r="E129" s="55">
        <f t="shared" si="3"/>
        <v>94.89</v>
      </c>
      <c r="F129" s="56">
        <v>76</v>
      </c>
      <c r="G129" s="56">
        <f t="shared" si="4"/>
        <v>7211.64</v>
      </c>
    </row>
    <row r="130" spans="1:7" x14ac:dyDescent="0.25">
      <c r="A130" s="53">
        <v>123</v>
      </c>
      <c r="B130" s="54" t="s">
        <v>240</v>
      </c>
      <c r="C130" s="55">
        <v>5</v>
      </c>
      <c r="D130" s="55"/>
      <c r="E130" s="55">
        <f t="shared" si="3"/>
        <v>5</v>
      </c>
      <c r="F130" s="56">
        <v>59</v>
      </c>
      <c r="G130" s="56">
        <f t="shared" si="4"/>
        <v>295</v>
      </c>
    </row>
    <row r="131" spans="1:7" x14ac:dyDescent="0.25">
      <c r="A131" s="53">
        <v>124</v>
      </c>
      <c r="B131" s="54" t="s">
        <v>239</v>
      </c>
      <c r="C131" s="55">
        <f>21.3+12.628+1.02</f>
        <v>34.948</v>
      </c>
      <c r="D131" s="55"/>
      <c r="E131" s="55">
        <f t="shared" si="3"/>
        <v>34.948</v>
      </c>
      <c r="F131" s="56">
        <v>148</v>
      </c>
      <c r="G131" s="56">
        <f t="shared" si="4"/>
        <v>5172.3040000000001</v>
      </c>
    </row>
    <row r="132" spans="1:7" x14ac:dyDescent="0.25">
      <c r="A132" s="53">
        <v>125</v>
      </c>
      <c r="B132" s="54" t="s">
        <v>238</v>
      </c>
      <c r="C132" s="55">
        <f>10.5+15.7+1.58</f>
        <v>27.78</v>
      </c>
      <c r="D132" s="55"/>
      <c r="E132" s="55">
        <f t="shared" ref="E132:E157" si="5">C132-(D132*2.2)</f>
        <v>27.78</v>
      </c>
      <c r="F132" s="56">
        <v>110</v>
      </c>
      <c r="G132" s="56">
        <f t="shared" si="4"/>
        <v>3055.8</v>
      </c>
    </row>
    <row r="133" spans="1:7" x14ac:dyDescent="0.25">
      <c r="A133" s="53">
        <v>126</v>
      </c>
      <c r="B133" s="54" t="s">
        <v>236</v>
      </c>
      <c r="C133" s="55">
        <f>5.56+1.96</f>
        <v>7.52</v>
      </c>
      <c r="D133" s="55"/>
      <c r="E133" s="55">
        <f t="shared" si="5"/>
        <v>7.52</v>
      </c>
      <c r="F133" s="56">
        <v>173</v>
      </c>
      <c r="G133" s="56">
        <f t="shared" si="4"/>
        <v>1300.96</v>
      </c>
    </row>
    <row r="134" spans="1:7" x14ac:dyDescent="0.25">
      <c r="A134" s="53">
        <v>127</v>
      </c>
      <c r="B134" s="54" t="s">
        <v>237</v>
      </c>
      <c r="C134" s="55">
        <v>168.4</v>
      </c>
      <c r="D134" s="55">
        <v>8</v>
      </c>
      <c r="E134" s="55">
        <f t="shared" si="5"/>
        <v>150.80000000000001</v>
      </c>
      <c r="F134" s="56">
        <v>130</v>
      </c>
      <c r="G134" s="56">
        <f t="shared" si="4"/>
        <v>19604</v>
      </c>
    </row>
    <row r="135" spans="1:7" ht="15.75" thickBot="1" x14ac:dyDescent="0.3">
      <c r="A135" s="53"/>
      <c r="B135" s="57" t="s">
        <v>17</v>
      </c>
      <c r="C135" s="15">
        <f>SUM(C91:C134)</f>
        <v>4887.2120000000004</v>
      </c>
      <c r="D135" s="74" t="s">
        <v>402</v>
      </c>
      <c r="E135" s="15">
        <f>SUM(E91:E134)</f>
        <v>4449.4120000000003</v>
      </c>
      <c r="F135" s="38"/>
      <c r="G135" s="36">
        <f>SUM(G91:G134)</f>
        <v>695150.74600000004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275</v>
      </c>
      <c r="C137" s="55">
        <v>5</v>
      </c>
      <c r="D137" s="55"/>
      <c r="E137" s="55">
        <f t="shared" si="5"/>
        <v>5</v>
      </c>
      <c r="F137" s="56">
        <v>92</v>
      </c>
      <c r="G137" s="56">
        <f>F137*E137</f>
        <v>460</v>
      </c>
    </row>
    <row r="138" spans="1:7" x14ac:dyDescent="0.25">
      <c r="A138" s="53">
        <v>129</v>
      </c>
      <c r="B138" s="54" t="s">
        <v>235</v>
      </c>
      <c r="C138" s="55">
        <f>435.5+19.5+1.6+3.32</f>
        <v>459.92</v>
      </c>
      <c r="D138" s="55">
        <v>22</v>
      </c>
      <c r="E138" s="55">
        <f t="shared" si="5"/>
        <v>411.52</v>
      </c>
      <c r="F138" s="56">
        <v>132</v>
      </c>
      <c r="G138" s="56">
        <f t="shared" ref="G138:G180" si="6">F138*E138</f>
        <v>54320.639999999999</v>
      </c>
    </row>
    <row r="139" spans="1:7" x14ac:dyDescent="0.25">
      <c r="A139" s="53">
        <v>130</v>
      </c>
      <c r="B139" s="54" t="s">
        <v>233</v>
      </c>
      <c r="C139" s="55">
        <f>16.8+18.4+8.44</f>
        <v>43.64</v>
      </c>
      <c r="D139" s="55"/>
      <c r="E139" s="55">
        <f t="shared" si="5"/>
        <v>43.64</v>
      </c>
      <c r="F139" s="56">
        <v>164</v>
      </c>
      <c r="G139" s="56">
        <f t="shared" si="6"/>
        <v>7156.96</v>
      </c>
    </row>
    <row r="140" spans="1:7" x14ac:dyDescent="0.25">
      <c r="A140" s="53">
        <v>131</v>
      </c>
      <c r="B140" s="54" t="s">
        <v>232</v>
      </c>
      <c r="C140" s="55">
        <v>13</v>
      </c>
      <c r="D140" s="55">
        <v>1</v>
      </c>
      <c r="E140" s="55">
        <f t="shared" si="5"/>
        <v>10.8</v>
      </c>
      <c r="F140" s="56">
        <v>84</v>
      </c>
      <c r="G140" s="56">
        <f t="shared" si="6"/>
        <v>907.2</v>
      </c>
    </row>
    <row r="141" spans="1:7" x14ac:dyDescent="0.25">
      <c r="A141" s="53">
        <v>132</v>
      </c>
      <c r="B141" s="54" t="s">
        <v>231</v>
      </c>
      <c r="C141" s="55">
        <f>11.66+11.64+12.96+12.06+11.98+12.01+22.26</f>
        <v>94.570000000000022</v>
      </c>
      <c r="D141" s="55"/>
      <c r="E141" s="55">
        <f t="shared" si="5"/>
        <v>94.570000000000022</v>
      </c>
      <c r="F141" s="56">
        <v>105</v>
      </c>
      <c r="G141" s="56">
        <f t="shared" si="6"/>
        <v>9929.8500000000022</v>
      </c>
    </row>
    <row r="142" spans="1:7" x14ac:dyDescent="0.25">
      <c r="A142" s="53">
        <v>133</v>
      </c>
      <c r="B142" s="54" t="s">
        <v>230</v>
      </c>
      <c r="C142" s="55">
        <v>0</v>
      </c>
      <c r="D142" s="55"/>
      <c r="E142" s="55">
        <f t="shared" si="5"/>
        <v>0</v>
      </c>
      <c r="F142" s="56">
        <v>125</v>
      </c>
      <c r="G142" s="56">
        <f t="shared" si="6"/>
        <v>0</v>
      </c>
    </row>
    <row r="143" spans="1:7" x14ac:dyDescent="0.25">
      <c r="A143" s="53">
        <v>134</v>
      </c>
      <c r="B143" s="54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74+2.06+5.28+4.82</f>
        <v>86.16</v>
      </c>
      <c r="D144" s="55">
        <v>4</v>
      </c>
      <c r="E144" s="55">
        <f t="shared" si="5"/>
        <v>77.36</v>
      </c>
      <c r="F144" s="56">
        <v>85</v>
      </c>
      <c r="G144" s="56">
        <f t="shared" si="6"/>
        <v>6575.6</v>
      </c>
    </row>
    <row r="145" spans="1:7" x14ac:dyDescent="0.25">
      <c r="A145" s="53">
        <v>136</v>
      </c>
      <c r="B145" s="54" t="s">
        <v>377</v>
      </c>
      <c r="C145" s="55">
        <v>3</v>
      </c>
      <c r="D145" s="55"/>
      <c r="E145" s="55">
        <f t="shared" si="5"/>
        <v>3</v>
      </c>
      <c r="F145" s="56">
        <v>56</v>
      </c>
      <c r="G145" s="56">
        <f t="shared" si="6"/>
        <v>168</v>
      </c>
    </row>
    <row r="146" spans="1:7" x14ac:dyDescent="0.25">
      <c r="A146" s="53">
        <v>137</v>
      </c>
      <c r="B146" s="54" t="s">
        <v>21</v>
      </c>
      <c r="C146" s="55">
        <f>4.78+1.58</f>
        <v>6.36</v>
      </c>
      <c r="D146" s="55"/>
      <c r="E146" s="55">
        <f t="shared" si="5"/>
        <v>6.36</v>
      </c>
      <c r="F146" s="56">
        <v>600</v>
      </c>
      <c r="G146" s="56">
        <f t="shared" si="6"/>
        <v>3816</v>
      </c>
    </row>
    <row r="147" spans="1:7" x14ac:dyDescent="0.25">
      <c r="A147" s="53">
        <v>138</v>
      </c>
      <c r="B147" s="54" t="s">
        <v>224</v>
      </c>
      <c r="C147" s="55">
        <f>17.5+9.24</f>
        <v>26.740000000000002</v>
      </c>
      <c r="D147" s="55">
        <v>1</v>
      </c>
      <c r="E147" s="55">
        <f t="shared" si="5"/>
        <v>24.540000000000003</v>
      </c>
      <c r="F147" s="56">
        <v>190</v>
      </c>
      <c r="G147" s="56">
        <f t="shared" si="6"/>
        <v>4662.6000000000004</v>
      </c>
    </row>
    <row r="148" spans="1:7" x14ac:dyDescent="0.25">
      <c r="A148" s="53">
        <v>139</v>
      </c>
      <c r="B148" s="54" t="s">
        <v>22</v>
      </c>
      <c r="C148" s="55">
        <v>0</v>
      </c>
      <c r="D148" s="55"/>
      <c r="E148" s="55">
        <f t="shared" si="5"/>
        <v>0</v>
      </c>
      <c r="F148" s="56">
        <v>136</v>
      </c>
      <c r="G148" s="56">
        <f t="shared" si="6"/>
        <v>0</v>
      </c>
    </row>
    <row r="149" spans="1:7" x14ac:dyDescent="0.25">
      <c r="A149" s="53">
        <v>140</v>
      </c>
      <c r="B149" s="54" t="s">
        <v>223</v>
      </c>
      <c r="C149" s="55">
        <f>39+5.18</f>
        <v>44.18</v>
      </c>
      <c r="D149" s="55">
        <v>3</v>
      </c>
      <c r="E149" s="55">
        <f t="shared" si="5"/>
        <v>37.58</v>
      </c>
      <c r="F149" s="56">
        <v>55</v>
      </c>
      <c r="G149" s="56">
        <f t="shared" si="6"/>
        <v>2066.9</v>
      </c>
    </row>
    <row r="150" spans="1:7" x14ac:dyDescent="0.25">
      <c r="A150" s="53">
        <v>141</v>
      </c>
      <c r="B150" s="54" t="s">
        <v>23</v>
      </c>
      <c r="C150" s="55">
        <f>16.5+9.14</f>
        <v>25.64</v>
      </c>
      <c r="D150" s="55">
        <v>1</v>
      </c>
      <c r="E150" s="55">
        <f t="shared" si="5"/>
        <v>23.44</v>
      </c>
      <c r="F150" s="56">
        <v>600</v>
      </c>
      <c r="G150" s="56">
        <f t="shared" si="6"/>
        <v>14064</v>
      </c>
    </row>
    <row r="151" spans="1:7" x14ac:dyDescent="0.25">
      <c r="A151" s="53">
        <v>142</v>
      </c>
      <c r="B151" s="54" t="s">
        <v>222</v>
      </c>
      <c r="C151" s="55">
        <v>346.4</v>
      </c>
      <c r="D151" s="55">
        <v>11</v>
      </c>
      <c r="E151" s="55">
        <f t="shared" si="5"/>
        <v>322.2</v>
      </c>
      <c r="F151" s="56">
        <v>116</v>
      </c>
      <c r="G151" s="56">
        <f t="shared" si="6"/>
        <v>37375.199999999997</v>
      </c>
    </row>
    <row r="152" spans="1:7" x14ac:dyDescent="0.25">
      <c r="A152" s="53">
        <v>143</v>
      </c>
      <c r="B152" s="54" t="s">
        <v>221</v>
      </c>
      <c r="C152" s="55">
        <v>0</v>
      </c>
      <c r="D152" s="55"/>
      <c r="E152" s="55">
        <f t="shared" si="5"/>
        <v>0</v>
      </c>
      <c r="F152" s="56">
        <v>290</v>
      </c>
      <c r="G152" s="56">
        <f t="shared" si="6"/>
        <v>0</v>
      </c>
    </row>
    <row r="153" spans="1:7" x14ac:dyDescent="0.25">
      <c r="A153" s="53">
        <v>144</v>
      </c>
      <c r="B153" s="54" t="s">
        <v>274</v>
      </c>
      <c r="C153" s="55">
        <v>77.5</v>
      </c>
      <c r="D153" s="55">
        <v>6</v>
      </c>
      <c r="E153" s="55">
        <f t="shared" si="5"/>
        <v>64.3</v>
      </c>
      <c r="F153" s="56">
        <v>102</v>
      </c>
      <c r="G153" s="56">
        <f t="shared" si="6"/>
        <v>6558.5999999999995</v>
      </c>
    </row>
    <row r="154" spans="1:7" x14ac:dyDescent="0.25">
      <c r="A154" s="53">
        <v>145</v>
      </c>
      <c r="B154" s="54" t="s">
        <v>324</v>
      </c>
      <c r="C154" s="55">
        <v>110</v>
      </c>
      <c r="D154" s="55">
        <v>5</v>
      </c>
      <c r="E154" s="55">
        <f t="shared" si="5"/>
        <v>99</v>
      </c>
      <c r="F154" s="56">
        <v>140</v>
      </c>
      <c r="G154" s="56">
        <f t="shared" si="6"/>
        <v>13860</v>
      </c>
    </row>
    <row r="155" spans="1:7" x14ac:dyDescent="0.25">
      <c r="A155" s="53">
        <v>146</v>
      </c>
      <c r="B155" s="54" t="s">
        <v>219</v>
      </c>
      <c r="C155" s="55">
        <f>66.5+14.42+9.94+0.82+1+0.978</f>
        <v>93.657999999999987</v>
      </c>
      <c r="D155" s="55">
        <v>3</v>
      </c>
      <c r="E155" s="55">
        <f t="shared" si="5"/>
        <v>87.057999999999993</v>
      </c>
      <c r="F155" s="56">
        <v>95</v>
      </c>
      <c r="G155" s="56">
        <f t="shared" si="6"/>
        <v>8270.5099999999984</v>
      </c>
    </row>
    <row r="156" spans="1:7" x14ac:dyDescent="0.25">
      <c r="A156" s="53">
        <v>147</v>
      </c>
      <c r="B156" s="54" t="s">
        <v>218</v>
      </c>
      <c r="C156" s="55">
        <f>11.9+25.9</f>
        <v>37.799999999999997</v>
      </c>
      <c r="D156" s="55"/>
      <c r="E156" s="55">
        <f t="shared" si="5"/>
        <v>37.799999999999997</v>
      </c>
      <c r="F156" s="56">
        <v>147</v>
      </c>
      <c r="G156" s="56">
        <f t="shared" si="6"/>
        <v>5556.5999999999995</v>
      </c>
    </row>
    <row r="157" spans="1:7" x14ac:dyDescent="0.25">
      <c r="A157" s="53">
        <v>148</v>
      </c>
      <c r="B157" s="54" t="s">
        <v>358</v>
      </c>
      <c r="C157" s="55">
        <v>0</v>
      </c>
      <c r="D157" s="55"/>
      <c r="E157" s="55">
        <f t="shared" si="5"/>
        <v>0</v>
      </c>
      <c r="F157" s="56">
        <v>134</v>
      </c>
      <c r="G157" s="56">
        <f t="shared" si="6"/>
        <v>0</v>
      </c>
    </row>
    <row r="158" spans="1:7" x14ac:dyDescent="0.25">
      <c r="A158" s="53">
        <v>149</v>
      </c>
      <c r="B158" s="54" t="s">
        <v>216</v>
      </c>
      <c r="C158" s="55">
        <f>45+53-6.6+45+10.8</f>
        <v>147.20000000000002</v>
      </c>
      <c r="D158" s="55">
        <v>8</v>
      </c>
      <c r="E158" s="55">
        <f>C158-(D158*2.2)</f>
        <v>129.60000000000002</v>
      </c>
      <c r="F158" s="56">
        <v>96</v>
      </c>
      <c r="G158" s="56">
        <f t="shared" si="6"/>
        <v>12441.600000000002</v>
      </c>
    </row>
    <row r="159" spans="1:7" x14ac:dyDescent="0.25">
      <c r="A159" s="53">
        <v>150</v>
      </c>
      <c r="B159" s="54" t="s">
        <v>215</v>
      </c>
      <c r="C159" s="55">
        <v>366</v>
      </c>
      <c r="D159" s="55"/>
      <c r="E159" s="55">
        <f t="shared" ref="E159:E222" si="7">C159-(D159*2.2)</f>
        <v>366</v>
      </c>
      <c r="F159" s="56">
        <v>70</v>
      </c>
      <c r="G159" s="56">
        <f t="shared" si="6"/>
        <v>25620</v>
      </c>
    </row>
    <row r="160" spans="1:7" x14ac:dyDescent="0.25">
      <c r="A160" s="53">
        <v>151</v>
      </c>
      <c r="B160" s="54" t="s">
        <v>214</v>
      </c>
      <c r="C160" s="55">
        <v>0</v>
      </c>
      <c r="D160" s="55"/>
      <c r="E160" s="55">
        <f t="shared" si="7"/>
        <v>0</v>
      </c>
      <c r="F160" s="56">
        <v>80</v>
      </c>
      <c r="G160" s="56">
        <f t="shared" si="6"/>
        <v>0</v>
      </c>
    </row>
    <row r="161" spans="1:7" x14ac:dyDescent="0.25">
      <c r="A161" s="53">
        <v>152</v>
      </c>
      <c r="B161" s="54" t="s">
        <v>213</v>
      </c>
      <c r="C161" s="55">
        <f>6.5+5.8+17.26</f>
        <v>29.560000000000002</v>
      </c>
      <c r="D161" s="55">
        <v>1</v>
      </c>
      <c r="E161" s="55">
        <f t="shared" si="7"/>
        <v>27.360000000000003</v>
      </c>
      <c r="F161" s="56">
        <v>170</v>
      </c>
      <c r="G161" s="56">
        <f t="shared" si="6"/>
        <v>4651.2000000000007</v>
      </c>
    </row>
    <row r="162" spans="1:7" x14ac:dyDescent="0.25">
      <c r="A162" s="53">
        <v>153</v>
      </c>
      <c r="B162" s="54" t="s">
        <v>212</v>
      </c>
      <c r="C162" s="55">
        <v>96.5</v>
      </c>
      <c r="D162" s="55">
        <v>4</v>
      </c>
      <c r="E162" s="55">
        <f t="shared" si="7"/>
        <v>87.7</v>
      </c>
      <c r="F162" s="56">
        <v>94</v>
      </c>
      <c r="G162" s="56">
        <f t="shared" si="6"/>
        <v>8243.8000000000011</v>
      </c>
    </row>
    <row r="163" spans="1:7" x14ac:dyDescent="0.25">
      <c r="A163" s="53">
        <v>154</v>
      </c>
      <c r="B163" s="54" t="s">
        <v>211</v>
      </c>
      <c r="C163" s="55">
        <v>0</v>
      </c>
      <c r="D163" s="55"/>
      <c r="E163" s="55">
        <f t="shared" si="7"/>
        <v>0</v>
      </c>
      <c r="F163" s="56">
        <v>100</v>
      </c>
      <c r="G163" s="56">
        <f t="shared" si="6"/>
        <v>0</v>
      </c>
    </row>
    <row r="164" spans="1:7" x14ac:dyDescent="0.25">
      <c r="A164" s="53">
        <v>155</v>
      </c>
      <c r="B164" s="54" t="s">
        <v>210</v>
      </c>
      <c r="C164" s="55">
        <f>24.9+24.18+70.5+9.5+3.38</f>
        <v>132.45999999999998</v>
      </c>
      <c r="D164" s="55">
        <v>4</v>
      </c>
      <c r="E164" s="55">
        <f t="shared" si="7"/>
        <v>123.65999999999998</v>
      </c>
      <c r="F164" s="56">
        <v>120</v>
      </c>
      <c r="G164" s="56">
        <f t="shared" si="6"/>
        <v>14839.199999999997</v>
      </c>
    </row>
    <row r="165" spans="1:7" x14ac:dyDescent="0.25">
      <c r="A165" s="53">
        <v>156</v>
      </c>
      <c r="B165" s="54" t="s">
        <v>207</v>
      </c>
      <c r="C165" s="55">
        <v>91.5</v>
      </c>
      <c r="D165" s="55">
        <v>7</v>
      </c>
      <c r="E165" s="55">
        <f t="shared" si="7"/>
        <v>76.099999999999994</v>
      </c>
      <c r="F165" s="56">
        <v>144</v>
      </c>
      <c r="G165" s="56">
        <f t="shared" si="6"/>
        <v>10958.4</v>
      </c>
    </row>
    <row r="166" spans="1:7" x14ac:dyDescent="0.25">
      <c r="A166" s="53">
        <v>157</v>
      </c>
      <c r="B166" s="54" t="s">
        <v>209</v>
      </c>
      <c r="C166" s="55">
        <f>963+92.5</f>
        <v>1055.5</v>
      </c>
      <c r="D166" s="55">
        <v>4</v>
      </c>
      <c r="E166" s="55">
        <f t="shared" si="7"/>
        <v>1046.7</v>
      </c>
      <c r="F166" s="56">
        <v>58</v>
      </c>
      <c r="G166" s="56">
        <f t="shared" si="6"/>
        <v>60708.600000000006</v>
      </c>
    </row>
    <row r="167" spans="1:7" x14ac:dyDescent="0.25">
      <c r="A167" s="53">
        <v>158</v>
      </c>
      <c r="B167" s="54" t="s">
        <v>206</v>
      </c>
      <c r="C167" s="55">
        <f>4+0.96</f>
        <v>4.96</v>
      </c>
      <c r="D167" s="55"/>
      <c r="E167" s="55">
        <f t="shared" si="7"/>
        <v>4.96</v>
      </c>
      <c r="F167" s="56">
        <v>185</v>
      </c>
      <c r="G167" s="56">
        <f t="shared" si="6"/>
        <v>917.6</v>
      </c>
    </row>
    <row r="168" spans="1:7" x14ac:dyDescent="0.25">
      <c r="A168" s="53">
        <v>159</v>
      </c>
      <c r="B168" s="54" t="s">
        <v>205</v>
      </c>
      <c r="C168" s="55">
        <v>137.4</v>
      </c>
      <c r="D168" s="55">
        <v>7</v>
      </c>
      <c r="E168" s="55">
        <f t="shared" si="7"/>
        <v>122</v>
      </c>
      <c r="F168" s="56">
        <v>180</v>
      </c>
      <c r="G168" s="56">
        <f t="shared" si="6"/>
        <v>21960</v>
      </c>
    </row>
    <row r="169" spans="1:7" x14ac:dyDescent="0.25">
      <c r="A169" s="53">
        <v>160</v>
      </c>
      <c r="B169" s="54" t="s">
        <v>204</v>
      </c>
      <c r="C169" s="55">
        <v>218</v>
      </c>
      <c r="D169" s="55">
        <v>8</v>
      </c>
      <c r="E169" s="55">
        <f t="shared" si="7"/>
        <v>200.4</v>
      </c>
      <c r="F169" s="56">
        <v>187</v>
      </c>
      <c r="G169" s="56">
        <f t="shared" si="6"/>
        <v>37474.800000000003</v>
      </c>
    </row>
    <row r="170" spans="1:7" x14ac:dyDescent="0.25">
      <c r="A170" s="53">
        <v>161</v>
      </c>
      <c r="B170" s="54" t="s">
        <v>203</v>
      </c>
      <c r="C170" s="55">
        <v>0</v>
      </c>
      <c r="D170" s="55"/>
      <c r="E170" s="55">
        <f t="shared" si="7"/>
        <v>0</v>
      </c>
      <c r="F170" s="56">
        <v>80</v>
      </c>
      <c r="G170" s="56">
        <f t="shared" si="6"/>
        <v>0</v>
      </c>
    </row>
    <row r="171" spans="1:7" x14ac:dyDescent="0.25">
      <c r="A171" s="53">
        <v>162</v>
      </c>
      <c r="B171" s="54" t="s">
        <v>202</v>
      </c>
      <c r="C171" s="55">
        <f>20.3+5.845</f>
        <v>26.145</v>
      </c>
      <c r="D171" s="55"/>
      <c r="E171" s="55">
        <f t="shared" si="7"/>
        <v>26.145</v>
      </c>
      <c r="F171" s="56">
        <v>64</v>
      </c>
      <c r="G171" s="56">
        <f t="shared" si="6"/>
        <v>1673.28</v>
      </c>
    </row>
    <row r="172" spans="1:7" x14ac:dyDescent="0.25">
      <c r="A172" s="53">
        <v>163</v>
      </c>
      <c r="B172" s="54" t="s">
        <v>345</v>
      </c>
      <c r="C172" s="55">
        <v>0</v>
      </c>
      <c r="D172" s="55"/>
      <c r="E172" s="55">
        <f t="shared" si="7"/>
        <v>0</v>
      </c>
      <c r="F172" s="56">
        <v>72</v>
      </c>
      <c r="G172" s="56">
        <f t="shared" si="6"/>
        <v>0</v>
      </c>
    </row>
    <row r="173" spans="1:7" x14ac:dyDescent="0.25">
      <c r="A173" s="53">
        <v>164</v>
      </c>
      <c r="B173" s="54" t="s">
        <v>200</v>
      </c>
      <c r="C173" s="55">
        <f>21+21.5+15.5+3.08+2+1.68</f>
        <v>64.760000000000005</v>
      </c>
      <c r="D173" s="55">
        <v>5</v>
      </c>
      <c r="E173" s="55">
        <f t="shared" si="7"/>
        <v>53.760000000000005</v>
      </c>
      <c r="F173" s="56">
        <v>140</v>
      </c>
      <c r="G173" s="56">
        <f t="shared" si="6"/>
        <v>7526.4000000000005</v>
      </c>
    </row>
    <row r="174" spans="1:7" x14ac:dyDescent="0.25">
      <c r="A174" s="53">
        <v>165</v>
      </c>
      <c r="B174" s="54" t="s">
        <v>199</v>
      </c>
      <c r="C174" s="55">
        <v>0</v>
      </c>
      <c r="D174" s="55"/>
      <c r="E174" s="55">
        <f t="shared" si="7"/>
        <v>0</v>
      </c>
      <c r="F174" s="56">
        <v>14</v>
      </c>
      <c r="G174" s="56">
        <f t="shared" si="6"/>
        <v>0</v>
      </c>
    </row>
    <row r="175" spans="1:7" x14ac:dyDescent="0.25">
      <c r="A175" s="53">
        <v>166</v>
      </c>
      <c r="B175" s="54" t="s">
        <v>198</v>
      </c>
      <c r="C175" s="55">
        <v>20</v>
      </c>
      <c r="D175" s="55">
        <v>2</v>
      </c>
      <c r="E175" s="55">
        <f t="shared" si="7"/>
        <v>15.6</v>
      </c>
      <c r="F175" s="56">
        <v>56</v>
      </c>
      <c r="G175" s="56">
        <f t="shared" si="6"/>
        <v>873.6</v>
      </c>
    </row>
    <row r="176" spans="1:7" x14ac:dyDescent="0.25">
      <c r="A176" s="53">
        <v>167</v>
      </c>
      <c r="B176" s="54" t="s">
        <v>197</v>
      </c>
      <c r="C176" s="55">
        <v>0</v>
      </c>
      <c r="D176" s="55"/>
      <c r="E176" s="55">
        <f t="shared" si="7"/>
        <v>0</v>
      </c>
      <c r="F176" s="56">
        <v>30</v>
      </c>
      <c r="G176" s="56">
        <f t="shared" si="6"/>
        <v>0</v>
      </c>
    </row>
    <row r="177" spans="1:7" x14ac:dyDescent="0.25">
      <c r="A177" s="53">
        <v>168</v>
      </c>
      <c r="B177" s="54" t="s">
        <v>196</v>
      </c>
      <c r="C177" s="55">
        <v>37</v>
      </c>
      <c r="D177" s="55">
        <v>3</v>
      </c>
      <c r="E177" s="55">
        <f t="shared" si="7"/>
        <v>30.4</v>
      </c>
      <c r="F177" s="56">
        <v>32</v>
      </c>
      <c r="G177" s="56">
        <f t="shared" si="6"/>
        <v>972.8</v>
      </c>
    </row>
    <row r="178" spans="1:7" x14ac:dyDescent="0.25">
      <c r="A178" s="53">
        <v>169</v>
      </c>
      <c r="B178" s="54" t="s">
        <v>93</v>
      </c>
      <c r="C178" s="55">
        <f>34+124+5.2+3.84</f>
        <v>167.04</v>
      </c>
      <c r="D178" s="55">
        <v>8</v>
      </c>
      <c r="E178" s="55">
        <f t="shared" si="7"/>
        <v>149.44</v>
      </c>
      <c r="F178" s="56">
        <v>45</v>
      </c>
      <c r="G178" s="56">
        <f t="shared" si="6"/>
        <v>6724.8</v>
      </c>
    </row>
    <row r="179" spans="1:7" x14ac:dyDescent="0.25">
      <c r="A179" s="53">
        <v>170</v>
      </c>
      <c r="B179" s="54" t="s">
        <v>92</v>
      </c>
      <c r="C179" s="55">
        <v>0</v>
      </c>
      <c r="D179" s="55"/>
      <c r="E179" s="55">
        <f t="shared" si="7"/>
        <v>0</v>
      </c>
      <c r="F179" s="56">
        <v>95</v>
      </c>
      <c r="G179" s="56">
        <f t="shared" si="6"/>
        <v>0</v>
      </c>
    </row>
    <row r="180" spans="1:7" x14ac:dyDescent="0.25">
      <c r="A180" s="53">
        <v>171</v>
      </c>
      <c r="B180" s="54" t="s">
        <v>91</v>
      </c>
      <c r="C180" s="55">
        <f>6.57+6.7+1.1</f>
        <v>14.37</v>
      </c>
      <c r="D180" s="55"/>
      <c r="E180" s="55">
        <f t="shared" si="7"/>
        <v>14.37</v>
      </c>
      <c r="F180" s="56">
        <v>420</v>
      </c>
      <c r="G180" s="56">
        <f t="shared" si="6"/>
        <v>6035.4</v>
      </c>
    </row>
    <row r="181" spans="1:7" ht="15.75" thickBot="1" x14ac:dyDescent="0.3">
      <c r="A181" s="53"/>
      <c r="B181" s="57" t="s">
        <v>17</v>
      </c>
      <c r="C181" s="15">
        <f>SUM(C137:C180)</f>
        <v>4081.9629999999997</v>
      </c>
      <c r="D181" s="74" t="s">
        <v>402</v>
      </c>
      <c r="E181" s="15">
        <f>SUM(E137:E180)</f>
        <v>3822.3629999999998</v>
      </c>
      <c r="F181" s="15"/>
      <c r="G181" s="36">
        <f>SUM(G137:G180)</f>
        <v>397370.14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124+33.46+0.98+1</f>
        <v>159.44</v>
      </c>
      <c r="D183" s="55">
        <v>6</v>
      </c>
      <c r="E183" s="55">
        <f t="shared" si="7"/>
        <v>146.24</v>
      </c>
      <c r="F183" s="56">
        <v>195</v>
      </c>
      <c r="G183" s="56">
        <f>F183*E183</f>
        <v>28516.800000000003</v>
      </c>
    </row>
    <row r="184" spans="1:7" x14ac:dyDescent="0.25">
      <c r="A184" s="53">
        <v>173</v>
      </c>
      <c r="B184" s="54" t="s">
        <v>290</v>
      </c>
      <c r="C184" s="55">
        <f>7*27.22</f>
        <v>190.54</v>
      </c>
      <c r="D184" s="55"/>
      <c r="E184" s="55">
        <f t="shared" si="7"/>
        <v>190.54</v>
      </c>
      <c r="F184" s="56">
        <v>74</v>
      </c>
      <c r="G184" s="56">
        <f t="shared" ref="G184:G222" si="8">F184*E184</f>
        <v>14099.96</v>
      </c>
    </row>
    <row r="185" spans="1:7" x14ac:dyDescent="0.25">
      <c r="A185" s="53">
        <v>174</v>
      </c>
      <c r="B185" s="54" t="s">
        <v>88</v>
      </c>
      <c r="C185" s="55">
        <f>45+6.04+7.48</f>
        <v>58.519999999999996</v>
      </c>
      <c r="D185" s="55">
        <v>3</v>
      </c>
      <c r="E185" s="55">
        <f t="shared" si="7"/>
        <v>51.919999999999995</v>
      </c>
      <c r="F185" s="56">
        <v>50</v>
      </c>
      <c r="G185" s="56">
        <f t="shared" si="8"/>
        <v>2595.9999999999995</v>
      </c>
    </row>
    <row r="186" spans="1:7" x14ac:dyDescent="0.25">
      <c r="A186" s="53">
        <v>175</v>
      </c>
      <c r="B186" s="54" t="s">
        <v>87</v>
      </c>
      <c r="C186" s="55">
        <f>33.5+4.92</f>
        <v>38.42</v>
      </c>
      <c r="D186" s="55">
        <v>0.5</v>
      </c>
      <c r="E186" s="55">
        <f t="shared" si="7"/>
        <v>37.32</v>
      </c>
      <c r="F186" s="56">
        <v>130</v>
      </c>
      <c r="G186" s="56">
        <f t="shared" si="8"/>
        <v>4851.6000000000004</v>
      </c>
    </row>
    <row r="187" spans="1:7" x14ac:dyDescent="0.25">
      <c r="A187" s="53">
        <v>176</v>
      </c>
      <c r="B187" s="54" t="s">
        <v>86</v>
      </c>
      <c r="C187" s="55">
        <f>104+19</f>
        <v>123</v>
      </c>
      <c r="D187" s="55"/>
      <c r="E187" s="55">
        <f t="shared" si="7"/>
        <v>123</v>
      </c>
      <c r="F187" s="56">
        <v>120</v>
      </c>
      <c r="G187" s="56">
        <f t="shared" si="8"/>
        <v>14760</v>
      </c>
    </row>
    <row r="188" spans="1:7" x14ac:dyDescent="0.25">
      <c r="A188" s="53">
        <v>177</v>
      </c>
      <c r="B188" s="54" t="s">
        <v>85</v>
      </c>
      <c r="C188" s="55">
        <f>126+10</f>
        <v>136</v>
      </c>
      <c r="D188" s="55"/>
      <c r="E188" s="55">
        <f t="shared" si="7"/>
        <v>136</v>
      </c>
      <c r="F188" s="56">
        <v>105</v>
      </c>
      <c r="G188" s="56">
        <f t="shared" si="8"/>
        <v>14280</v>
      </c>
    </row>
    <row r="189" spans="1:7" x14ac:dyDescent="0.25">
      <c r="A189" s="53">
        <v>178</v>
      </c>
      <c r="B189" s="54" t="s">
        <v>84</v>
      </c>
      <c r="C189" s="55">
        <v>25.46</v>
      </c>
      <c r="D189" s="55"/>
      <c r="E189" s="55">
        <f t="shared" si="7"/>
        <v>25.46</v>
      </c>
      <c r="F189" s="56">
        <v>75</v>
      </c>
      <c r="G189" s="56">
        <f t="shared" si="8"/>
        <v>1909.5</v>
      </c>
    </row>
    <row r="190" spans="1:7" x14ac:dyDescent="0.25">
      <c r="A190" s="53">
        <v>179</v>
      </c>
      <c r="B190" s="54" t="s">
        <v>83</v>
      </c>
      <c r="C190" s="55">
        <f>11.77+10.77+11.9+11.56+11.81+20.46</f>
        <v>78.27000000000001</v>
      </c>
      <c r="D190" s="55"/>
      <c r="E190" s="55">
        <f t="shared" si="7"/>
        <v>78.27000000000001</v>
      </c>
      <c r="F190" s="56">
        <v>105</v>
      </c>
      <c r="G190" s="56">
        <f t="shared" si="8"/>
        <v>8218.35</v>
      </c>
    </row>
    <row r="191" spans="1:7" x14ac:dyDescent="0.25">
      <c r="A191" s="53">
        <v>180</v>
      </c>
      <c r="B191" s="54" t="s">
        <v>82</v>
      </c>
      <c r="C191" s="55">
        <v>48.5</v>
      </c>
      <c r="D191" s="55"/>
      <c r="E191" s="55">
        <f t="shared" si="7"/>
        <v>48.5</v>
      </c>
      <c r="F191" s="56">
        <v>93</v>
      </c>
      <c r="G191" s="56">
        <f t="shared" si="8"/>
        <v>4510.5</v>
      </c>
    </row>
    <row r="192" spans="1:7" x14ac:dyDescent="0.25">
      <c r="A192" s="53">
        <v>181</v>
      </c>
      <c r="B192" s="54" t="s">
        <v>81</v>
      </c>
      <c r="C192" s="55">
        <v>3</v>
      </c>
      <c r="D192" s="55"/>
      <c r="E192" s="55">
        <f t="shared" si="7"/>
        <v>3</v>
      </c>
      <c r="F192" s="56">
        <v>75</v>
      </c>
      <c r="G192" s="56">
        <f t="shared" si="8"/>
        <v>225</v>
      </c>
    </row>
    <row r="193" spans="1:7" x14ac:dyDescent="0.25">
      <c r="A193" s="53">
        <v>182</v>
      </c>
      <c r="B193" s="54" t="s">
        <v>80</v>
      </c>
      <c r="C193" s="55">
        <v>6</v>
      </c>
      <c r="D193" s="55"/>
      <c r="E193" s="55">
        <f t="shared" si="7"/>
        <v>6</v>
      </c>
      <c r="F193" s="56">
        <v>65</v>
      </c>
      <c r="G193" s="56">
        <f t="shared" si="8"/>
        <v>390</v>
      </c>
    </row>
    <row r="194" spans="1:7" x14ac:dyDescent="0.25">
      <c r="A194" s="53">
        <v>183</v>
      </c>
      <c r="B194" s="54" t="s">
        <v>279</v>
      </c>
      <c r="C194" s="55">
        <v>3</v>
      </c>
      <c r="D194" s="55"/>
      <c r="E194" s="55">
        <f t="shared" si="7"/>
        <v>3</v>
      </c>
      <c r="F194" s="56">
        <v>36</v>
      </c>
      <c r="G194" s="56">
        <f t="shared" si="8"/>
        <v>108</v>
      </c>
    </row>
    <row r="195" spans="1:7" x14ac:dyDescent="0.25">
      <c r="A195" s="53">
        <v>184</v>
      </c>
      <c r="B195" s="54" t="s">
        <v>97</v>
      </c>
      <c r="C195" s="55">
        <v>0</v>
      </c>
      <c r="D195" s="55"/>
      <c r="E195" s="55">
        <f t="shared" si="7"/>
        <v>0</v>
      </c>
      <c r="F195" s="56">
        <v>80</v>
      </c>
      <c r="G195" s="56">
        <f t="shared" si="8"/>
        <v>0</v>
      </c>
    </row>
    <row r="196" spans="1:7" x14ac:dyDescent="0.25">
      <c r="A196" s="53">
        <v>185</v>
      </c>
      <c r="B196" s="54" t="s">
        <v>78</v>
      </c>
      <c r="C196" s="55">
        <v>22</v>
      </c>
      <c r="D196" s="55"/>
      <c r="E196" s="55">
        <f t="shared" si="7"/>
        <v>22</v>
      </c>
      <c r="F196" s="56">
        <v>58</v>
      </c>
      <c r="G196" s="56">
        <f t="shared" si="8"/>
        <v>1276</v>
      </c>
    </row>
    <row r="197" spans="1:7" x14ac:dyDescent="0.25">
      <c r="A197" s="53">
        <v>186</v>
      </c>
      <c r="B197" s="54" t="s">
        <v>76</v>
      </c>
      <c r="C197" s="55">
        <v>3</v>
      </c>
      <c r="D197" s="55"/>
      <c r="E197" s="55">
        <f t="shared" si="7"/>
        <v>3</v>
      </c>
      <c r="F197" s="56">
        <v>36</v>
      </c>
      <c r="G197" s="56">
        <f t="shared" si="8"/>
        <v>108</v>
      </c>
    </row>
    <row r="198" spans="1:7" x14ac:dyDescent="0.25">
      <c r="A198" s="53">
        <v>187</v>
      </c>
      <c r="B198" s="54" t="s">
        <v>19</v>
      </c>
      <c r="C198" s="55">
        <v>5</v>
      </c>
      <c r="D198" s="55"/>
      <c r="E198" s="55">
        <f t="shared" si="7"/>
        <v>5</v>
      </c>
      <c r="F198" s="56">
        <v>115</v>
      </c>
      <c r="G198" s="56">
        <f t="shared" si="8"/>
        <v>575</v>
      </c>
    </row>
    <row r="199" spans="1:7" ht="17.25" customHeight="1" x14ac:dyDescent="0.25">
      <c r="A199" s="53">
        <v>188</v>
      </c>
      <c r="B199" s="54" t="s">
        <v>74</v>
      </c>
      <c r="C199" s="55">
        <v>5</v>
      </c>
      <c r="D199" s="55"/>
      <c r="E199" s="55">
        <f t="shared" si="7"/>
        <v>5</v>
      </c>
      <c r="F199" s="56">
        <v>40</v>
      </c>
      <c r="G199" s="56">
        <f t="shared" si="8"/>
        <v>200</v>
      </c>
    </row>
    <row r="200" spans="1:7" ht="17.25" customHeight="1" x14ac:dyDescent="0.25">
      <c r="A200" s="53">
        <v>189</v>
      </c>
      <c r="B200" s="54" t="s">
        <v>71</v>
      </c>
      <c r="C200" s="55">
        <f>69+13</f>
        <v>82</v>
      </c>
      <c r="D200" s="55"/>
      <c r="E200" s="55">
        <f t="shared" si="7"/>
        <v>82</v>
      </c>
      <c r="F200" s="56">
        <v>35</v>
      </c>
      <c r="G200" s="56">
        <f t="shared" si="8"/>
        <v>2870</v>
      </c>
    </row>
    <row r="201" spans="1:7" ht="17.25" customHeight="1" x14ac:dyDescent="0.25">
      <c r="A201" s="53">
        <v>190</v>
      </c>
      <c r="B201" s="54" t="s">
        <v>72</v>
      </c>
      <c r="C201" s="55">
        <f>3.08+0.46</f>
        <v>3.54</v>
      </c>
      <c r="D201" s="55"/>
      <c r="E201" s="55">
        <f t="shared" si="7"/>
        <v>3.54</v>
      </c>
      <c r="F201" s="56">
        <v>370</v>
      </c>
      <c r="G201" s="56">
        <f t="shared" si="8"/>
        <v>1309.8</v>
      </c>
    </row>
    <row r="202" spans="1:7" ht="17.25" customHeight="1" x14ac:dyDescent="0.25">
      <c r="A202" s="53">
        <v>191</v>
      </c>
      <c r="B202" s="54" t="s">
        <v>70</v>
      </c>
      <c r="C202" s="55">
        <f>6.94+0.1</f>
        <v>7.04</v>
      </c>
      <c r="D202" s="55"/>
      <c r="E202" s="55">
        <f t="shared" si="7"/>
        <v>7.04</v>
      </c>
      <c r="F202" s="56">
        <v>280</v>
      </c>
      <c r="G202" s="56">
        <f t="shared" si="8"/>
        <v>1971.2</v>
      </c>
    </row>
    <row r="203" spans="1:7" ht="17.25" customHeight="1" x14ac:dyDescent="0.25">
      <c r="A203" s="53">
        <v>192</v>
      </c>
      <c r="B203" s="54" t="s">
        <v>375</v>
      </c>
      <c r="C203" s="55">
        <f>21+1</f>
        <v>22</v>
      </c>
      <c r="D203" s="55"/>
      <c r="E203" s="55">
        <f t="shared" si="7"/>
        <v>22</v>
      </c>
      <c r="F203" s="56">
        <v>475</v>
      </c>
      <c r="G203" s="56">
        <f t="shared" si="8"/>
        <v>10450</v>
      </c>
    </row>
    <row r="204" spans="1:7" ht="17.25" customHeight="1" x14ac:dyDescent="0.25">
      <c r="A204" s="53">
        <v>193</v>
      </c>
      <c r="B204" s="54" t="s">
        <v>332</v>
      </c>
      <c r="C204" s="55">
        <v>0</v>
      </c>
      <c r="D204" s="55"/>
      <c r="E204" s="55">
        <f t="shared" si="7"/>
        <v>0</v>
      </c>
      <c r="F204" s="56">
        <v>245</v>
      </c>
      <c r="G204" s="56">
        <f t="shared" si="8"/>
        <v>0</v>
      </c>
    </row>
    <row r="205" spans="1:7" ht="17.25" customHeight="1" x14ac:dyDescent="0.25">
      <c r="A205" s="53">
        <v>194</v>
      </c>
      <c r="B205" s="54" t="s">
        <v>67</v>
      </c>
      <c r="C205" s="55">
        <v>12</v>
      </c>
      <c r="D205" s="55"/>
      <c r="E205" s="55">
        <f t="shared" si="7"/>
        <v>12</v>
      </c>
      <c r="F205" s="56">
        <v>27</v>
      </c>
      <c r="G205" s="56">
        <f t="shared" si="8"/>
        <v>324</v>
      </c>
    </row>
    <row r="206" spans="1:7" ht="17.25" customHeight="1" x14ac:dyDescent="0.25">
      <c r="A206" s="53">
        <v>195</v>
      </c>
      <c r="B206" s="54" t="s">
        <v>66</v>
      </c>
      <c r="C206" s="55">
        <f>4.02+2.3</f>
        <v>6.3199999999999994</v>
      </c>
      <c r="D206" s="55"/>
      <c r="E206" s="55">
        <f t="shared" si="7"/>
        <v>6.3199999999999994</v>
      </c>
      <c r="F206" s="56">
        <v>125</v>
      </c>
      <c r="G206" s="56">
        <f t="shared" si="8"/>
        <v>789.99999999999989</v>
      </c>
    </row>
    <row r="207" spans="1:7" ht="17.25" customHeight="1" x14ac:dyDescent="0.25">
      <c r="A207" s="53">
        <v>196</v>
      </c>
      <c r="B207" s="54" t="s">
        <v>65</v>
      </c>
      <c r="C207" s="55">
        <v>16</v>
      </c>
      <c r="D207" s="55"/>
      <c r="E207" s="55">
        <f t="shared" si="7"/>
        <v>16</v>
      </c>
      <c r="F207" s="56">
        <v>52</v>
      </c>
      <c r="G207" s="56">
        <f t="shared" si="8"/>
        <v>832</v>
      </c>
    </row>
    <row r="208" spans="1:7" ht="17.25" customHeight="1" x14ac:dyDescent="0.25">
      <c r="A208" s="53">
        <v>197</v>
      </c>
      <c r="B208" s="54" t="s">
        <v>64</v>
      </c>
      <c r="C208" s="55">
        <v>5.5</v>
      </c>
      <c r="D208" s="55"/>
      <c r="E208" s="55">
        <f t="shared" si="7"/>
        <v>5.5</v>
      </c>
      <c r="F208" s="56">
        <v>65</v>
      </c>
      <c r="G208" s="56">
        <f t="shared" si="8"/>
        <v>357.5</v>
      </c>
    </row>
    <row r="209" spans="1:7" ht="17.25" customHeight="1" x14ac:dyDescent="0.25">
      <c r="A209" s="53">
        <v>198</v>
      </c>
      <c r="B209" s="54" t="s">
        <v>63</v>
      </c>
      <c r="C209" s="55">
        <f>2.885598</f>
        <v>2.8855979999999999</v>
      </c>
      <c r="D209" s="55"/>
      <c r="E209" s="55">
        <f t="shared" si="7"/>
        <v>2.8855979999999999</v>
      </c>
      <c r="F209" s="56">
        <v>315</v>
      </c>
      <c r="G209" s="56">
        <f t="shared" si="8"/>
        <v>908.96336999999994</v>
      </c>
    </row>
    <row r="210" spans="1:7" ht="17.25" customHeight="1" x14ac:dyDescent="0.25">
      <c r="A210" s="53">
        <v>199</v>
      </c>
      <c r="B210" s="54" t="s">
        <v>62</v>
      </c>
      <c r="C210" s="55">
        <v>0</v>
      </c>
      <c r="D210" s="55"/>
      <c r="E210" s="55">
        <f t="shared" si="7"/>
        <v>0</v>
      </c>
      <c r="F210" s="56">
        <v>18</v>
      </c>
      <c r="G210" s="56">
        <f t="shared" si="8"/>
        <v>0</v>
      </c>
    </row>
    <row r="211" spans="1:7" ht="17.25" customHeight="1" x14ac:dyDescent="0.25">
      <c r="A211" s="53">
        <v>200</v>
      </c>
      <c r="B211" s="54" t="s">
        <v>60</v>
      </c>
      <c r="C211" s="55">
        <v>0</v>
      </c>
      <c r="D211" s="55"/>
      <c r="E211" s="55">
        <f t="shared" si="7"/>
        <v>0</v>
      </c>
      <c r="F211" s="56">
        <v>177</v>
      </c>
      <c r="G211" s="56">
        <f t="shared" si="8"/>
        <v>0</v>
      </c>
    </row>
    <row r="212" spans="1:7" ht="17.25" customHeight="1" x14ac:dyDescent="0.25">
      <c r="A212" s="53">
        <v>201</v>
      </c>
      <c r="B212" s="54" t="s">
        <v>59</v>
      </c>
      <c r="C212" s="55">
        <v>113</v>
      </c>
      <c r="D212" s="55">
        <v>5</v>
      </c>
      <c r="E212" s="55">
        <f t="shared" si="7"/>
        <v>102</v>
      </c>
      <c r="F212" s="56">
        <v>64</v>
      </c>
      <c r="G212" s="56">
        <f t="shared" si="8"/>
        <v>6528</v>
      </c>
    </row>
    <row r="213" spans="1:7" ht="17.25" customHeight="1" x14ac:dyDescent="0.25">
      <c r="A213" s="53">
        <v>202</v>
      </c>
      <c r="B213" s="54" t="s">
        <v>376</v>
      </c>
      <c r="C213" s="55">
        <f>33+36+6</f>
        <v>75</v>
      </c>
      <c r="D213" s="55"/>
      <c r="E213" s="55">
        <f t="shared" si="7"/>
        <v>75</v>
      </c>
      <c r="F213" s="56">
        <v>145</v>
      </c>
      <c r="G213" s="56">
        <f t="shared" si="8"/>
        <v>10875</v>
      </c>
    </row>
    <row r="214" spans="1:7" ht="17.25" customHeight="1" x14ac:dyDescent="0.25">
      <c r="A214" s="53">
        <v>203</v>
      </c>
      <c r="B214" s="54" t="s">
        <v>57</v>
      </c>
      <c r="C214" s="55">
        <v>0</v>
      </c>
      <c r="D214" s="55"/>
      <c r="E214" s="55">
        <f t="shared" si="7"/>
        <v>0</v>
      </c>
      <c r="F214" s="56">
        <v>58</v>
      </c>
      <c r="G214" s="56">
        <f t="shared" si="8"/>
        <v>0</v>
      </c>
    </row>
    <row r="215" spans="1:7" ht="17.25" customHeight="1" x14ac:dyDescent="0.25">
      <c r="A215" s="53">
        <v>204</v>
      </c>
      <c r="B215" s="54" t="s">
        <v>56</v>
      </c>
      <c r="C215" s="60">
        <v>888</v>
      </c>
      <c r="D215" s="60">
        <v>36</v>
      </c>
      <c r="E215" s="55">
        <f t="shared" si="7"/>
        <v>808.8</v>
      </c>
      <c r="F215" s="56">
        <v>177</v>
      </c>
      <c r="G215" s="56">
        <f t="shared" si="8"/>
        <v>143157.6</v>
      </c>
    </row>
    <row r="216" spans="1:7" ht="17.25" customHeight="1" x14ac:dyDescent="0.25">
      <c r="A216" s="53">
        <v>205</v>
      </c>
      <c r="B216" s="54" t="s">
        <v>50</v>
      </c>
      <c r="C216" s="55">
        <f>8.1+4.05+0.52+2.14+2.52</f>
        <v>17.329999999999998</v>
      </c>
      <c r="D216" s="55"/>
      <c r="E216" s="55">
        <f t="shared" si="7"/>
        <v>17.329999999999998</v>
      </c>
      <c r="F216" s="56">
        <v>160</v>
      </c>
      <c r="G216" s="56">
        <f t="shared" si="8"/>
        <v>2772.7999999999997</v>
      </c>
    </row>
    <row r="217" spans="1:7" ht="17.25" customHeight="1" x14ac:dyDescent="0.25">
      <c r="A217" s="53">
        <v>206</v>
      </c>
      <c r="B217" s="54" t="s">
        <v>49</v>
      </c>
      <c r="C217" s="55">
        <v>10.352</v>
      </c>
      <c r="D217" s="55">
        <v>1</v>
      </c>
      <c r="E217" s="55">
        <f t="shared" si="7"/>
        <v>8.152000000000001</v>
      </c>
      <c r="F217" s="56">
        <v>78</v>
      </c>
      <c r="G217" s="56">
        <f t="shared" si="8"/>
        <v>635.85600000000011</v>
      </c>
    </row>
    <row r="218" spans="1:7" ht="17.25" customHeight="1" x14ac:dyDescent="0.25">
      <c r="A218" s="53">
        <v>207</v>
      </c>
      <c r="B218" s="54" t="s">
        <v>335</v>
      </c>
      <c r="C218" s="55">
        <f>45+5.8</f>
        <v>50.8</v>
      </c>
      <c r="D218" s="55">
        <v>1</v>
      </c>
      <c r="E218" s="55">
        <f t="shared" si="7"/>
        <v>48.599999999999994</v>
      </c>
      <c r="F218" s="56">
        <v>96</v>
      </c>
      <c r="G218" s="56">
        <f t="shared" si="8"/>
        <v>4665.5999999999995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85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35</v>
      </c>
      <c r="D220" s="55"/>
      <c r="E220" s="55">
        <f t="shared" si="7"/>
        <v>35</v>
      </c>
      <c r="F220" s="56">
        <v>26</v>
      </c>
      <c r="G220" s="56">
        <f t="shared" si="8"/>
        <v>910</v>
      </c>
    </row>
    <row r="221" spans="1:7" ht="17.25" customHeight="1" x14ac:dyDescent="0.25">
      <c r="A221" s="53">
        <v>210</v>
      </c>
      <c r="B221" s="54" t="s">
        <v>44</v>
      </c>
      <c r="C221" s="55">
        <f>64+11.5+3+1.86+1.86+0.82+0.802</f>
        <v>83.841999999999999</v>
      </c>
      <c r="D221" s="55">
        <v>5</v>
      </c>
      <c r="E221" s="55">
        <f t="shared" si="7"/>
        <v>72.841999999999999</v>
      </c>
      <c r="F221" s="56">
        <v>105</v>
      </c>
      <c r="G221" s="56">
        <f t="shared" si="8"/>
        <v>7648.41</v>
      </c>
    </row>
    <row r="222" spans="1:7" ht="17.25" customHeight="1" x14ac:dyDescent="0.25">
      <c r="A222" s="53">
        <v>211</v>
      </c>
      <c r="B222" s="54" t="s">
        <v>43</v>
      </c>
      <c r="C222" s="55">
        <f>215+4.59+1.338</f>
        <v>220.928</v>
      </c>
      <c r="D222" s="55">
        <v>2</v>
      </c>
      <c r="E222" s="55">
        <f t="shared" si="7"/>
        <v>216.52799999999999</v>
      </c>
      <c r="F222" s="56">
        <v>125</v>
      </c>
      <c r="G222" s="56">
        <f t="shared" si="8"/>
        <v>27066</v>
      </c>
    </row>
    <row r="223" spans="1:7" ht="15.75" thickBot="1" x14ac:dyDescent="0.3">
      <c r="A223" s="53"/>
      <c r="B223" s="57" t="s">
        <v>17</v>
      </c>
      <c r="C223" s="15">
        <f>SUM(C183:C222)</f>
        <v>2556.687598</v>
      </c>
      <c r="D223" s="74" t="s">
        <v>402</v>
      </c>
      <c r="E223" s="15">
        <f>SUM(E183:E222)</f>
        <v>2425.7875979999999</v>
      </c>
      <c r="F223" s="38"/>
      <c r="G223" s="36">
        <f>SUM(G183:G222)</f>
        <v>320697.43936999998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v>2.25</v>
      </c>
      <c r="D225" s="55"/>
      <c r="E225" s="55">
        <f t="shared" ref="E225:E286" si="9">C225-(D225*2.2)</f>
        <v>2.25</v>
      </c>
      <c r="F225" s="56">
        <v>570</v>
      </c>
      <c r="G225" s="56">
        <f>F225*E225</f>
        <v>1282.5</v>
      </c>
    </row>
    <row r="226" spans="1:7" ht="17.25" customHeight="1" x14ac:dyDescent="0.25">
      <c r="A226" s="53">
        <v>213</v>
      </c>
      <c r="B226" s="54" t="s">
        <v>42</v>
      </c>
      <c r="C226" s="55">
        <f>6+48</f>
        <v>54</v>
      </c>
      <c r="D226" s="55"/>
      <c r="E226" s="55">
        <f t="shared" si="9"/>
        <v>54</v>
      </c>
      <c r="F226" s="56">
        <v>24</v>
      </c>
      <c r="G226" s="56">
        <f t="shared" ref="G226:G266" si="10">F226*E226</f>
        <v>1296</v>
      </c>
    </row>
    <row r="227" spans="1:7" ht="17.25" customHeight="1" x14ac:dyDescent="0.25">
      <c r="A227" s="53">
        <v>214</v>
      </c>
      <c r="B227" s="54" t="s">
        <v>30</v>
      </c>
      <c r="C227" s="55">
        <v>1.3</v>
      </c>
      <c r="D227" s="55"/>
      <c r="E227" s="55">
        <f t="shared" si="9"/>
        <v>1.3</v>
      </c>
      <c r="F227" s="56">
        <v>390</v>
      </c>
      <c r="G227" s="56">
        <f t="shared" si="10"/>
        <v>507</v>
      </c>
    </row>
    <row r="228" spans="1:7" ht="17.25" customHeight="1" x14ac:dyDescent="0.25">
      <c r="A228" s="53">
        <v>215</v>
      </c>
      <c r="B228" s="54" t="s">
        <v>29</v>
      </c>
      <c r="C228" s="55">
        <f>3.28+2.78+1.48</f>
        <v>7.5399999999999991</v>
      </c>
      <c r="D228" s="55"/>
      <c r="E228" s="55">
        <f t="shared" si="9"/>
        <v>7.5399999999999991</v>
      </c>
      <c r="F228" s="56">
        <v>184</v>
      </c>
      <c r="G228" s="56">
        <f t="shared" si="10"/>
        <v>1387.36</v>
      </c>
    </row>
    <row r="229" spans="1:7" ht="17.25" customHeight="1" x14ac:dyDescent="0.25">
      <c r="A229" s="53">
        <v>216</v>
      </c>
      <c r="B229" s="54" t="s">
        <v>333</v>
      </c>
      <c r="C229" s="55">
        <f>6.49+1</f>
        <v>7.49</v>
      </c>
      <c r="D229" s="55"/>
      <c r="E229" s="55">
        <f t="shared" si="9"/>
        <v>7.49</v>
      </c>
      <c r="F229" s="56">
        <v>220</v>
      </c>
      <c r="G229" s="56">
        <f t="shared" si="10"/>
        <v>1647.8</v>
      </c>
    </row>
    <row r="230" spans="1:7" ht="17.25" customHeight="1" x14ac:dyDescent="0.25">
      <c r="A230" s="53">
        <v>217</v>
      </c>
      <c r="B230" s="54" t="s">
        <v>98</v>
      </c>
      <c r="C230" s="55">
        <v>18.149999999999999</v>
      </c>
      <c r="D230" s="55"/>
      <c r="E230" s="55">
        <f t="shared" si="9"/>
        <v>18.149999999999999</v>
      </c>
      <c r="F230" s="56">
        <v>50</v>
      </c>
      <c r="G230" s="56">
        <f t="shared" si="10"/>
        <v>907.49999999999989</v>
      </c>
    </row>
    <row r="231" spans="1:7" ht="17.25" customHeight="1" x14ac:dyDescent="0.25">
      <c r="A231" s="53">
        <v>218</v>
      </c>
      <c r="B231" s="54" t="s">
        <v>99</v>
      </c>
      <c r="C231" s="55">
        <v>5.0819999999999999</v>
      </c>
      <c r="D231" s="55"/>
      <c r="E231" s="55">
        <f t="shared" si="9"/>
        <v>5.0819999999999999</v>
      </c>
      <c r="F231" s="56">
        <v>47</v>
      </c>
      <c r="G231" s="56">
        <f t="shared" si="10"/>
        <v>238.85399999999998</v>
      </c>
    </row>
    <row r="232" spans="1:7" ht="17.25" customHeight="1" x14ac:dyDescent="0.25">
      <c r="A232" s="53">
        <v>219</v>
      </c>
      <c r="B232" s="54" t="s">
        <v>95</v>
      </c>
      <c r="C232" s="55">
        <f>2.755+7.7+3</f>
        <v>13.455</v>
      </c>
      <c r="D232" s="55"/>
      <c r="E232" s="55">
        <f t="shared" si="9"/>
        <v>13.455</v>
      </c>
      <c r="F232" s="56">
        <v>440</v>
      </c>
      <c r="G232" s="56">
        <f t="shared" si="10"/>
        <v>5920.2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2.7</v>
      </c>
      <c r="D233" s="60"/>
      <c r="E233" s="55">
        <f t="shared" si="9"/>
        <v>2.7</v>
      </c>
      <c r="F233" s="62">
        <v>72</v>
      </c>
      <c r="G233" s="56">
        <f t="shared" si="10"/>
        <v>194.4</v>
      </c>
    </row>
    <row r="234" spans="1:7" s="63" customFormat="1" ht="17.25" customHeight="1" x14ac:dyDescent="0.25">
      <c r="A234" s="53">
        <v>221</v>
      </c>
      <c r="B234" s="61" t="s">
        <v>331</v>
      </c>
      <c r="C234" s="60">
        <v>0</v>
      </c>
      <c r="D234" s="60"/>
      <c r="E234" s="55">
        <f t="shared" si="9"/>
        <v>0</v>
      </c>
      <c r="F234" s="62">
        <v>132</v>
      </c>
      <c r="G234" s="56">
        <f t="shared" si="10"/>
        <v>0</v>
      </c>
    </row>
    <row r="235" spans="1:7" ht="17.25" customHeight="1" x14ac:dyDescent="0.25">
      <c r="A235" s="53">
        <v>222</v>
      </c>
      <c r="B235" s="54" t="s">
        <v>25</v>
      </c>
      <c r="C235" s="55">
        <f>10.3+5+6.22+33.5</f>
        <v>55.019999999999996</v>
      </c>
      <c r="D235" s="55">
        <v>2</v>
      </c>
      <c r="E235" s="55">
        <f t="shared" si="9"/>
        <v>50.62</v>
      </c>
      <c r="F235" s="56">
        <v>140</v>
      </c>
      <c r="G235" s="56">
        <f t="shared" si="10"/>
        <v>7086.7999999999993</v>
      </c>
    </row>
    <row r="236" spans="1:7" x14ac:dyDescent="0.25">
      <c r="A236" s="53">
        <v>223</v>
      </c>
      <c r="B236" s="54" t="s">
        <v>24</v>
      </c>
      <c r="C236" s="55">
        <f>1.95+1.5+6.98+0.34</f>
        <v>10.77</v>
      </c>
      <c r="D236" s="55"/>
      <c r="E236" s="55">
        <f t="shared" si="9"/>
        <v>10.77</v>
      </c>
      <c r="F236" s="56">
        <v>210</v>
      </c>
      <c r="G236" s="56">
        <f t="shared" si="10"/>
        <v>2261.6999999999998</v>
      </c>
    </row>
    <row r="237" spans="1:7" x14ac:dyDescent="0.25">
      <c r="A237" s="53">
        <v>224</v>
      </c>
      <c r="B237" s="54" t="s">
        <v>185</v>
      </c>
      <c r="C237" s="55">
        <v>21</v>
      </c>
      <c r="D237" s="55">
        <v>1</v>
      </c>
      <c r="E237" s="55">
        <f t="shared" si="9"/>
        <v>18.8</v>
      </c>
      <c r="F237" s="56">
        <v>10</v>
      </c>
      <c r="G237" s="56">
        <f t="shared" si="10"/>
        <v>188</v>
      </c>
    </row>
    <row r="238" spans="1:7" x14ac:dyDescent="0.25">
      <c r="A238" s="53">
        <v>225</v>
      </c>
      <c r="B238" s="54" t="s">
        <v>186</v>
      </c>
      <c r="C238" s="55">
        <v>0</v>
      </c>
      <c r="D238" s="55"/>
      <c r="E238" s="55">
        <f t="shared" si="9"/>
        <v>0</v>
      </c>
      <c r="F238" s="56">
        <v>74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18.5+2.18+11.22+6.72</f>
        <v>38.619999999999997</v>
      </c>
      <c r="D239" s="55">
        <v>1</v>
      </c>
      <c r="E239" s="55">
        <f t="shared" si="9"/>
        <v>36.419999999999995</v>
      </c>
      <c r="F239" s="56">
        <v>350</v>
      </c>
      <c r="G239" s="56">
        <f t="shared" si="10"/>
        <v>12746.999999999998</v>
      </c>
    </row>
    <row r="240" spans="1:7" x14ac:dyDescent="0.25">
      <c r="A240" s="53">
        <v>227</v>
      </c>
      <c r="B240" s="54" t="s">
        <v>188</v>
      </c>
      <c r="C240" s="55">
        <v>22.5</v>
      </c>
      <c r="D240" s="55">
        <v>2</v>
      </c>
      <c r="E240" s="55">
        <f t="shared" si="9"/>
        <v>18.100000000000001</v>
      </c>
      <c r="F240" s="56">
        <v>170</v>
      </c>
      <c r="G240" s="56">
        <f t="shared" si="10"/>
        <v>3077.0000000000005</v>
      </c>
    </row>
    <row r="241" spans="1:7" x14ac:dyDescent="0.25">
      <c r="A241" s="53">
        <v>228</v>
      </c>
      <c r="B241" s="54" t="s">
        <v>382</v>
      </c>
      <c r="C241" s="55">
        <f>4.87+2.816</f>
        <v>7.6859999999999999</v>
      </c>
      <c r="D241" s="55"/>
      <c r="E241" s="55">
        <f t="shared" si="9"/>
        <v>7.6859999999999999</v>
      </c>
      <c r="F241" s="56">
        <v>745</v>
      </c>
      <c r="G241" s="56">
        <f t="shared" si="10"/>
        <v>5726.07</v>
      </c>
    </row>
    <row r="242" spans="1:7" x14ac:dyDescent="0.25">
      <c r="A242" s="53">
        <v>229</v>
      </c>
      <c r="B242" s="54" t="s">
        <v>190</v>
      </c>
      <c r="C242" s="55">
        <v>0</v>
      </c>
      <c r="D242" s="55"/>
      <c r="E242" s="55">
        <f t="shared" si="9"/>
        <v>0</v>
      </c>
      <c r="F242" s="56">
        <v>180</v>
      </c>
      <c r="G242" s="56">
        <f t="shared" si="10"/>
        <v>0</v>
      </c>
    </row>
    <row r="243" spans="1:7" x14ac:dyDescent="0.25">
      <c r="A243" s="53">
        <v>230</v>
      </c>
      <c r="B243" s="54" t="s">
        <v>191</v>
      </c>
      <c r="C243" s="55">
        <f>4.83+3.62</f>
        <v>8.4499999999999993</v>
      </c>
      <c r="D243" s="55"/>
      <c r="E243" s="55">
        <f t="shared" si="9"/>
        <v>8.4499999999999993</v>
      </c>
      <c r="F243" s="56">
        <v>555</v>
      </c>
      <c r="G243" s="56">
        <f t="shared" si="10"/>
        <v>4689.75</v>
      </c>
    </row>
    <row r="244" spans="1:7" x14ac:dyDescent="0.25">
      <c r="A244" s="53">
        <v>231</v>
      </c>
      <c r="B244" s="54" t="s">
        <v>192</v>
      </c>
      <c r="C244" s="64">
        <v>6.3</v>
      </c>
      <c r="D244" s="64"/>
      <c r="E244" s="55">
        <f t="shared" si="9"/>
        <v>6.3</v>
      </c>
      <c r="F244" s="56">
        <v>587</v>
      </c>
      <c r="G244" s="56">
        <f t="shared" si="10"/>
        <v>3698.1</v>
      </c>
    </row>
    <row r="245" spans="1:7" x14ac:dyDescent="0.25">
      <c r="A245" s="53">
        <v>232</v>
      </c>
      <c r="B245" s="54" t="s">
        <v>193</v>
      </c>
      <c r="C245" s="55">
        <f>5.04+4.95+1.24</f>
        <v>11.23</v>
      </c>
      <c r="D245" s="55"/>
      <c r="E245" s="55">
        <f t="shared" si="9"/>
        <v>11.23</v>
      </c>
      <c r="F245" s="56">
        <v>341</v>
      </c>
      <c r="G245" s="56">
        <f t="shared" si="10"/>
        <v>3829.4300000000003</v>
      </c>
    </row>
    <row r="246" spans="1:7" x14ac:dyDescent="0.25">
      <c r="A246" s="53">
        <v>233</v>
      </c>
      <c r="B246" s="54" t="s">
        <v>194</v>
      </c>
      <c r="C246" s="55">
        <v>1.62</v>
      </c>
      <c r="D246" s="55"/>
      <c r="E246" s="55">
        <f t="shared" si="9"/>
        <v>1.62</v>
      </c>
      <c r="F246" s="56">
        <v>659</v>
      </c>
      <c r="G246" s="56">
        <f t="shared" si="10"/>
        <v>1067.5800000000002</v>
      </c>
    </row>
    <row r="247" spans="1:7" x14ac:dyDescent="0.25">
      <c r="A247" s="53">
        <v>234</v>
      </c>
      <c r="B247" s="54" t="s">
        <v>195</v>
      </c>
      <c r="C247" s="55">
        <v>2.46</v>
      </c>
      <c r="D247" s="55"/>
      <c r="E247" s="55">
        <f t="shared" si="9"/>
        <v>2.46</v>
      </c>
      <c r="F247" s="56">
        <v>689</v>
      </c>
      <c r="G247" s="56">
        <f t="shared" si="10"/>
        <v>1694.94</v>
      </c>
    </row>
    <row r="248" spans="1:7" x14ac:dyDescent="0.25">
      <c r="A248" s="53">
        <v>235</v>
      </c>
      <c r="B248" s="54" t="s">
        <v>126</v>
      </c>
      <c r="C248" s="55">
        <f>4.48+1.1</f>
        <v>5.58</v>
      </c>
      <c r="D248" s="55"/>
      <c r="E248" s="55">
        <f t="shared" si="9"/>
        <v>5.58</v>
      </c>
      <c r="F248" s="56">
        <v>810</v>
      </c>
      <c r="G248" s="56">
        <f t="shared" si="10"/>
        <v>4519.8</v>
      </c>
    </row>
    <row r="249" spans="1:7" x14ac:dyDescent="0.25">
      <c r="A249" s="53">
        <v>236</v>
      </c>
      <c r="B249" s="54" t="s">
        <v>125</v>
      </c>
      <c r="C249" s="55">
        <f>4.99+5.07</f>
        <v>10.06</v>
      </c>
      <c r="D249" s="55"/>
      <c r="E249" s="55">
        <f t="shared" si="9"/>
        <v>10.06</v>
      </c>
      <c r="F249" s="56">
        <v>741</v>
      </c>
      <c r="G249" s="56">
        <f t="shared" si="10"/>
        <v>7454.46</v>
      </c>
    </row>
    <row r="250" spans="1:7" x14ac:dyDescent="0.25">
      <c r="A250" s="53">
        <v>237</v>
      </c>
      <c r="B250" s="54" t="s">
        <v>124</v>
      </c>
      <c r="C250" s="55">
        <f>25+3.8+1.16</f>
        <v>29.96</v>
      </c>
      <c r="D250" s="55">
        <v>1</v>
      </c>
      <c r="E250" s="55">
        <f t="shared" si="9"/>
        <v>27.76</v>
      </c>
      <c r="F250" s="56">
        <v>152</v>
      </c>
      <c r="G250" s="56">
        <f t="shared" si="10"/>
        <v>4219.5200000000004</v>
      </c>
    </row>
    <row r="251" spans="1:7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145</v>
      </c>
      <c r="G251" s="56">
        <f t="shared" si="10"/>
        <v>0</v>
      </c>
    </row>
    <row r="252" spans="1:7" x14ac:dyDescent="0.25">
      <c r="A252" s="53">
        <v>239</v>
      </c>
      <c r="B252" s="54" t="s">
        <v>122</v>
      </c>
      <c r="C252" s="55">
        <v>418.5</v>
      </c>
      <c r="D252" s="55">
        <v>24</v>
      </c>
      <c r="E252" s="55">
        <f t="shared" si="9"/>
        <v>365.7</v>
      </c>
      <c r="F252" s="56">
        <v>280</v>
      </c>
      <c r="G252" s="56">
        <f t="shared" si="10"/>
        <v>102396</v>
      </c>
    </row>
    <row r="253" spans="1:7" x14ac:dyDescent="0.25">
      <c r="A253" s="53">
        <v>240</v>
      </c>
      <c r="B253" s="54" t="s">
        <v>121</v>
      </c>
      <c r="C253" s="55">
        <f>4.83+0.644</f>
        <v>5.4740000000000002</v>
      </c>
      <c r="D253" s="55"/>
      <c r="E253" s="55">
        <f t="shared" si="9"/>
        <v>5.4740000000000002</v>
      </c>
      <c r="F253" s="56">
        <v>644</v>
      </c>
      <c r="G253" s="56">
        <f t="shared" si="10"/>
        <v>3525.2560000000003</v>
      </c>
    </row>
    <row r="254" spans="1:7" x14ac:dyDescent="0.25">
      <c r="A254" s="53">
        <v>241</v>
      </c>
      <c r="B254" s="54" t="s">
        <v>120</v>
      </c>
      <c r="C254" s="55">
        <v>20.239999999999998</v>
      </c>
      <c r="D254" s="55"/>
      <c r="E254" s="55">
        <f t="shared" si="9"/>
        <v>20.239999999999998</v>
      </c>
      <c r="F254" s="56">
        <v>435</v>
      </c>
      <c r="G254" s="56">
        <f t="shared" si="10"/>
        <v>8804.4</v>
      </c>
    </row>
    <row r="255" spans="1:7" x14ac:dyDescent="0.25">
      <c r="A255" s="53">
        <v>242</v>
      </c>
      <c r="B255" s="54" t="s">
        <v>119</v>
      </c>
      <c r="C255" s="55">
        <f>18+45+2.94</f>
        <v>65.94</v>
      </c>
      <c r="D255" s="55">
        <v>4</v>
      </c>
      <c r="E255" s="55">
        <f t="shared" si="9"/>
        <v>57.14</v>
      </c>
      <c r="F255" s="56">
        <v>95</v>
      </c>
      <c r="G255" s="56">
        <f t="shared" si="10"/>
        <v>5428.3</v>
      </c>
    </row>
    <row r="256" spans="1:7" x14ac:dyDescent="0.25">
      <c r="A256" s="53">
        <v>243</v>
      </c>
      <c r="B256" s="54" t="s">
        <v>286</v>
      </c>
      <c r="C256" s="55">
        <v>2</v>
      </c>
      <c r="D256" s="55"/>
      <c r="E256" s="55">
        <f t="shared" si="9"/>
        <v>2</v>
      </c>
      <c r="F256" s="56">
        <v>28</v>
      </c>
      <c r="G256" s="56">
        <f t="shared" si="10"/>
        <v>56</v>
      </c>
    </row>
    <row r="257" spans="1:7" x14ac:dyDescent="0.25">
      <c r="A257" s="53">
        <v>244</v>
      </c>
      <c r="B257" s="54" t="s">
        <v>118</v>
      </c>
      <c r="C257" s="55">
        <f>16.5+1.18</f>
        <v>17.68</v>
      </c>
      <c r="D257" s="55">
        <v>1</v>
      </c>
      <c r="E257" s="55">
        <f t="shared" si="9"/>
        <v>15.48</v>
      </c>
      <c r="F257" s="56">
        <v>442</v>
      </c>
      <c r="G257" s="56">
        <f t="shared" si="10"/>
        <v>6842.16</v>
      </c>
    </row>
    <row r="258" spans="1:7" x14ac:dyDescent="0.25">
      <c r="A258" s="53">
        <v>245</v>
      </c>
      <c r="B258" s="54" t="s">
        <v>116</v>
      </c>
      <c r="C258" s="55">
        <f>437.5+279</f>
        <v>716.5</v>
      </c>
      <c r="D258" s="55">
        <v>25</v>
      </c>
      <c r="E258" s="55">
        <f t="shared" si="9"/>
        <v>661.5</v>
      </c>
      <c r="F258" s="56">
        <v>144</v>
      </c>
      <c r="G258" s="56">
        <f t="shared" si="10"/>
        <v>95256</v>
      </c>
    </row>
    <row r="259" spans="1:7" x14ac:dyDescent="0.25">
      <c r="A259" s="53">
        <v>246</v>
      </c>
      <c r="B259" s="54" t="s">
        <v>115</v>
      </c>
      <c r="C259" s="55">
        <v>16.5</v>
      </c>
      <c r="D259" s="55">
        <v>2</v>
      </c>
      <c r="E259" s="55">
        <f t="shared" si="9"/>
        <v>12.1</v>
      </c>
      <c r="F259" s="56">
        <v>600</v>
      </c>
      <c r="G259" s="56">
        <f t="shared" si="10"/>
        <v>7260</v>
      </c>
    </row>
    <row r="260" spans="1:7" x14ac:dyDescent="0.25">
      <c r="A260" s="53">
        <v>247</v>
      </c>
      <c r="B260" s="54" t="s">
        <v>114</v>
      </c>
      <c r="C260" s="55">
        <v>18</v>
      </c>
      <c r="D260" s="55">
        <v>2</v>
      </c>
      <c r="E260" s="55">
        <f t="shared" si="9"/>
        <v>13.6</v>
      </c>
      <c r="F260" s="56">
        <v>900</v>
      </c>
      <c r="G260" s="56">
        <f t="shared" si="10"/>
        <v>12240</v>
      </c>
    </row>
    <row r="261" spans="1:7" x14ac:dyDescent="0.25">
      <c r="A261" s="53">
        <v>248</v>
      </c>
      <c r="B261" s="54" t="s">
        <v>113</v>
      </c>
      <c r="C261" s="55">
        <v>0</v>
      </c>
      <c r="D261" s="55"/>
      <c r="E261" s="55">
        <f t="shared" si="9"/>
        <v>0</v>
      </c>
      <c r="F261" s="56">
        <v>400</v>
      </c>
      <c r="G261" s="56">
        <f t="shared" si="10"/>
        <v>0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75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62</v>
      </c>
      <c r="G263" s="56">
        <f t="shared" si="10"/>
        <v>0</v>
      </c>
    </row>
    <row r="264" spans="1:7" x14ac:dyDescent="0.25">
      <c r="A264" s="53">
        <v>251</v>
      </c>
      <c r="B264" s="54" t="s">
        <v>110</v>
      </c>
      <c r="C264" s="55">
        <v>80</v>
      </c>
      <c r="D264" s="55">
        <v>5</v>
      </c>
      <c r="E264" s="55">
        <f t="shared" si="9"/>
        <v>69</v>
      </c>
      <c r="F264" s="56">
        <v>68</v>
      </c>
      <c r="G264" s="56">
        <f t="shared" si="10"/>
        <v>4692</v>
      </c>
    </row>
    <row r="265" spans="1:7" x14ac:dyDescent="0.25">
      <c r="A265" s="53">
        <v>252</v>
      </c>
      <c r="B265" s="54" t="s">
        <v>276</v>
      </c>
      <c r="C265" s="55">
        <v>0</v>
      </c>
      <c r="D265" s="55"/>
      <c r="E265" s="55">
        <f t="shared" si="9"/>
        <v>0</v>
      </c>
      <c r="F265" s="56">
        <v>80</v>
      </c>
      <c r="G265" s="56">
        <f t="shared" si="10"/>
        <v>0</v>
      </c>
    </row>
    <row r="266" spans="1:7" x14ac:dyDescent="0.25">
      <c r="A266" s="53">
        <v>253</v>
      </c>
      <c r="B266" s="54" t="s">
        <v>350</v>
      </c>
      <c r="C266" s="55">
        <v>14</v>
      </c>
      <c r="D266" s="55"/>
      <c r="E266" s="55">
        <f t="shared" si="9"/>
        <v>14</v>
      </c>
      <c r="F266" s="56">
        <v>46</v>
      </c>
      <c r="G266" s="56">
        <f t="shared" si="10"/>
        <v>644</v>
      </c>
    </row>
    <row r="267" spans="1:7" ht="15.75" thickBot="1" x14ac:dyDescent="0.3">
      <c r="A267" s="53"/>
      <c r="B267" s="57" t="s">
        <v>17</v>
      </c>
      <c r="C267" s="15">
        <f>SUM(C225:C266)</f>
        <v>1718.0569999999998</v>
      </c>
      <c r="D267" s="74" t="s">
        <v>402</v>
      </c>
      <c r="E267" s="15">
        <f>SUM(E225:E266)</f>
        <v>1564.0569999999998</v>
      </c>
      <c r="F267" s="38"/>
      <c r="G267" s="36">
        <f>SUM(G225:G266)</f>
        <v>322785.88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20</v>
      </c>
      <c r="D269" s="55"/>
      <c r="E269" s="55">
        <f t="shared" si="9"/>
        <v>20</v>
      </c>
      <c r="F269" s="56">
        <v>120</v>
      </c>
      <c r="G269" s="56">
        <f>F269*E269</f>
        <v>2400</v>
      </c>
    </row>
    <row r="270" spans="1:7" x14ac:dyDescent="0.25">
      <c r="A270" s="53">
        <v>255</v>
      </c>
      <c r="B270" s="54" t="s">
        <v>280</v>
      </c>
      <c r="C270" s="55">
        <v>9</v>
      </c>
      <c r="D270" s="55"/>
      <c r="E270" s="55">
        <f t="shared" si="9"/>
        <v>9</v>
      </c>
      <c r="F270" s="56">
        <v>94</v>
      </c>
      <c r="G270" s="56">
        <f t="shared" ref="G270:G310" si="11">F270*E270</f>
        <v>846</v>
      </c>
    </row>
    <row r="271" spans="1:7" x14ac:dyDescent="0.25">
      <c r="A271" s="53">
        <v>256</v>
      </c>
      <c r="B271" s="54" t="s">
        <v>282</v>
      </c>
      <c r="C271" s="55">
        <v>0</v>
      </c>
      <c r="D271" s="55"/>
      <c r="E271" s="55">
        <f t="shared" si="9"/>
        <v>0</v>
      </c>
      <c r="F271" s="56">
        <v>980</v>
      </c>
      <c r="G271" s="56">
        <f t="shared" si="11"/>
        <v>0</v>
      </c>
    </row>
    <row r="272" spans="1:7" x14ac:dyDescent="0.25">
      <c r="A272" s="53">
        <v>257</v>
      </c>
      <c r="B272" s="54" t="s">
        <v>283</v>
      </c>
      <c r="C272" s="55">
        <v>0</v>
      </c>
      <c r="D272" s="55"/>
      <c r="E272" s="55">
        <f t="shared" si="9"/>
        <v>0</v>
      </c>
      <c r="F272" s="56">
        <v>450</v>
      </c>
      <c r="G272" s="56">
        <f t="shared" si="11"/>
        <v>0</v>
      </c>
    </row>
    <row r="273" spans="1:7" x14ac:dyDescent="0.25">
      <c r="A273" s="53">
        <v>258</v>
      </c>
      <c r="B273" s="54" t="s">
        <v>284</v>
      </c>
      <c r="C273" s="55">
        <v>7</v>
      </c>
      <c r="D273" s="55"/>
      <c r="E273" s="55">
        <f t="shared" si="9"/>
        <v>7</v>
      </c>
      <c r="F273" s="56">
        <v>85</v>
      </c>
      <c r="G273" s="56">
        <f t="shared" si="11"/>
        <v>595</v>
      </c>
    </row>
    <row r="274" spans="1:7" x14ac:dyDescent="0.25">
      <c r="A274" s="53">
        <v>259</v>
      </c>
      <c r="B274" s="54" t="s">
        <v>285</v>
      </c>
      <c r="C274" s="55">
        <v>5</v>
      </c>
      <c r="D274" s="55"/>
      <c r="E274" s="55">
        <f t="shared" si="9"/>
        <v>5</v>
      </c>
      <c r="F274" s="56">
        <v>61</v>
      </c>
      <c r="G274" s="56">
        <f t="shared" si="11"/>
        <v>305</v>
      </c>
    </row>
    <row r="275" spans="1:7" x14ac:dyDescent="0.25">
      <c r="A275" s="53">
        <v>260</v>
      </c>
      <c r="B275" s="54" t="s">
        <v>361</v>
      </c>
      <c r="C275" s="55">
        <v>4.0650000000000004</v>
      </c>
      <c r="D275" s="55"/>
      <c r="E275" s="55">
        <f t="shared" si="9"/>
        <v>4.0650000000000004</v>
      </c>
      <c r="F275" s="56">
        <v>90</v>
      </c>
      <c r="G275" s="56">
        <f t="shared" si="11"/>
        <v>365.85</v>
      </c>
    </row>
    <row r="276" spans="1:7" x14ac:dyDescent="0.25">
      <c r="A276" s="53">
        <v>261</v>
      </c>
      <c r="B276" s="54" t="s">
        <v>288</v>
      </c>
      <c r="C276" s="55">
        <v>5</v>
      </c>
      <c r="D276" s="55"/>
      <c r="E276" s="55">
        <f t="shared" si="9"/>
        <v>5</v>
      </c>
      <c r="F276" s="56">
        <v>95</v>
      </c>
      <c r="G276" s="56">
        <f t="shared" si="11"/>
        <v>475</v>
      </c>
    </row>
    <row r="277" spans="1:7" x14ac:dyDescent="0.25">
      <c r="A277" s="53">
        <v>262</v>
      </c>
      <c r="B277" s="54" t="s">
        <v>330</v>
      </c>
      <c r="C277" s="55">
        <f>5.45+1.5</f>
        <v>6.95</v>
      </c>
      <c r="D277" s="55"/>
      <c r="E277" s="55">
        <f t="shared" si="9"/>
        <v>6.95</v>
      </c>
      <c r="F277" s="56">
        <v>110</v>
      </c>
      <c r="G277" s="56">
        <f t="shared" si="11"/>
        <v>764.5</v>
      </c>
    </row>
    <row r="278" spans="1:7" x14ac:dyDescent="0.25">
      <c r="A278" s="53">
        <v>263</v>
      </c>
      <c r="B278" s="54" t="s">
        <v>291</v>
      </c>
      <c r="C278" s="55">
        <f>13.6+113+10.2+3.08</f>
        <v>139.88</v>
      </c>
      <c r="D278" s="55"/>
      <c r="E278" s="55">
        <f t="shared" si="9"/>
        <v>139.88</v>
      </c>
      <c r="F278" s="56">
        <v>60</v>
      </c>
      <c r="G278" s="56">
        <f t="shared" si="11"/>
        <v>8392.7999999999993</v>
      </c>
    </row>
    <row r="279" spans="1:7" x14ac:dyDescent="0.25">
      <c r="A279" s="53">
        <v>264</v>
      </c>
      <c r="B279" s="54" t="s">
        <v>292</v>
      </c>
      <c r="C279" s="55">
        <f>5*2.7</f>
        <v>13.5</v>
      </c>
      <c r="D279" s="55"/>
      <c r="E279" s="55">
        <f t="shared" si="9"/>
        <v>13.5</v>
      </c>
      <c r="F279" s="56">
        <v>400</v>
      </c>
      <c r="G279" s="56">
        <f t="shared" si="11"/>
        <v>5400</v>
      </c>
    </row>
    <row r="280" spans="1:7" x14ac:dyDescent="0.25">
      <c r="A280" s="53">
        <v>265</v>
      </c>
      <c r="B280" s="54" t="s">
        <v>293</v>
      </c>
      <c r="C280" s="55">
        <f>11*2.7</f>
        <v>29.700000000000003</v>
      </c>
      <c r="D280" s="55"/>
      <c r="E280" s="55">
        <f t="shared" si="9"/>
        <v>29.700000000000003</v>
      </c>
      <c r="F280" s="56">
        <v>530</v>
      </c>
      <c r="G280" s="56">
        <f t="shared" si="11"/>
        <v>15741.000000000002</v>
      </c>
    </row>
    <row r="281" spans="1:7" x14ac:dyDescent="0.25">
      <c r="A281" s="53">
        <v>266</v>
      </c>
      <c r="B281" s="54" t="s">
        <v>294</v>
      </c>
      <c r="C281" s="55">
        <f>12*2.7</f>
        <v>32.400000000000006</v>
      </c>
      <c r="D281" s="55"/>
      <c r="E281" s="55">
        <f t="shared" si="9"/>
        <v>32.400000000000006</v>
      </c>
      <c r="F281" s="56">
        <v>565</v>
      </c>
      <c r="G281" s="56">
        <f t="shared" si="11"/>
        <v>18306.000000000004</v>
      </c>
    </row>
    <row r="282" spans="1:7" x14ac:dyDescent="0.25">
      <c r="A282" s="53">
        <v>267</v>
      </c>
      <c r="B282" s="54" t="s">
        <v>295</v>
      </c>
      <c r="C282" s="55">
        <f>12*2.7</f>
        <v>32.400000000000006</v>
      </c>
      <c r="D282" s="55"/>
      <c r="E282" s="55">
        <f t="shared" si="9"/>
        <v>32.400000000000006</v>
      </c>
      <c r="F282" s="56">
        <v>460</v>
      </c>
      <c r="G282" s="56">
        <f t="shared" si="11"/>
        <v>14904.000000000002</v>
      </c>
    </row>
    <row r="283" spans="1:7" x14ac:dyDescent="0.25">
      <c r="A283" s="53">
        <v>268</v>
      </c>
      <c r="B283" s="54" t="s">
        <v>296</v>
      </c>
      <c r="C283" s="55">
        <f>12*2.7</f>
        <v>32.400000000000006</v>
      </c>
      <c r="D283" s="55"/>
      <c r="E283" s="55">
        <f t="shared" si="9"/>
        <v>32.400000000000006</v>
      </c>
      <c r="F283" s="56">
        <v>490</v>
      </c>
      <c r="G283" s="56">
        <f t="shared" si="11"/>
        <v>15876.000000000004</v>
      </c>
    </row>
    <row r="284" spans="1:7" x14ac:dyDescent="0.25">
      <c r="A284" s="53">
        <v>269</v>
      </c>
      <c r="B284" s="54" t="s">
        <v>378</v>
      </c>
      <c r="C284" s="55">
        <v>1</v>
      </c>
      <c r="D284" s="55"/>
      <c r="E284" s="55">
        <f t="shared" si="9"/>
        <v>1</v>
      </c>
      <c r="F284" s="56">
        <v>113</v>
      </c>
      <c r="G284" s="56">
        <f t="shared" si="11"/>
        <v>113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f>4*14.48+0.56+2.42+0.52</f>
        <v>61.420000000000009</v>
      </c>
      <c r="D286" s="55"/>
      <c r="E286" s="55">
        <f t="shared" si="9"/>
        <v>61.420000000000009</v>
      </c>
      <c r="F286" s="56">
        <v>142</v>
      </c>
      <c r="G286" s="56">
        <f t="shared" si="11"/>
        <v>8721.6400000000012</v>
      </c>
    </row>
    <row r="287" spans="1:7" x14ac:dyDescent="0.25">
      <c r="A287" s="53">
        <v>272</v>
      </c>
      <c r="B287" s="54" t="s">
        <v>369</v>
      </c>
      <c r="C287" s="55">
        <v>3001.7</v>
      </c>
      <c r="D287" s="55"/>
      <c r="E287" s="55">
        <f t="shared" ref="E287:E352" si="12">C287-(D287*2.2)</f>
        <v>3001.7</v>
      </c>
      <c r="F287" s="56">
        <v>134</v>
      </c>
      <c r="G287" s="56">
        <f t="shared" si="11"/>
        <v>402227.8</v>
      </c>
    </row>
    <row r="288" spans="1:7" x14ac:dyDescent="0.25">
      <c r="A288" s="53">
        <v>273</v>
      </c>
      <c r="B288" s="54" t="s">
        <v>301</v>
      </c>
      <c r="C288" s="55">
        <v>349.5</v>
      </c>
      <c r="D288" s="55">
        <v>17</v>
      </c>
      <c r="E288" s="55">
        <f t="shared" si="12"/>
        <v>312.10000000000002</v>
      </c>
      <c r="F288" s="56">
        <v>116</v>
      </c>
      <c r="G288" s="56">
        <f t="shared" si="11"/>
        <v>36203.600000000006</v>
      </c>
    </row>
    <row r="289" spans="1:7" x14ac:dyDescent="0.25">
      <c r="A289" s="53">
        <v>274</v>
      </c>
      <c r="B289" s="54" t="s">
        <v>302</v>
      </c>
      <c r="C289" s="55">
        <f>25.71+1.8</f>
        <v>27.51</v>
      </c>
      <c r="D289" s="55"/>
      <c r="E289" s="55">
        <f t="shared" si="12"/>
        <v>27.51</v>
      </c>
      <c r="F289" s="56">
        <v>210</v>
      </c>
      <c r="G289" s="56">
        <f t="shared" si="11"/>
        <v>5777.1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87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60</v>
      </c>
      <c r="D291" s="55"/>
      <c r="E291" s="55">
        <f t="shared" si="12"/>
        <v>60</v>
      </c>
      <c r="F291" s="56">
        <v>110</v>
      </c>
      <c r="G291" s="56">
        <f t="shared" si="11"/>
        <v>6600</v>
      </c>
    </row>
    <row r="292" spans="1:7" x14ac:dyDescent="0.25">
      <c r="A292" s="53">
        <v>277</v>
      </c>
      <c r="B292" s="54" t="s">
        <v>306</v>
      </c>
      <c r="C292" s="55">
        <f>4.77+4.87+4.91</f>
        <v>14.55</v>
      </c>
      <c r="D292" s="55"/>
      <c r="E292" s="55">
        <f t="shared" si="12"/>
        <v>14.55</v>
      </c>
      <c r="F292" s="56">
        <v>775</v>
      </c>
      <c r="G292" s="56">
        <f t="shared" si="11"/>
        <v>11276.25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f>6*13.62+7+3.56+2.58+0.508</f>
        <v>95.367999999999995</v>
      </c>
      <c r="D294" s="55"/>
      <c r="E294" s="55">
        <f t="shared" si="12"/>
        <v>95.367999999999995</v>
      </c>
      <c r="F294" s="56">
        <v>50</v>
      </c>
      <c r="G294" s="56">
        <f t="shared" si="11"/>
        <v>4768.3999999999996</v>
      </c>
    </row>
    <row r="295" spans="1:7" x14ac:dyDescent="0.25">
      <c r="A295" s="53">
        <v>280</v>
      </c>
      <c r="B295" s="54" t="s">
        <v>309</v>
      </c>
      <c r="C295" s="55">
        <f>12+11.18+4.06+1</f>
        <v>28.24</v>
      </c>
      <c r="D295" s="55"/>
      <c r="E295" s="55">
        <f t="shared" si="12"/>
        <v>28.24</v>
      </c>
      <c r="F295" s="56">
        <v>64</v>
      </c>
      <c r="G295" s="56">
        <f t="shared" si="11"/>
        <v>1807.36</v>
      </c>
    </row>
    <row r="296" spans="1:7" x14ac:dyDescent="0.25">
      <c r="A296" s="53">
        <v>281</v>
      </c>
      <c r="B296" s="54" t="s">
        <v>310</v>
      </c>
      <c r="C296" s="55">
        <f>13.6+0.32+1.3</f>
        <v>15.22</v>
      </c>
      <c r="D296" s="55"/>
      <c r="E296" s="55">
        <f t="shared" si="12"/>
        <v>15.22</v>
      </c>
      <c r="F296" s="56">
        <v>170</v>
      </c>
      <c r="G296" s="56">
        <f t="shared" si="11"/>
        <v>2587.4</v>
      </c>
    </row>
    <row r="297" spans="1:7" x14ac:dyDescent="0.25">
      <c r="A297" s="53">
        <v>282</v>
      </c>
      <c r="B297" s="54" t="s">
        <v>313</v>
      </c>
      <c r="C297" s="55">
        <v>4</v>
      </c>
      <c r="D297" s="55"/>
      <c r="E297" s="55">
        <f t="shared" si="12"/>
        <v>4</v>
      </c>
      <c r="F297" s="56">
        <v>195</v>
      </c>
      <c r="G297" s="56">
        <f t="shared" si="11"/>
        <v>780</v>
      </c>
    </row>
    <row r="298" spans="1:7" x14ac:dyDescent="0.25">
      <c r="A298" s="53">
        <v>283</v>
      </c>
      <c r="B298" s="54" t="s">
        <v>379</v>
      </c>
      <c r="C298" s="55">
        <f>1.67+0.526</f>
        <v>2.1959999999999997</v>
      </c>
      <c r="D298" s="55"/>
      <c r="E298" s="55">
        <f t="shared" si="12"/>
        <v>2.1959999999999997</v>
      </c>
      <c r="F298" s="56">
        <v>600</v>
      </c>
      <c r="G298" s="56">
        <f t="shared" si="11"/>
        <v>1317.6</v>
      </c>
    </row>
    <row r="299" spans="1:7" x14ac:dyDescent="0.25">
      <c r="A299" s="53">
        <v>284</v>
      </c>
      <c r="B299" s="54" t="s">
        <v>351</v>
      </c>
      <c r="C299" s="55">
        <v>2</v>
      </c>
      <c r="D299" s="55"/>
      <c r="E299" s="55">
        <f t="shared" si="12"/>
        <v>2</v>
      </c>
      <c r="F299" s="56">
        <v>106</v>
      </c>
      <c r="G299" s="56">
        <f t="shared" si="11"/>
        <v>212</v>
      </c>
    </row>
    <row r="300" spans="1:7" x14ac:dyDescent="0.25">
      <c r="A300" s="53">
        <v>285</v>
      </c>
      <c r="B300" s="54" t="s">
        <v>316</v>
      </c>
      <c r="C300" s="55">
        <v>0</v>
      </c>
      <c r="D300" s="55"/>
      <c r="E300" s="55">
        <f t="shared" si="12"/>
        <v>0</v>
      </c>
      <c r="F300" s="56">
        <v>290</v>
      </c>
      <c r="G300" s="56">
        <f t="shared" si="11"/>
        <v>0</v>
      </c>
    </row>
    <row r="301" spans="1:7" x14ac:dyDescent="0.25">
      <c r="A301" s="53">
        <v>286</v>
      </c>
      <c r="B301" s="54" t="s">
        <v>317</v>
      </c>
      <c r="C301" s="55">
        <v>14</v>
      </c>
      <c r="D301" s="55"/>
      <c r="E301" s="55">
        <f t="shared" si="12"/>
        <v>14</v>
      </c>
      <c r="F301" s="56">
        <v>40</v>
      </c>
      <c r="G301" s="56">
        <f t="shared" si="11"/>
        <v>560</v>
      </c>
    </row>
    <row r="302" spans="1:7" x14ac:dyDescent="0.25">
      <c r="A302" s="53">
        <v>287</v>
      </c>
      <c r="B302" s="54" t="s">
        <v>318</v>
      </c>
      <c r="C302" s="55">
        <v>3</v>
      </c>
      <c r="D302" s="55"/>
      <c r="E302" s="55">
        <f t="shared" si="12"/>
        <v>3</v>
      </c>
      <c r="F302" s="56">
        <v>70</v>
      </c>
      <c r="G302" s="56">
        <f t="shared" si="11"/>
        <v>210</v>
      </c>
    </row>
    <row r="303" spans="1:7" ht="18" customHeight="1" x14ac:dyDescent="0.25">
      <c r="A303" s="53">
        <v>288</v>
      </c>
      <c r="B303" s="54" t="s">
        <v>319</v>
      </c>
      <c r="C303" s="55">
        <v>0</v>
      </c>
      <c r="D303" s="55"/>
      <c r="E303" s="55">
        <f t="shared" si="12"/>
        <v>0</v>
      </c>
      <c r="F303" s="56">
        <v>400</v>
      </c>
      <c r="G303" s="56">
        <f t="shared" si="11"/>
        <v>0</v>
      </c>
    </row>
    <row r="304" spans="1:7" ht="18" customHeight="1" x14ac:dyDescent="0.25">
      <c r="A304" s="53">
        <v>289</v>
      </c>
      <c r="B304" s="54" t="s">
        <v>320</v>
      </c>
      <c r="C304" s="55">
        <v>12</v>
      </c>
      <c r="D304" s="55"/>
      <c r="E304" s="55">
        <f t="shared" si="12"/>
        <v>12</v>
      </c>
      <c r="F304" s="56">
        <v>360</v>
      </c>
      <c r="G304" s="56">
        <f t="shared" si="11"/>
        <v>4320</v>
      </c>
    </row>
    <row r="305" spans="1:7" ht="18" customHeight="1" x14ac:dyDescent="0.25">
      <c r="A305" s="53">
        <v>290</v>
      </c>
      <c r="B305" s="54" t="s">
        <v>357</v>
      </c>
      <c r="C305" s="55">
        <f>5.92+6.015</f>
        <v>11.934999999999999</v>
      </c>
      <c r="D305" s="55"/>
      <c r="E305" s="55">
        <f t="shared" si="12"/>
        <v>11.934999999999999</v>
      </c>
      <c r="F305" s="56">
        <v>980</v>
      </c>
      <c r="G305" s="56">
        <f t="shared" si="11"/>
        <v>11696.3</v>
      </c>
    </row>
    <row r="306" spans="1:7" ht="18" customHeight="1" x14ac:dyDescent="0.25">
      <c r="A306" s="53">
        <v>291</v>
      </c>
      <c r="B306" s="54" t="s">
        <v>352</v>
      </c>
      <c r="C306" s="55">
        <v>4</v>
      </c>
      <c r="D306" s="55"/>
      <c r="E306" s="55">
        <f t="shared" si="12"/>
        <v>4</v>
      </c>
      <c r="F306" s="56">
        <v>114</v>
      </c>
      <c r="G306" s="56">
        <f t="shared" si="11"/>
        <v>456</v>
      </c>
    </row>
    <row r="307" spans="1:7" ht="18" customHeight="1" x14ac:dyDescent="0.25">
      <c r="A307" s="53">
        <v>292</v>
      </c>
      <c r="B307" s="54" t="s">
        <v>322</v>
      </c>
      <c r="C307" s="55">
        <v>402</v>
      </c>
      <c r="D307" s="55">
        <v>21</v>
      </c>
      <c r="E307" s="55">
        <f t="shared" si="12"/>
        <v>355.8</v>
      </c>
      <c r="F307" s="56">
        <v>116</v>
      </c>
      <c r="G307" s="56">
        <f t="shared" si="11"/>
        <v>41272.800000000003</v>
      </c>
    </row>
    <row r="308" spans="1:7" ht="18" customHeight="1" x14ac:dyDescent="0.25">
      <c r="A308" s="53">
        <v>293</v>
      </c>
      <c r="B308" s="54" t="s">
        <v>323</v>
      </c>
      <c r="C308" s="55">
        <f>9.5+7.55+6.34+12.39+7.68+4.33+3.96+4.94</f>
        <v>56.69</v>
      </c>
      <c r="D308" s="55">
        <v>1</v>
      </c>
      <c r="E308" s="55">
        <f t="shared" si="12"/>
        <v>54.489999999999995</v>
      </c>
      <c r="F308" s="56">
        <v>450</v>
      </c>
      <c r="G308" s="56">
        <f t="shared" si="11"/>
        <v>24520.499999999996</v>
      </c>
    </row>
    <row r="309" spans="1:7" ht="18" customHeight="1" x14ac:dyDescent="0.25">
      <c r="A309" s="53">
        <v>294</v>
      </c>
      <c r="B309" s="54" t="s">
        <v>325</v>
      </c>
      <c r="C309" s="55">
        <v>91.5</v>
      </c>
      <c r="D309" s="55">
        <v>6</v>
      </c>
      <c r="E309" s="55">
        <f t="shared" si="12"/>
        <v>78.3</v>
      </c>
      <c r="F309" s="56">
        <v>116</v>
      </c>
      <c r="G309" s="56">
        <f t="shared" si="11"/>
        <v>9082.7999999999993</v>
      </c>
    </row>
    <row r="310" spans="1:7" ht="18" customHeight="1" x14ac:dyDescent="0.25">
      <c r="A310" s="53">
        <v>295</v>
      </c>
      <c r="B310" s="54" t="s">
        <v>326</v>
      </c>
      <c r="C310" s="55">
        <v>0</v>
      </c>
      <c r="D310" s="55"/>
      <c r="E310" s="55">
        <f t="shared" si="12"/>
        <v>0</v>
      </c>
      <c r="F310" s="56">
        <v>3</v>
      </c>
      <c r="G310" s="56">
        <f t="shared" si="11"/>
        <v>0</v>
      </c>
    </row>
    <row r="311" spans="1:7" ht="15.75" thickBot="1" x14ac:dyDescent="0.3">
      <c r="A311" s="53"/>
      <c r="B311" s="57" t="s">
        <v>17</v>
      </c>
      <c r="C311" s="15">
        <f>SUM(C269:C310)</f>
        <v>4595.1239999999989</v>
      </c>
      <c r="D311" s="74" t="s">
        <v>402</v>
      </c>
      <c r="E311" s="15">
        <f>SUM(E269:E310)</f>
        <v>4496.1239999999998</v>
      </c>
      <c r="F311" s="38"/>
      <c r="G311" s="36">
        <f>SUM(G269:G310)</f>
        <v>658881.70000000007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54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54" t="s">
        <v>397</v>
      </c>
      <c r="C314" s="55">
        <f>1.338+2.36</f>
        <v>3.698</v>
      </c>
      <c r="D314" s="55"/>
      <c r="E314" s="55">
        <f t="shared" si="12"/>
        <v>3.698</v>
      </c>
      <c r="F314" s="56">
        <v>50</v>
      </c>
      <c r="G314" s="56">
        <f t="shared" ref="G314:G352" si="13">F314*E314</f>
        <v>184.9</v>
      </c>
    </row>
    <row r="315" spans="1:7" ht="18" customHeight="1" x14ac:dyDescent="0.25">
      <c r="A315" s="53">
        <v>298</v>
      </c>
      <c r="B315" s="54" t="s">
        <v>396</v>
      </c>
      <c r="C315" s="55">
        <v>0</v>
      </c>
      <c r="D315" s="55"/>
      <c r="E315" s="55">
        <f t="shared" si="12"/>
        <v>0</v>
      </c>
      <c r="F315" s="56">
        <v>80</v>
      </c>
      <c r="G315" s="56">
        <f t="shared" si="13"/>
        <v>0</v>
      </c>
    </row>
    <row r="316" spans="1:7" ht="18" customHeight="1" x14ac:dyDescent="0.25">
      <c r="A316" s="53">
        <v>299</v>
      </c>
      <c r="B316" s="54" t="s">
        <v>237</v>
      </c>
      <c r="C316" s="55">
        <v>0.94</v>
      </c>
      <c r="D316" s="55"/>
      <c r="E316" s="55">
        <f t="shared" si="12"/>
        <v>0.94</v>
      </c>
      <c r="F316" s="56">
        <v>130</v>
      </c>
      <c r="G316" s="56">
        <f t="shared" si="13"/>
        <v>122.19999999999999</v>
      </c>
    </row>
    <row r="317" spans="1:7" ht="18" customHeight="1" x14ac:dyDescent="0.25">
      <c r="A317" s="53">
        <v>300</v>
      </c>
      <c r="B317" s="54" t="s">
        <v>395</v>
      </c>
      <c r="C317" s="55">
        <v>5.67</v>
      </c>
      <c r="D317" s="55"/>
      <c r="E317" s="55">
        <f t="shared" si="12"/>
        <v>5.67</v>
      </c>
      <c r="F317" s="56">
        <v>112</v>
      </c>
      <c r="G317" s="56">
        <f t="shared" si="13"/>
        <v>635.04</v>
      </c>
    </row>
    <row r="318" spans="1:7" ht="18" customHeight="1" x14ac:dyDescent="0.25">
      <c r="A318" s="53">
        <v>301</v>
      </c>
      <c r="B318" s="54" t="s">
        <v>394</v>
      </c>
      <c r="C318" s="55">
        <v>0</v>
      </c>
      <c r="D318" s="55"/>
      <c r="E318" s="55">
        <f t="shared" si="12"/>
        <v>0</v>
      </c>
      <c r="F318" s="56">
        <v>75</v>
      </c>
      <c r="G318" s="56">
        <f t="shared" si="13"/>
        <v>0</v>
      </c>
    </row>
    <row r="319" spans="1:7" ht="18" customHeight="1" x14ac:dyDescent="0.25">
      <c r="A319" s="53">
        <v>302</v>
      </c>
      <c r="B319" s="54" t="s">
        <v>393</v>
      </c>
      <c r="C319" s="55">
        <v>56.5</v>
      </c>
      <c r="D319" s="55">
        <v>3</v>
      </c>
      <c r="E319" s="55">
        <f t="shared" si="12"/>
        <v>49.9</v>
      </c>
      <c r="F319" s="56">
        <v>132</v>
      </c>
      <c r="G319" s="56">
        <f t="shared" si="13"/>
        <v>6586.8</v>
      </c>
    </row>
    <row r="320" spans="1:7" ht="18" customHeight="1" x14ac:dyDescent="0.25">
      <c r="A320" s="53">
        <v>303</v>
      </c>
      <c r="B320" s="54" t="s">
        <v>392</v>
      </c>
      <c r="C320" s="55">
        <v>7</v>
      </c>
      <c r="D320" s="55"/>
      <c r="E320" s="55">
        <f t="shared" si="12"/>
        <v>7</v>
      </c>
      <c r="F320" s="56">
        <v>115</v>
      </c>
      <c r="G320" s="56">
        <f t="shared" si="13"/>
        <v>805</v>
      </c>
    </row>
    <row r="321" spans="1:7" ht="18" customHeight="1" x14ac:dyDescent="0.25">
      <c r="A321" s="53">
        <v>304</v>
      </c>
      <c r="B321" s="54" t="s">
        <v>391</v>
      </c>
      <c r="C321" s="55">
        <v>0</v>
      </c>
      <c r="D321" s="55"/>
      <c r="E321" s="55">
        <f t="shared" si="12"/>
        <v>0</v>
      </c>
      <c r="F321" s="56">
        <v>190</v>
      </c>
      <c r="G321" s="56">
        <f t="shared" si="13"/>
        <v>0</v>
      </c>
    </row>
    <row r="322" spans="1:7" ht="18" customHeight="1" x14ac:dyDescent="0.25">
      <c r="A322" s="53">
        <v>305</v>
      </c>
      <c r="B322" s="54" t="s">
        <v>390</v>
      </c>
      <c r="C322" s="55">
        <v>404</v>
      </c>
      <c r="D322" s="55"/>
      <c r="E322" s="55">
        <f t="shared" si="12"/>
        <v>404</v>
      </c>
      <c r="F322" s="56">
        <v>80</v>
      </c>
      <c r="G322" s="56">
        <f t="shared" si="13"/>
        <v>32320</v>
      </c>
    </row>
    <row r="323" spans="1:7" ht="18" customHeight="1" x14ac:dyDescent="0.25">
      <c r="A323" s="53">
        <v>306</v>
      </c>
      <c r="B323" s="54" t="s">
        <v>389</v>
      </c>
      <c r="C323" s="55">
        <v>7.4</v>
      </c>
      <c r="D323" s="55">
        <v>1</v>
      </c>
      <c r="E323" s="55">
        <f t="shared" si="12"/>
        <v>5.2</v>
      </c>
      <c r="F323" s="56">
        <v>55</v>
      </c>
      <c r="G323" s="56">
        <f t="shared" si="13"/>
        <v>286</v>
      </c>
    </row>
    <row r="324" spans="1:7" ht="18" customHeight="1" x14ac:dyDescent="0.25">
      <c r="A324" s="53">
        <v>307</v>
      </c>
      <c r="B324" s="54" t="s">
        <v>388</v>
      </c>
      <c r="C324" s="55">
        <v>3.5</v>
      </c>
      <c r="D324" s="55">
        <v>1</v>
      </c>
      <c r="E324" s="55">
        <f t="shared" si="12"/>
        <v>1.2999999999999998</v>
      </c>
      <c r="F324" s="56">
        <v>198</v>
      </c>
      <c r="G324" s="56">
        <f t="shared" si="13"/>
        <v>257.39999999999998</v>
      </c>
    </row>
    <row r="325" spans="1:7" ht="18" customHeight="1" x14ac:dyDescent="0.25">
      <c r="A325" s="53">
        <v>308</v>
      </c>
      <c r="B325" s="54" t="s">
        <v>387</v>
      </c>
      <c r="C325" s="55">
        <v>1.84</v>
      </c>
      <c r="D325" s="55"/>
      <c r="E325" s="55">
        <f t="shared" si="12"/>
        <v>1.84</v>
      </c>
      <c r="F325" s="56">
        <v>134</v>
      </c>
      <c r="G325" s="56">
        <f t="shared" si="13"/>
        <v>246.56</v>
      </c>
    </row>
    <row r="326" spans="1:7" ht="18" customHeight="1" x14ac:dyDescent="0.25">
      <c r="A326" s="53">
        <v>309</v>
      </c>
      <c r="B326" s="54" t="s">
        <v>386</v>
      </c>
      <c r="C326" s="55">
        <v>2</v>
      </c>
      <c r="D326" s="55"/>
      <c r="E326" s="55">
        <f t="shared" si="12"/>
        <v>2</v>
      </c>
      <c r="F326" s="56">
        <v>98</v>
      </c>
      <c r="G326" s="56">
        <f t="shared" si="13"/>
        <v>196</v>
      </c>
    </row>
    <row r="327" spans="1:7" ht="18" customHeight="1" x14ac:dyDescent="0.25">
      <c r="A327" s="53">
        <v>310</v>
      </c>
      <c r="B327" s="54" t="s">
        <v>385</v>
      </c>
      <c r="C327" s="55">
        <v>3</v>
      </c>
      <c r="D327" s="55"/>
      <c r="E327" s="55">
        <f t="shared" si="12"/>
        <v>3</v>
      </c>
      <c r="F327" s="56">
        <v>88</v>
      </c>
      <c r="G327" s="56">
        <f t="shared" si="13"/>
        <v>264</v>
      </c>
    </row>
    <row r="328" spans="1:7" ht="18" customHeight="1" x14ac:dyDescent="0.25">
      <c r="A328" s="53">
        <v>311</v>
      </c>
      <c r="B328" s="54" t="s">
        <v>384</v>
      </c>
      <c r="C328" s="55">
        <v>2</v>
      </c>
      <c r="D328" s="55"/>
      <c r="E328" s="55">
        <f t="shared" si="12"/>
        <v>2</v>
      </c>
      <c r="F328" s="56">
        <v>298</v>
      </c>
      <c r="G328" s="56">
        <f t="shared" si="13"/>
        <v>596</v>
      </c>
    </row>
    <row r="329" spans="1:7" ht="18" customHeight="1" x14ac:dyDescent="0.25">
      <c r="A329" s="53">
        <v>312</v>
      </c>
      <c r="B329" s="54" t="s">
        <v>383</v>
      </c>
      <c r="C329" s="55">
        <v>3</v>
      </c>
      <c r="D329" s="55"/>
      <c r="E329" s="55">
        <f t="shared" si="12"/>
        <v>3</v>
      </c>
      <c r="F329" s="56">
        <v>244</v>
      </c>
      <c r="G329" s="56">
        <f t="shared" si="13"/>
        <v>732</v>
      </c>
    </row>
    <row r="330" spans="1:7" ht="18" customHeight="1" x14ac:dyDescent="0.25">
      <c r="A330" s="53">
        <v>313</v>
      </c>
      <c r="B330" s="54" t="s">
        <v>399</v>
      </c>
      <c r="C330" s="55">
        <v>4</v>
      </c>
      <c r="D330" s="55"/>
      <c r="E330" s="55">
        <f t="shared" si="12"/>
        <v>4</v>
      </c>
      <c r="F330" s="56">
        <v>187</v>
      </c>
      <c r="G330" s="56">
        <f t="shared" si="13"/>
        <v>748</v>
      </c>
    </row>
    <row r="331" spans="1:7" ht="18" customHeight="1" x14ac:dyDescent="0.25">
      <c r="A331" s="53">
        <v>314</v>
      </c>
      <c r="B331" s="54" t="s">
        <v>400</v>
      </c>
      <c r="C331" s="55">
        <v>4</v>
      </c>
      <c r="D331" s="55"/>
      <c r="E331" s="55">
        <f t="shared" si="12"/>
        <v>4</v>
      </c>
      <c r="F331" s="56">
        <v>190</v>
      </c>
      <c r="G331" s="56">
        <f t="shared" si="13"/>
        <v>760</v>
      </c>
    </row>
    <row r="332" spans="1:7" ht="18" customHeight="1" x14ac:dyDescent="0.25">
      <c r="A332" s="53">
        <v>315</v>
      </c>
      <c r="B332" s="54" t="s">
        <v>401</v>
      </c>
      <c r="C332" s="55">
        <v>3</v>
      </c>
      <c r="D332" s="55"/>
      <c r="E332" s="55">
        <f t="shared" si="12"/>
        <v>3</v>
      </c>
      <c r="F332" s="56">
        <v>298</v>
      </c>
      <c r="G332" s="56">
        <f t="shared" si="13"/>
        <v>894</v>
      </c>
    </row>
    <row r="333" spans="1:7" ht="18" customHeight="1" x14ac:dyDescent="0.25">
      <c r="A333" s="53">
        <v>316</v>
      </c>
      <c r="B333" s="54" t="s">
        <v>419</v>
      </c>
      <c r="C333" s="55">
        <v>2</v>
      </c>
      <c r="D333" s="55"/>
      <c r="E333" s="55">
        <f t="shared" si="12"/>
        <v>2</v>
      </c>
      <c r="F333" s="56">
        <v>111</v>
      </c>
      <c r="G333" s="56">
        <f t="shared" si="13"/>
        <v>222</v>
      </c>
    </row>
    <row r="334" spans="1:7" ht="18" customHeight="1" x14ac:dyDescent="0.25">
      <c r="A334" s="53">
        <v>317</v>
      </c>
      <c r="B334" s="54" t="s">
        <v>420</v>
      </c>
      <c r="C334" s="55">
        <v>4</v>
      </c>
      <c r="D334" s="55"/>
      <c r="E334" s="55">
        <f t="shared" si="12"/>
        <v>4</v>
      </c>
      <c r="F334" s="56">
        <v>247</v>
      </c>
      <c r="G334" s="56">
        <f t="shared" si="13"/>
        <v>988</v>
      </c>
    </row>
    <row r="335" spans="1:7" ht="18" customHeight="1" x14ac:dyDescent="0.25">
      <c r="A335" s="53">
        <v>318</v>
      </c>
      <c r="B335" s="54" t="s">
        <v>421</v>
      </c>
      <c r="C335" s="55">
        <v>3</v>
      </c>
      <c r="D335" s="55"/>
      <c r="E335" s="55">
        <f t="shared" si="12"/>
        <v>3</v>
      </c>
      <c r="F335" s="56">
        <v>298</v>
      </c>
      <c r="G335" s="56">
        <f t="shared" si="13"/>
        <v>894</v>
      </c>
    </row>
    <row r="336" spans="1:7" ht="18" customHeight="1" x14ac:dyDescent="0.25">
      <c r="A336" s="53">
        <v>319</v>
      </c>
      <c r="B336" s="54" t="s">
        <v>422</v>
      </c>
      <c r="C336" s="55">
        <v>1</v>
      </c>
      <c r="D336" s="55"/>
      <c r="E336" s="55">
        <f t="shared" si="12"/>
        <v>1</v>
      </c>
      <c r="F336" s="56">
        <v>54</v>
      </c>
      <c r="G336" s="56">
        <f t="shared" si="13"/>
        <v>54</v>
      </c>
    </row>
    <row r="337" spans="1:7" ht="18" customHeight="1" x14ac:dyDescent="0.25">
      <c r="A337" s="53">
        <v>320</v>
      </c>
      <c r="B337" s="54" t="s">
        <v>404</v>
      </c>
      <c r="C337" s="55">
        <v>4</v>
      </c>
      <c r="D337" s="55"/>
      <c r="E337" s="55">
        <f t="shared" si="12"/>
        <v>4</v>
      </c>
      <c r="F337" s="56">
        <v>75</v>
      </c>
      <c r="G337" s="56">
        <f t="shared" si="13"/>
        <v>300</v>
      </c>
    </row>
    <row r="338" spans="1:7" ht="18" customHeight="1" x14ac:dyDescent="0.25">
      <c r="A338" s="53">
        <v>321</v>
      </c>
      <c r="B338" s="54" t="s">
        <v>405</v>
      </c>
      <c r="C338" s="55">
        <v>9</v>
      </c>
      <c r="D338" s="55"/>
      <c r="E338" s="55">
        <f t="shared" si="12"/>
        <v>9</v>
      </c>
      <c r="F338" s="56">
        <v>88</v>
      </c>
      <c r="G338" s="56">
        <f t="shared" si="13"/>
        <v>792</v>
      </c>
    </row>
    <row r="339" spans="1:7" ht="18" customHeight="1" x14ac:dyDescent="0.25">
      <c r="A339" s="53">
        <v>322</v>
      </c>
      <c r="B339" s="54" t="s">
        <v>406</v>
      </c>
      <c r="C339" s="55">
        <v>9</v>
      </c>
      <c r="D339" s="55"/>
      <c r="E339" s="55">
        <f t="shared" si="12"/>
        <v>9</v>
      </c>
      <c r="F339" s="56">
        <v>60</v>
      </c>
      <c r="G339" s="56">
        <f t="shared" si="13"/>
        <v>540</v>
      </c>
    </row>
    <row r="340" spans="1:7" ht="18" customHeight="1" x14ac:dyDescent="0.25">
      <c r="A340" s="53">
        <v>323</v>
      </c>
      <c r="B340" s="54" t="s">
        <v>416</v>
      </c>
      <c r="C340" s="55">
        <v>4</v>
      </c>
      <c r="D340" s="55"/>
      <c r="E340" s="55">
        <f t="shared" si="12"/>
        <v>4</v>
      </c>
      <c r="F340" s="56">
        <v>55</v>
      </c>
      <c r="G340" s="56">
        <f t="shared" si="13"/>
        <v>220</v>
      </c>
    </row>
    <row r="341" spans="1:7" ht="18" customHeight="1" x14ac:dyDescent="0.25">
      <c r="A341" s="53">
        <v>324</v>
      </c>
      <c r="B341" s="54" t="s">
        <v>407</v>
      </c>
      <c r="C341" s="55">
        <v>3</v>
      </c>
      <c r="D341" s="55"/>
      <c r="E341" s="55">
        <f t="shared" si="12"/>
        <v>3</v>
      </c>
      <c r="F341" s="56">
        <v>28</v>
      </c>
      <c r="G341" s="56">
        <f t="shared" si="13"/>
        <v>84</v>
      </c>
    </row>
    <row r="342" spans="1:7" ht="18" customHeight="1" x14ac:dyDescent="0.25">
      <c r="A342" s="53">
        <v>325</v>
      </c>
      <c r="B342" s="54" t="s">
        <v>408</v>
      </c>
      <c r="C342" s="55">
        <v>3</v>
      </c>
      <c r="D342" s="55"/>
      <c r="E342" s="55">
        <f t="shared" si="12"/>
        <v>3</v>
      </c>
      <c r="F342" s="56">
        <v>55</v>
      </c>
      <c r="G342" s="56">
        <f t="shared" si="13"/>
        <v>165</v>
      </c>
    </row>
    <row r="343" spans="1:7" ht="18" customHeight="1" x14ac:dyDescent="0.25">
      <c r="A343" s="53">
        <v>326</v>
      </c>
      <c r="B343" s="54" t="s">
        <v>409</v>
      </c>
      <c r="C343" s="55">
        <v>4</v>
      </c>
      <c r="D343" s="55"/>
      <c r="E343" s="55">
        <f t="shared" si="12"/>
        <v>4</v>
      </c>
      <c r="F343" s="56">
        <v>56</v>
      </c>
      <c r="G343" s="56">
        <f t="shared" si="13"/>
        <v>224</v>
      </c>
    </row>
    <row r="344" spans="1:7" ht="18" customHeight="1" x14ac:dyDescent="0.25">
      <c r="A344" s="53">
        <v>327</v>
      </c>
      <c r="B344" s="54" t="s">
        <v>410</v>
      </c>
      <c r="C344" s="55">
        <v>8</v>
      </c>
      <c r="D344" s="55"/>
      <c r="E344" s="55">
        <f t="shared" si="12"/>
        <v>8</v>
      </c>
      <c r="F344" s="56">
        <v>45</v>
      </c>
      <c r="G344" s="56">
        <f t="shared" si="13"/>
        <v>360</v>
      </c>
    </row>
    <row r="345" spans="1:7" ht="18" customHeight="1" x14ac:dyDescent="0.25">
      <c r="A345" s="53">
        <v>328</v>
      </c>
      <c r="B345" s="54" t="s">
        <v>411</v>
      </c>
      <c r="C345" s="55">
        <v>2</v>
      </c>
      <c r="D345" s="55"/>
      <c r="E345" s="55">
        <f t="shared" si="12"/>
        <v>2</v>
      </c>
      <c r="F345" s="56">
        <v>56</v>
      </c>
      <c r="G345" s="56">
        <f t="shared" si="13"/>
        <v>112</v>
      </c>
    </row>
    <row r="346" spans="1:7" ht="18" customHeight="1" x14ac:dyDescent="0.25">
      <c r="A346" s="53">
        <v>329</v>
      </c>
      <c r="B346" s="54" t="s">
        <v>412</v>
      </c>
      <c r="C346" s="55">
        <v>2</v>
      </c>
      <c r="D346" s="55"/>
      <c r="E346" s="55">
        <f t="shared" si="12"/>
        <v>2</v>
      </c>
      <c r="F346" s="56">
        <v>96</v>
      </c>
      <c r="G346" s="56">
        <f t="shared" si="13"/>
        <v>192</v>
      </c>
    </row>
    <row r="347" spans="1:7" ht="18" customHeight="1" x14ac:dyDescent="0.25">
      <c r="A347" s="53">
        <v>330</v>
      </c>
      <c r="B347" s="54" t="s">
        <v>413</v>
      </c>
      <c r="C347" s="55">
        <v>3</v>
      </c>
      <c r="D347" s="55"/>
      <c r="E347" s="55">
        <f t="shared" si="12"/>
        <v>3</v>
      </c>
      <c r="F347" s="56">
        <v>66</v>
      </c>
      <c r="G347" s="56">
        <f t="shared" si="13"/>
        <v>198</v>
      </c>
    </row>
    <row r="348" spans="1:7" ht="18" customHeight="1" x14ac:dyDescent="0.25">
      <c r="A348" s="53">
        <v>331</v>
      </c>
      <c r="B348" s="54" t="s">
        <v>414</v>
      </c>
      <c r="C348" s="55">
        <v>2</v>
      </c>
      <c r="D348" s="55"/>
      <c r="E348" s="55">
        <f t="shared" si="12"/>
        <v>2</v>
      </c>
      <c r="F348" s="56">
        <v>66</v>
      </c>
      <c r="G348" s="56">
        <f t="shared" si="13"/>
        <v>132</v>
      </c>
    </row>
    <row r="349" spans="1:7" ht="15.75" thickBot="1" x14ac:dyDescent="0.3">
      <c r="A349" s="53"/>
      <c r="B349" s="57" t="s">
        <v>17</v>
      </c>
      <c r="C349" s="15">
        <f>SUM(C313:C348)</f>
        <v>574.548</v>
      </c>
      <c r="D349" s="74" t="s">
        <v>402</v>
      </c>
      <c r="E349" s="15">
        <f>SUM(E313:E348)</f>
        <v>563.548</v>
      </c>
      <c r="F349" s="38"/>
      <c r="G349" s="36">
        <f>SUM(G313:G348)</f>
        <v>51110.9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1</v>
      </c>
      <c r="D351" s="55"/>
      <c r="E351" s="55">
        <f t="shared" si="12"/>
        <v>1</v>
      </c>
      <c r="F351" s="56">
        <v>32</v>
      </c>
      <c r="G351" s="56">
        <f t="shared" si="13"/>
        <v>32</v>
      </c>
    </row>
    <row r="352" spans="1:7" ht="18" customHeight="1" x14ac:dyDescent="0.25">
      <c r="A352" s="53">
        <v>335</v>
      </c>
      <c r="B352" s="54" t="s">
        <v>418</v>
      </c>
      <c r="C352" s="55">
        <v>2</v>
      </c>
      <c r="D352" s="55"/>
      <c r="E352" s="55">
        <f t="shared" si="12"/>
        <v>2</v>
      </c>
      <c r="F352" s="56">
        <v>65</v>
      </c>
      <c r="G352" s="56">
        <f t="shared" si="13"/>
        <v>130</v>
      </c>
    </row>
    <row r="353" spans="1:7" ht="18" customHeight="1" x14ac:dyDescent="0.25">
      <c r="A353" s="53">
        <v>332</v>
      </c>
      <c r="B353" s="54" t="s">
        <v>415</v>
      </c>
      <c r="C353" s="55">
        <v>2</v>
      </c>
      <c r="D353" s="55"/>
      <c r="E353" s="55">
        <f t="shared" ref="E353" si="14">C353-(D353*2.2)</f>
        <v>2</v>
      </c>
      <c r="F353" s="56">
        <v>65</v>
      </c>
      <c r="G353" s="56">
        <f t="shared" ref="G353" si="15">F353*E353</f>
        <v>130</v>
      </c>
    </row>
    <row r="354" spans="1:7" ht="17.25" customHeight="1" x14ac:dyDescent="0.3">
      <c r="A354" s="65"/>
      <c r="B354" s="57" t="s">
        <v>17</v>
      </c>
      <c r="C354" s="66">
        <f>SUM(C351:C353)</f>
        <v>5</v>
      </c>
      <c r="D354" s="73" t="s">
        <v>402</v>
      </c>
      <c r="E354" s="66">
        <f>SUM(E351:E353)</f>
        <v>5</v>
      </c>
      <c r="F354" s="67"/>
      <c r="G354" s="68">
        <f>SUM(G351:G353)</f>
        <v>292</v>
      </c>
    </row>
    <row r="356" spans="1:7" ht="18.75" x14ac:dyDescent="0.3">
      <c r="B356" s="57" t="s">
        <v>270</v>
      </c>
      <c r="C356" s="42">
        <f>C354+C311+C267+C223+C181+C135+C89+C44</f>
        <v>20416.644597999999</v>
      </c>
      <c r="D356" s="73" t="s">
        <v>403</v>
      </c>
      <c r="E356" s="42">
        <f>E354+E311+E267+E223+E181+E135+E89+E44</f>
        <v>19308.944598000002</v>
      </c>
      <c r="F356" s="69" t="s">
        <v>271</v>
      </c>
      <c r="G356" s="67">
        <f>G354+G311+G267+G223+G181+G135+G89+G44</f>
        <v>2672555.9913699999</v>
      </c>
    </row>
    <row r="358" spans="1:7" x14ac:dyDescent="0.25">
      <c r="A358" s="18">
        <v>306</v>
      </c>
      <c r="B358" s="54" t="s">
        <v>117</v>
      </c>
      <c r="C358" s="55">
        <f>497+222</f>
        <v>719</v>
      </c>
      <c r="D358" s="55"/>
      <c r="E358" s="55"/>
      <c r="F358" s="55">
        <v>1E-3</v>
      </c>
      <c r="G358" s="55">
        <f t="shared" ref="G358" si="16">C358*F358</f>
        <v>0.71899999999999997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zoomScaleNormal="100" workbookViewId="0">
      <selection activeCell="C363" sqref="C363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7.85546875" style="18" bestFit="1" customWidth="1"/>
    <col min="5" max="5" width="14.140625" style="18" customWidth="1"/>
    <col min="6" max="6" width="13.85546875" style="18" bestFit="1" customWidth="1"/>
    <col min="7" max="7" width="18.7109375" style="18" customWidth="1"/>
    <col min="8" max="16384" width="11.42578125" style="18"/>
  </cols>
  <sheetData>
    <row r="1" spans="1:9" ht="26.25" customHeight="1" x14ac:dyDescent="0.4">
      <c r="A1" s="78" t="s">
        <v>424</v>
      </c>
      <c r="B1" s="78"/>
      <c r="C1" s="78"/>
      <c r="D1" s="78"/>
      <c r="E1" s="78"/>
      <c r="F1" s="78"/>
      <c r="G1" s="78"/>
      <c r="H1" s="47"/>
      <c r="I1" s="47"/>
    </row>
    <row r="2" spans="1:9" ht="24" thickBot="1" x14ac:dyDescent="0.4">
      <c r="A2" s="79" t="s">
        <v>0</v>
      </c>
      <c r="B2" s="79"/>
      <c r="C2" s="79"/>
      <c r="D2" s="79"/>
      <c r="E2" s="79"/>
      <c r="F2" s="79"/>
      <c r="G2" s="79"/>
      <c r="H2" s="48"/>
      <c r="I2" s="48"/>
    </row>
    <row r="3" spans="1:9" ht="20.25" customHeight="1" thickBot="1" x14ac:dyDescent="0.3">
      <c r="A3" s="49"/>
      <c r="B3" s="50" t="s">
        <v>1</v>
      </c>
      <c r="C3" s="51" t="s">
        <v>370</v>
      </c>
      <c r="D3" s="51" t="s">
        <v>371</v>
      </c>
      <c r="E3" s="51" t="s">
        <v>372</v>
      </c>
      <c r="F3" s="51" t="s">
        <v>3</v>
      </c>
      <c r="G3" s="52" t="s">
        <v>4</v>
      </c>
    </row>
    <row r="4" spans="1:9" x14ac:dyDescent="0.25">
      <c r="A4" s="53">
        <v>1</v>
      </c>
      <c r="B4" s="54" t="s">
        <v>101</v>
      </c>
      <c r="C4" s="55">
        <f>14.42+1.66+6.78+13+329</f>
        <v>364.86</v>
      </c>
      <c r="D4" s="55">
        <v>17</v>
      </c>
      <c r="E4" s="55">
        <f t="shared" ref="E4:E67" si="0">C4-(D4*2.2)</f>
        <v>327.46000000000004</v>
      </c>
      <c r="F4" s="56">
        <v>180</v>
      </c>
      <c r="G4" s="56">
        <f>F4*E4</f>
        <v>58942.8</v>
      </c>
    </row>
    <row r="5" spans="1:9" x14ac:dyDescent="0.25">
      <c r="A5" s="53">
        <v>2</v>
      </c>
      <c r="B5" s="54" t="s">
        <v>381</v>
      </c>
      <c r="C5" s="55">
        <v>3.5059999999999998</v>
      </c>
      <c r="D5" s="55"/>
      <c r="E5" s="55">
        <f t="shared" si="0"/>
        <v>3.5059999999999998</v>
      </c>
      <c r="F5" s="56">
        <v>140</v>
      </c>
      <c r="G5" s="56">
        <f t="shared" ref="G5:G43" si="1">F5*E5</f>
        <v>490.84</v>
      </c>
    </row>
    <row r="6" spans="1:9" x14ac:dyDescent="0.25">
      <c r="A6" s="53">
        <v>3</v>
      </c>
      <c r="B6" s="54" t="s">
        <v>102</v>
      </c>
      <c r="C6" s="55">
        <v>30.6</v>
      </c>
      <c r="D6" s="55"/>
      <c r="E6" s="55">
        <f t="shared" si="0"/>
        <v>30.6</v>
      </c>
      <c r="F6" s="56">
        <v>114</v>
      </c>
      <c r="G6" s="56">
        <f t="shared" si="1"/>
        <v>3488.4</v>
      </c>
    </row>
    <row r="7" spans="1:9" x14ac:dyDescent="0.25">
      <c r="A7" s="53">
        <v>4</v>
      </c>
      <c r="B7" s="54" t="s">
        <v>428</v>
      </c>
      <c r="C7" s="55">
        <v>44.5</v>
      </c>
      <c r="D7" s="55">
        <v>4</v>
      </c>
      <c r="E7" s="55">
        <f t="shared" si="0"/>
        <v>35.700000000000003</v>
      </c>
      <c r="F7" s="56">
        <v>140</v>
      </c>
      <c r="G7" s="56">
        <f t="shared" si="1"/>
        <v>4998</v>
      </c>
    </row>
    <row r="8" spans="1:9" x14ac:dyDescent="0.25">
      <c r="A8" s="53">
        <v>5</v>
      </c>
      <c r="B8" s="54" t="s">
        <v>105</v>
      </c>
      <c r="C8" s="55">
        <f>7.95+1</f>
        <v>8.9499999999999993</v>
      </c>
      <c r="D8" s="55"/>
      <c r="E8" s="55">
        <f t="shared" si="0"/>
        <v>8.9499999999999993</v>
      </c>
      <c r="F8" s="56">
        <v>125</v>
      </c>
      <c r="G8" s="56">
        <f t="shared" si="1"/>
        <v>1118.75</v>
      </c>
    </row>
    <row r="9" spans="1:9" x14ac:dyDescent="0.25">
      <c r="A9" s="53">
        <v>6</v>
      </c>
      <c r="B9" s="54" t="s">
        <v>106</v>
      </c>
      <c r="C9" s="55">
        <f>21+0.8+12.2</f>
        <v>34</v>
      </c>
      <c r="D9" s="55"/>
      <c r="E9" s="55">
        <f t="shared" si="0"/>
        <v>34</v>
      </c>
      <c r="F9" s="56">
        <v>110</v>
      </c>
      <c r="G9" s="56">
        <f t="shared" si="1"/>
        <v>3740</v>
      </c>
    </row>
    <row r="10" spans="1:9" x14ac:dyDescent="0.25">
      <c r="A10" s="53">
        <v>7</v>
      </c>
      <c r="B10" s="54" t="s">
        <v>346</v>
      </c>
      <c r="C10" s="55">
        <v>0</v>
      </c>
      <c r="D10" s="55"/>
      <c r="E10" s="55">
        <f t="shared" si="0"/>
        <v>0</v>
      </c>
      <c r="F10" s="56">
        <v>175</v>
      </c>
      <c r="G10" s="56">
        <f t="shared" si="1"/>
        <v>0</v>
      </c>
    </row>
    <row r="11" spans="1:9" x14ac:dyDescent="0.25">
      <c r="A11" s="53">
        <v>8</v>
      </c>
      <c r="B11" s="54" t="s">
        <v>336</v>
      </c>
      <c r="C11" s="55">
        <v>2</v>
      </c>
      <c r="D11" s="55"/>
      <c r="E11" s="55">
        <f t="shared" si="0"/>
        <v>2</v>
      </c>
      <c r="F11" s="56">
        <v>87</v>
      </c>
      <c r="G11" s="56">
        <f t="shared" si="1"/>
        <v>174</v>
      </c>
    </row>
    <row r="12" spans="1:9" x14ac:dyDescent="0.25">
      <c r="A12" s="53">
        <v>9</v>
      </c>
      <c r="B12" s="54" t="s">
        <v>337</v>
      </c>
      <c r="C12" s="55">
        <v>6</v>
      </c>
      <c r="D12" s="55"/>
      <c r="E12" s="55">
        <f t="shared" si="0"/>
        <v>6</v>
      </c>
      <c r="F12" s="56">
        <v>96</v>
      </c>
      <c r="G12" s="56">
        <f t="shared" si="1"/>
        <v>576</v>
      </c>
    </row>
    <row r="13" spans="1:9" x14ac:dyDescent="0.25">
      <c r="A13" s="53">
        <v>10</v>
      </c>
      <c r="B13" s="54" t="s">
        <v>338</v>
      </c>
      <c r="C13" s="55">
        <v>0</v>
      </c>
      <c r="D13" s="55"/>
      <c r="E13" s="55">
        <f t="shared" si="0"/>
        <v>0</v>
      </c>
      <c r="F13" s="56">
        <v>88</v>
      </c>
      <c r="G13" s="56">
        <f t="shared" si="1"/>
        <v>0</v>
      </c>
    </row>
    <row r="14" spans="1:9" x14ac:dyDescent="0.25">
      <c r="A14" s="53">
        <v>11</v>
      </c>
      <c r="B14" s="54" t="s">
        <v>339</v>
      </c>
      <c r="C14" s="55">
        <f>0.53+3.144</f>
        <v>3.6740000000000004</v>
      </c>
      <c r="D14" s="55"/>
      <c r="E14" s="55">
        <f t="shared" si="0"/>
        <v>3.6740000000000004</v>
      </c>
      <c r="F14" s="56">
        <v>280</v>
      </c>
      <c r="G14" s="56">
        <f t="shared" si="1"/>
        <v>1028.72</v>
      </c>
    </row>
    <row r="15" spans="1:9" x14ac:dyDescent="0.25">
      <c r="A15" s="53">
        <v>12</v>
      </c>
      <c r="B15" s="54" t="s">
        <v>127</v>
      </c>
      <c r="C15" s="55">
        <f>6+0.756+1.46</f>
        <v>8.2160000000000011</v>
      </c>
      <c r="D15" s="55"/>
      <c r="E15" s="55">
        <f t="shared" si="0"/>
        <v>8.2160000000000011</v>
      </c>
      <c r="F15" s="56">
        <v>630</v>
      </c>
      <c r="G15" s="56">
        <f t="shared" si="1"/>
        <v>5176.0800000000008</v>
      </c>
    </row>
    <row r="16" spans="1:9" x14ac:dyDescent="0.25">
      <c r="A16" s="53">
        <v>13</v>
      </c>
      <c r="B16" s="54" t="s">
        <v>96</v>
      </c>
      <c r="C16" s="55">
        <f>5.5+1.89</f>
        <v>7.39</v>
      </c>
      <c r="D16" s="55"/>
      <c r="E16" s="55">
        <f t="shared" si="0"/>
        <v>7.39</v>
      </c>
      <c r="F16" s="56">
        <v>110</v>
      </c>
      <c r="G16" s="56">
        <f t="shared" si="1"/>
        <v>812.9</v>
      </c>
    </row>
    <row r="17" spans="1:7" x14ac:dyDescent="0.25">
      <c r="A17" s="53">
        <v>14</v>
      </c>
      <c r="B17" s="45" t="s">
        <v>7</v>
      </c>
      <c r="C17" s="55">
        <v>0</v>
      </c>
      <c r="D17" s="55"/>
      <c r="E17" s="55">
        <f t="shared" si="0"/>
        <v>0</v>
      </c>
      <c r="F17" s="56">
        <v>165</v>
      </c>
      <c r="G17" s="56">
        <f t="shared" si="1"/>
        <v>0</v>
      </c>
    </row>
    <row r="18" spans="1:7" x14ac:dyDescent="0.25">
      <c r="A18" s="53">
        <v>15</v>
      </c>
      <c r="B18" s="54" t="s">
        <v>6</v>
      </c>
      <c r="C18" s="55">
        <v>19</v>
      </c>
      <c r="D18" s="55"/>
      <c r="E18" s="55">
        <f t="shared" si="0"/>
        <v>19</v>
      </c>
      <c r="F18" s="56">
        <v>18</v>
      </c>
      <c r="G18" s="56">
        <f t="shared" si="1"/>
        <v>342</v>
      </c>
    </row>
    <row r="19" spans="1:7" x14ac:dyDescent="0.25">
      <c r="A19" s="53">
        <v>16</v>
      </c>
      <c r="B19" s="54" t="s">
        <v>94</v>
      </c>
      <c r="C19" s="55">
        <v>2</v>
      </c>
      <c r="D19" s="55"/>
      <c r="E19" s="55">
        <f t="shared" si="0"/>
        <v>2</v>
      </c>
      <c r="F19" s="56">
        <v>64</v>
      </c>
      <c r="G19" s="56">
        <f t="shared" si="1"/>
        <v>128</v>
      </c>
    </row>
    <row r="20" spans="1:7" x14ac:dyDescent="0.25">
      <c r="A20" s="53">
        <v>17</v>
      </c>
      <c r="B20" s="54" t="s">
        <v>348</v>
      </c>
      <c r="C20" s="55">
        <f>0.43+2.25</f>
        <v>2.68</v>
      </c>
      <c r="D20" s="55"/>
      <c r="E20" s="55">
        <f t="shared" si="0"/>
        <v>2.68</v>
      </c>
      <c r="F20" s="56">
        <v>385</v>
      </c>
      <c r="G20" s="56">
        <f t="shared" si="1"/>
        <v>1031.8</v>
      </c>
    </row>
    <row r="21" spans="1:7" x14ac:dyDescent="0.25">
      <c r="A21" s="53">
        <v>18</v>
      </c>
      <c r="B21" s="54" t="s">
        <v>20</v>
      </c>
      <c r="C21" s="55">
        <v>0</v>
      </c>
      <c r="D21" s="55"/>
      <c r="E21" s="55">
        <f t="shared" si="0"/>
        <v>0</v>
      </c>
      <c r="F21" s="56">
        <v>46</v>
      </c>
      <c r="G21" s="56">
        <f t="shared" si="1"/>
        <v>0</v>
      </c>
    </row>
    <row r="22" spans="1:7" x14ac:dyDescent="0.25">
      <c r="A22" s="53">
        <v>19</v>
      </c>
      <c r="B22" s="54" t="s">
        <v>8</v>
      </c>
      <c r="C22" s="55">
        <v>9</v>
      </c>
      <c r="D22" s="55"/>
      <c r="E22" s="55">
        <f t="shared" si="0"/>
        <v>9</v>
      </c>
      <c r="F22" s="56">
        <v>64</v>
      </c>
      <c r="G22" s="56">
        <f t="shared" si="1"/>
        <v>576</v>
      </c>
    </row>
    <row r="23" spans="1:7" x14ac:dyDescent="0.25">
      <c r="A23" s="53">
        <v>20</v>
      </c>
      <c r="B23" s="54" t="s">
        <v>363</v>
      </c>
      <c r="C23" s="55">
        <v>0.19800000000000001</v>
      </c>
      <c r="D23" s="55"/>
      <c r="E23" s="55">
        <f t="shared" si="0"/>
        <v>0.19800000000000001</v>
      </c>
      <c r="F23" s="56">
        <v>298</v>
      </c>
      <c r="G23" s="56">
        <f t="shared" si="1"/>
        <v>59.004000000000005</v>
      </c>
    </row>
    <row r="24" spans="1:7" x14ac:dyDescent="0.25">
      <c r="A24" s="53">
        <v>21</v>
      </c>
      <c r="B24" s="54" t="s">
        <v>364</v>
      </c>
      <c r="C24" s="55">
        <v>5</v>
      </c>
      <c r="D24" s="55"/>
      <c r="E24" s="55">
        <f t="shared" si="0"/>
        <v>5</v>
      </c>
      <c r="F24" s="56">
        <v>35</v>
      </c>
      <c r="G24" s="56">
        <f t="shared" si="1"/>
        <v>175</v>
      </c>
    </row>
    <row r="25" spans="1:7" x14ac:dyDescent="0.25">
      <c r="A25" s="53">
        <v>22</v>
      </c>
      <c r="B25" s="54" t="s">
        <v>362</v>
      </c>
      <c r="C25" s="55">
        <v>0</v>
      </c>
      <c r="D25" s="55"/>
      <c r="E25" s="55">
        <f t="shared" si="0"/>
        <v>0</v>
      </c>
      <c r="F25" s="56">
        <v>90</v>
      </c>
      <c r="G25" s="56">
        <f t="shared" si="1"/>
        <v>0</v>
      </c>
    </row>
    <row r="26" spans="1:7" x14ac:dyDescent="0.25">
      <c r="A26" s="53">
        <v>23</v>
      </c>
      <c r="B26" s="54" t="s">
        <v>340</v>
      </c>
      <c r="C26" s="55">
        <v>0</v>
      </c>
      <c r="D26" s="55"/>
      <c r="E26" s="55">
        <f t="shared" si="0"/>
        <v>0</v>
      </c>
      <c r="F26" s="56">
        <v>72</v>
      </c>
      <c r="G26" s="56">
        <f t="shared" si="1"/>
        <v>0</v>
      </c>
    </row>
    <row r="27" spans="1:7" x14ac:dyDescent="0.25">
      <c r="A27" s="53">
        <v>24</v>
      </c>
      <c r="B27" s="54" t="s">
        <v>273</v>
      </c>
      <c r="C27" s="55">
        <f>32+13</f>
        <v>45</v>
      </c>
      <c r="D27" s="55"/>
      <c r="E27" s="55">
        <f t="shared" si="0"/>
        <v>45</v>
      </c>
      <c r="F27" s="56">
        <v>16</v>
      </c>
      <c r="G27" s="56">
        <f t="shared" si="1"/>
        <v>720</v>
      </c>
    </row>
    <row r="28" spans="1:7" x14ac:dyDescent="0.25">
      <c r="A28" s="53">
        <v>25</v>
      </c>
      <c r="B28" s="54" t="s">
        <v>341</v>
      </c>
      <c r="C28" s="55">
        <v>0</v>
      </c>
      <c r="D28" s="55"/>
      <c r="E28" s="55">
        <f t="shared" si="0"/>
        <v>0</v>
      </c>
      <c r="F28" s="56">
        <v>280</v>
      </c>
      <c r="G28" s="56">
        <f t="shared" si="1"/>
        <v>0</v>
      </c>
    </row>
    <row r="29" spans="1:7" ht="15.75" customHeight="1" x14ac:dyDescent="0.25">
      <c r="A29" s="53">
        <v>26</v>
      </c>
      <c r="B29" s="54" t="s">
        <v>439</v>
      </c>
      <c r="C29" s="55">
        <v>5.56</v>
      </c>
      <c r="D29" s="55"/>
      <c r="E29" s="55">
        <f t="shared" si="0"/>
        <v>5.56</v>
      </c>
      <c r="F29" s="56">
        <v>128</v>
      </c>
      <c r="G29" s="56">
        <f t="shared" si="1"/>
        <v>711.68</v>
      </c>
    </row>
    <row r="30" spans="1:7" x14ac:dyDescent="0.25">
      <c r="A30" s="53">
        <v>27</v>
      </c>
      <c r="B30" s="54" t="s">
        <v>131</v>
      </c>
      <c r="C30" s="55">
        <f>2.2+11.85</f>
        <v>14.05</v>
      </c>
      <c r="D30" s="55"/>
      <c r="E30" s="55">
        <f t="shared" si="0"/>
        <v>14.05</v>
      </c>
      <c r="F30" s="56">
        <v>133</v>
      </c>
      <c r="G30" s="56">
        <f t="shared" si="1"/>
        <v>1868.65</v>
      </c>
    </row>
    <row r="31" spans="1:7" x14ac:dyDescent="0.25">
      <c r="A31" s="53">
        <v>28</v>
      </c>
      <c r="B31" s="54" t="s">
        <v>132</v>
      </c>
      <c r="C31" s="55">
        <v>4.2859999999999996</v>
      </c>
      <c r="D31" s="55"/>
      <c r="E31" s="55">
        <f t="shared" si="0"/>
        <v>4.2859999999999996</v>
      </c>
      <c r="F31" s="56">
        <v>740</v>
      </c>
      <c r="G31" s="56">
        <f t="shared" si="1"/>
        <v>3171.64</v>
      </c>
    </row>
    <row r="32" spans="1:7" x14ac:dyDescent="0.25">
      <c r="A32" s="53">
        <v>29</v>
      </c>
      <c r="B32" s="54" t="s">
        <v>438</v>
      </c>
      <c r="C32" s="55">
        <v>1</v>
      </c>
      <c r="D32" s="55"/>
      <c r="E32" s="55">
        <f t="shared" si="0"/>
        <v>1</v>
      </c>
      <c r="F32" s="56">
        <v>98</v>
      </c>
      <c r="G32" s="56">
        <f t="shared" si="1"/>
        <v>98</v>
      </c>
    </row>
    <row r="33" spans="1:7" x14ac:dyDescent="0.25">
      <c r="A33" s="53">
        <v>30</v>
      </c>
      <c r="B33" s="54" t="s">
        <v>134</v>
      </c>
      <c r="C33" s="55">
        <f>7.92+1.3</f>
        <v>9.2200000000000006</v>
      </c>
      <c r="D33" s="55"/>
      <c r="E33" s="55">
        <f t="shared" si="0"/>
        <v>9.2200000000000006</v>
      </c>
      <c r="F33" s="56">
        <v>160</v>
      </c>
      <c r="G33" s="56">
        <f t="shared" si="1"/>
        <v>1475.2</v>
      </c>
    </row>
    <row r="34" spans="1:7" x14ac:dyDescent="0.25">
      <c r="A34" s="53">
        <v>31</v>
      </c>
      <c r="B34" s="54" t="s">
        <v>135</v>
      </c>
      <c r="C34" s="55">
        <f>3.85+4.66</f>
        <v>8.51</v>
      </c>
      <c r="D34" s="55"/>
      <c r="E34" s="55">
        <f t="shared" si="0"/>
        <v>8.51</v>
      </c>
      <c r="F34" s="56">
        <v>360</v>
      </c>
      <c r="G34" s="56">
        <f t="shared" si="1"/>
        <v>3063.6</v>
      </c>
    </row>
    <row r="35" spans="1:7" x14ac:dyDescent="0.25">
      <c r="A35" s="53">
        <v>32</v>
      </c>
      <c r="B35" s="54" t="s">
        <v>136</v>
      </c>
      <c r="C35" s="55">
        <f>4.842+1.046</f>
        <v>5.8879999999999999</v>
      </c>
      <c r="D35" s="55"/>
      <c r="E35" s="55">
        <f t="shared" si="0"/>
        <v>5.8879999999999999</v>
      </c>
      <c r="F35" s="56">
        <v>210</v>
      </c>
      <c r="G35" s="56">
        <f t="shared" si="1"/>
        <v>1236.48</v>
      </c>
    </row>
    <row r="36" spans="1:7" x14ac:dyDescent="0.25">
      <c r="A36" s="53">
        <v>33</v>
      </c>
      <c r="B36" s="54" t="s">
        <v>137</v>
      </c>
      <c r="C36" s="55">
        <f>3.81+0.85</f>
        <v>4.66</v>
      </c>
      <c r="D36" s="55"/>
      <c r="E36" s="55">
        <f t="shared" si="0"/>
        <v>4.66</v>
      </c>
      <c r="F36" s="56">
        <v>145</v>
      </c>
      <c r="G36" s="56">
        <f t="shared" si="1"/>
        <v>675.7</v>
      </c>
    </row>
    <row r="37" spans="1:7" x14ac:dyDescent="0.25">
      <c r="A37" s="53">
        <v>34</v>
      </c>
      <c r="B37" s="54" t="s">
        <v>138</v>
      </c>
      <c r="C37" s="55">
        <v>0</v>
      </c>
      <c r="D37" s="55"/>
      <c r="E37" s="55">
        <f t="shared" si="0"/>
        <v>0</v>
      </c>
      <c r="F37" s="56">
        <v>30</v>
      </c>
      <c r="G37" s="56">
        <f t="shared" si="1"/>
        <v>0</v>
      </c>
    </row>
    <row r="38" spans="1:7" x14ac:dyDescent="0.25">
      <c r="A38" s="53">
        <v>35</v>
      </c>
      <c r="B38" s="54" t="s">
        <v>139</v>
      </c>
      <c r="C38" s="55">
        <v>0</v>
      </c>
      <c r="D38" s="55"/>
      <c r="E38" s="55">
        <f t="shared" si="0"/>
        <v>0</v>
      </c>
      <c r="F38" s="56">
        <v>210</v>
      </c>
      <c r="G38" s="56">
        <f t="shared" si="1"/>
        <v>0</v>
      </c>
    </row>
    <row r="39" spans="1:7" x14ac:dyDescent="0.25">
      <c r="A39" s="53">
        <v>36</v>
      </c>
      <c r="B39" s="54" t="s">
        <v>140</v>
      </c>
      <c r="C39" s="55">
        <v>0</v>
      </c>
      <c r="D39" s="55"/>
      <c r="E39" s="55">
        <f t="shared" si="0"/>
        <v>0</v>
      </c>
      <c r="F39" s="56">
        <v>78</v>
      </c>
      <c r="G39" s="56">
        <f t="shared" si="1"/>
        <v>0</v>
      </c>
    </row>
    <row r="40" spans="1:7" x14ac:dyDescent="0.25">
      <c r="A40" s="53">
        <v>37</v>
      </c>
      <c r="B40" s="54" t="s">
        <v>141</v>
      </c>
      <c r="C40" s="55">
        <f>120+2.53</f>
        <v>122.53</v>
      </c>
      <c r="D40" s="55"/>
      <c r="E40" s="55">
        <f t="shared" si="0"/>
        <v>122.53</v>
      </c>
      <c r="F40" s="56">
        <v>168</v>
      </c>
      <c r="G40" s="56">
        <f t="shared" si="1"/>
        <v>20585.04</v>
      </c>
    </row>
    <row r="41" spans="1:7" x14ac:dyDescent="0.25">
      <c r="A41" s="53">
        <v>38</v>
      </c>
      <c r="B41" s="54" t="s">
        <v>142</v>
      </c>
      <c r="C41" s="55">
        <f>3.45</f>
        <v>3.45</v>
      </c>
      <c r="D41" s="55"/>
      <c r="E41" s="55">
        <f t="shared" si="0"/>
        <v>3.45</v>
      </c>
      <c r="F41" s="56">
        <v>62</v>
      </c>
      <c r="G41" s="56">
        <f t="shared" si="1"/>
        <v>213.9</v>
      </c>
    </row>
    <row r="42" spans="1:7" x14ac:dyDescent="0.25">
      <c r="A42" s="53">
        <v>39</v>
      </c>
      <c r="B42" s="54" t="s">
        <v>143</v>
      </c>
      <c r="C42" s="55">
        <f>4.7+6.09</f>
        <v>10.79</v>
      </c>
      <c r="D42" s="55"/>
      <c r="E42" s="55">
        <f t="shared" si="0"/>
        <v>10.79</v>
      </c>
      <c r="F42" s="56">
        <v>595</v>
      </c>
      <c r="G42" s="56">
        <f t="shared" si="1"/>
        <v>6420.0499999999993</v>
      </c>
    </row>
    <row r="43" spans="1:7" x14ac:dyDescent="0.25">
      <c r="A43" s="53">
        <v>40</v>
      </c>
      <c r="B43" s="54" t="s">
        <v>144</v>
      </c>
      <c r="C43" s="55">
        <v>2.95</v>
      </c>
      <c r="D43" s="55"/>
      <c r="E43" s="55">
        <f t="shared" si="0"/>
        <v>2.95</v>
      </c>
      <c r="F43" s="56">
        <v>98</v>
      </c>
      <c r="G43" s="56">
        <f t="shared" si="1"/>
        <v>289.10000000000002</v>
      </c>
    </row>
    <row r="44" spans="1:7" ht="15.75" thickBot="1" x14ac:dyDescent="0.3">
      <c r="B44" s="57" t="s">
        <v>17</v>
      </c>
      <c r="C44" s="15">
        <f>SUM(C4:C43)</f>
        <v>789.46799999999985</v>
      </c>
      <c r="D44" s="74" t="s">
        <v>402</v>
      </c>
      <c r="E44" s="15">
        <f>SUM(E4:E43)</f>
        <v>743.26799999999992</v>
      </c>
      <c r="F44" s="15"/>
      <c r="G44" s="36">
        <f>SUM(G4:G43)</f>
        <v>123387.33399999999</v>
      </c>
    </row>
    <row r="45" spans="1:7" ht="31.5" customHeight="1" thickBot="1" x14ac:dyDescent="0.3">
      <c r="B45" s="50" t="s">
        <v>1</v>
      </c>
      <c r="C45" s="51" t="s">
        <v>2</v>
      </c>
      <c r="D45" s="51" t="s">
        <v>371</v>
      </c>
      <c r="E45" s="72" t="s">
        <v>372</v>
      </c>
      <c r="F45" s="51" t="s">
        <v>3</v>
      </c>
      <c r="G45" s="52" t="s">
        <v>4</v>
      </c>
    </row>
    <row r="46" spans="1:7" x14ac:dyDescent="0.25">
      <c r="A46" s="53">
        <v>41</v>
      </c>
      <c r="B46" s="54" t="s">
        <v>343</v>
      </c>
      <c r="C46" s="55">
        <v>0.15</v>
      </c>
      <c r="D46" s="55"/>
      <c r="E46" s="55">
        <f t="shared" si="0"/>
        <v>0.15</v>
      </c>
      <c r="F46" s="56">
        <v>405</v>
      </c>
      <c r="G46" s="56">
        <f>F46*E46</f>
        <v>60.75</v>
      </c>
    </row>
    <row r="47" spans="1:7" x14ac:dyDescent="0.25">
      <c r="A47" s="53">
        <v>42</v>
      </c>
      <c r="B47" s="54" t="s">
        <v>55</v>
      </c>
      <c r="C47" s="55">
        <f>15*12.3+49.2+4.58+0.552+4.8</f>
        <v>243.63200000000001</v>
      </c>
      <c r="D47" s="55">
        <v>3</v>
      </c>
      <c r="E47" s="55">
        <f t="shared" si="0"/>
        <v>237.03200000000001</v>
      </c>
      <c r="F47" s="56">
        <v>134</v>
      </c>
      <c r="G47" s="56">
        <f t="shared" ref="G47:G88" si="2">F47*E47</f>
        <v>31762.288</v>
      </c>
    </row>
    <row r="48" spans="1:7" x14ac:dyDescent="0.25">
      <c r="A48" s="53">
        <v>43</v>
      </c>
      <c r="B48" s="54" t="s">
        <v>145</v>
      </c>
      <c r="C48" s="55">
        <f>6+7.92+1.722</f>
        <v>15.641999999999999</v>
      </c>
      <c r="D48" s="55"/>
      <c r="E48" s="55">
        <f t="shared" si="0"/>
        <v>15.641999999999999</v>
      </c>
      <c r="F48" s="56">
        <v>118</v>
      </c>
      <c r="G48" s="56">
        <f t="shared" si="2"/>
        <v>1845.7559999999999</v>
      </c>
    </row>
    <row r="49" spans="1:7" x14ac:dyDescent="0.25">
      <c r="A49" s="53">
        <v>44</v>
      </c>
      <c r="B49" s="54" t="s">
        <v>146</v>
      </c>
      <c r="C49" s="55">
        <f>10+10.45+5.7+1.218</f>
        <v>27.367999999999999</v>
      </c>
      <c r="D49" s="55"/>
      <c r="E49" s="55">
        <f t="shared" si="0"/>
        <v>27.367999999999999</v>
      </c>
      <c r="F49" s="56">
        <v>120</v>
      </c>
      <c r="G49" s="56">
        <f t="shared" si="2"/>
        <v>3284.16</v>
      </c>
    </row>
    <row r="50" spans="1:7" x14ac:dyDescent="0.25">
      <c r="A50" s="53">
        <v>45</v>
      </c>
      <c r="B50" s="54" t="s">
        <v>147</v>
      </c>
      <c r="C50" s="55">
        <v>28.5</v>
      </c>
      <c r="D50" s="55">
        <v>2</v>
      </c>
      <c r="E50" s="55">
        <f t="shared" si="0"/>
        <v>24.1</v>
      </c>
      <c r="F50" s="56">
        <v>220</v>
      </c>
      <c r="G50" s="56">
        <f t="shared" si="2"/>
        <v>5302</v>
      </c>
    </row>
    <row r="51" spans="1:7" x14ac:dyDescent="0.25">
      <c r="A51" s="53">
        <v>46</v>
      </c>
      <c r="B51" s="54" t="s">
        <v>148</v>
      </c>
      <c r="C51" s="55">
        <f>153-65+1.05+13.198</f>
        <v>102.24799999999999</v>
      </c>
      <c r="D51" s="55"/>
      <c r="E51" s="55">
        <f t="shared" si="0"/>
        <v>102.24799999999999</v>
      </c>
      <c r="F51" s="56">
        <v>110</v>
      </c>
      <c r="G51" s="56">
        <f t="shared" si="2"/>
        <v>11247.279999999999</v>
      </c>
    </row>
    <row r="52" spans="1:7" x14ac:dyDescent="0.25">
      <c r="A52" s="53">
        <v>47</v>
      </c>
      <c r="B52" s="54" t="s">
        <v>149</v>
      </c>
      <c r="C52" s="55">
        <f>22+13.18</f>
        <v>35.18</v>
      </c>
      <c r="D52" s="55"/>
      <c r="E52" s="55">
        <f t="shared" si="0"/>
        <v>35.18</v>
      </c>
      <c r="F52" s="56">
        <v>95</v>
      </c>
      <c r="G52" s="56">
        <f t="shared" si="2"/>
        <v>3342.1</v>
      </c>
    </row>
    <row r="53" spans="1:7" x14ac:dyDescent="0.25">
      <c r="A53" s="53">
        <v>48</v>
      </c>
      <c r="B53" s="54" t="s">
        <v>150</v>
      </c>
      <c r="C53" s="55">
        <f>48+14.52+10.95+1.264</f>
        <v>74.733999999999995</v>
      </c>
      <c r="D53" s="55"/>
      <c r="E53" s="55">
        <f t="shared" si="0"/>
        <v>74.733999999999995</v>
      </c>
      <c r="F53" s="56">
        <v>130</v>
      </c>
      <c r="G53" s="56">
        <f t="shared" si="2"/>
        <v>9715.42</v>
      </c>
    </row>
    <row r="54" spans="1:7" x14ac:dyDescent="0.25">
      <c r="A54" s="53">
        <v>49</v>
      </c>
      <c r="B54" s="54" t="s">
        <v>31</v>
      </c>
      <c r="C54" s="55">
        <f>44.39+4.79+6+3.878</f>
        <v>59.058</v>
      </c>
      <c r="D54" s="55"/>
      <c r="E54" s="55">
        <f t="shared" si="0"/>
        <v>59.058</v>
      </c>
      <c r="F54" s="56">
        <v>220</v>
      </c>
      <c r="G54" s="56">
        <f t="shared" si="2"/>
        <v>12992.76</v>
      </c>
    </row>
    <row r="55" spans="1:7" x14ac:dyDescent="0.25">
      <c r="A55" s="53">
        <v>50</v>
      </c>
      <c r="B55" s="54" t="s">
        <v>32</v>
      </c>
      <c r="C55" s="55">
        <f>51+3.16</f>
        <v>54.16</v>
      </c>
      <c r="D55" s="55">
        <v>1</v>
      </c>
      <c r="E55" s="55">
        <f t="shared" si="0"/>
        <v>51.959999999999994</v>
      </c>
      <c r="F55" s="56">
        <v>150</v>
      </c>
      <c r="G55" s="56">
        <f t="shared" si="2"/>
        <v>7793.9999999999991</v>
      </c>
    </row>
    <row r="56" spans="1:7" x14ac:dyDescent="0.25">
      <c r="A56" s="53">
        <v>51</v>
      </c>
      <c r="B56" s="54" t="s">
        <v>33</v>
      </c>
      <c r="C56" s="55">
        <f>57.33+6.64+7.08</f>
        <v>71.05</v>
      </c>
      <c r="D56" s="55"/>
      <c r="E56" s="55">
        <f t="shared" si="0"/>
        <v>71.05</v>
      </c>
      <c r="F56" s="56">
        <v>94</v>
      </c>
      <c r="G56" s="56">
        <f t="shared" si="2"/>
        <v>6678.7</v>
      </c>
    </row>
    <row r="57" spans="1:7" x14ac:dyDescent="0.25">
      <c r="A57" s="53">
        <v>52</v>
      </c>
      <c r="B57" s="54" t="s">
        <v>34</v>
      </c>
      <c r="C57" s="55">
        <f>20.33+10.85+48.9+6.49</f>
        <v>86.57</v>
      </c>
      <c r="D57" s="55"/>
      <c r="E57" s="55">
        <f t="shared" si="0"/>
        <v>86.57</v>
      </c>
      <c r="F57" s="56">
        <v>64</v>
      </c>
      <c r="G57" s="56">
        <f t="shared" si="2"/>
        <v>5540.48</v>
      </c>
    </row>
    <row r="58" spans="1:7" x14ac:dyDescent="0.25">
      <c r="A58" s="53">
        <v>53</v>
      </c>
      <c r="B58" s="54" t="s">
        <v>35</v>
      </c>
      <c r="C58" s="55">
        <f>50.5+14+8.185</f>
        <v>72.685000000000002</v>
      </c>
      <c r="D58" s="55">
        <v>1</v>
      </c>
      <c r="E58" s="55">
        <f t="shared" si="0"/>
        <v>70.484999999999999</v>
      </c>
      <c r="F58" s="56">
        <v>64</v>
      </c>
      <c r="G58" s="56">
        <f t="shared" si="2"/>
        <v>4511.04</v>
      </c>
    </row>
    <row r="59" spans="1:7" x14ac:dyDescent="0.25">
      <c r="A59" s="53">
        <v>54</v>
      </c>
      <c r="B59" s="54" t="s">
        <v>36</v>
      </c>
      <c r="C59" s="55">
        <f>30.22+11.89</f>
        <v>42.11</v>
      </c>
      <c r="D59" s="55"/>
      <c r="E59" s="55">
        <f t="shared" si="0"/>
        <v>42.11</v>
      </c>
      <c r="F59" s="56">
        <v>100</v>
      </c>
      <c r="G59" s="56">
        <f t="shared" si="2"/>
        <v>4211</v>
      </c>
    </row>
    <row r="60" spans="1:7" x14ac:dyDescent="0.25">
      <c r="A60" s="53">
        <v>55</v>
      </c>
      <c r="B60" s="54" t="s">
        <v>37</v>
      </c>
      <c r="C60" s="55">
        <v>10</v>
      </c>
      <c r="D60" s="55"/>
      <c r="E60" s="55">
        <f t="shared" si="0"/>
        <v>10</v>
      </c>
      <c r="F60" s="56">
        <v>63</v>
      </c>
      <c r="G60" s="56">
        <f t="shared" si="2"/>
        <v>630</v>
      </c>
    </row>
    <row r="61" spans="1:7" x14ac:dyDescent="0.25">
      <c r="A61" s="53">
        <v>56</v>
      </c>
      <c r="B61" s="54" t="s">
        <v>380</v>
      </c>
      <c r="C61" s="55">
        <v>0</v>
      </c>
      <c r="D61" s="55"/>
      <c r="E61" s="55">
        <f t="shared" si="0"/>
        <v>0</v>
      </c>
      <c r="F61" s="56">
        <v>56</v>
      </c>
      <c r="G61" s="56">
        <f t="shared" si="2"/>
        <v>0</v>
      </c>
    </row>
    <row r="62" spans="1:7" x14ac:dyDescent="0.25">
      <c r="A62" s="53">
        <v>57</v>
      </c>
      <c r="B62" s="54" t="s">
        <v>16</v>
      </c>
      <c r="C62" s="55">
        <v>4</v>
      </c>
      <c r="D62" s="55"/>
      <c r="E62" s="55">
        <f t="shared" si="0"/>
        <v>4</v>
      </c>
      <c r="F62" s="56">
        <v>72</v>
      </c>
      <c r="G62" s="56">
        <f t="shared" si="2"/>
        <v>288</v>
      </c>
    </row>
    <row r="63" spans="1:7" x14ac:dyDescent="0.25">
      <c r="A63" s="53">
        <v>58</v>
      </c>
      <c r="B63" s="54" t="s">
        <v>18</v>
      </c>
      <c r="C63" s="55">
        <v>0</v>
      </c>
      <c r="D63" s="55"/>
      <c r="E63" s="55">
        <f t="shared" si="0"/>
        <v>0</v>
      </c>
      <c r="F63" s="56">
        <v>42</v>
      </c>
      <c r="G63" s="56">
        <f t="shared" si="2"/>
        <v>0</v>
      </c>
    </row>
    <row r="64" spans="1:7" x14ac:dyDescent="0.25">
      <c r="A64" s="53">
        <v>59</v>
      </c>
      <c r="B64" s="54" t="s">
        <v>38</v>
      </c>
      <c r="C64" s="55">
        <v>16</v>
      </c>
      <c r="D64" s="55"/>
      <c r="E64" s="55">
        <f t="shared" si="0"/>
        <v>16</v>
      </c>
      <c r="F64" s="56">
        <v>23</v>
      </c>
      <c r="G64" s="56">
        <f t="shared" si="2"/>
        <v>368</v>
      </c>
    </row>
    <row r="65" spans="1:7" x14ac:dyDescent="0.25">
      <c r="A65" s="53">
        <v>60</v>
      </c>
      <c r="B65" s="54" t="s">
        <v>39</v>
      </c>
      <c r="C65" s="55">
        <v>3</v>
      </c>
      <c r="D65" s="55"/>
      <c r="E65" s="55">
        <f t="shared" si="0"/>
        <v>3</v>
      </c>
      <c r="F65" s="56">
        <v>31</v>
      </c>
      <c r="G65" s="56">
        <f t="shared" si="2"/>
        <v>93</v>
      </c>
    </row>
    <row r="66" spans="1:7" x14ac:dyDescent="0.25">
      <c r="A66" s="53">
        <v>61</v>
      </c>
      <c r="B66" s="54" t="s">
        <v>40</v>
      </c>
      <c r="C66" s="55">
        <v>16</v>
      </c>
      <c r="D66" s="55"/>
      <c r="E66" s="55">
        <f t="shared" si="0"/>
        <v>16</v>
      </c>
      <c r="F66" s="56">
        <v>60</v>
      </c>
      <c r="G66" s="56">
        <f t="shared" si="2"/>
        <v>960</v>
      </c>
    </row>
    <row r="67" spans="1:7" x14ac:dyDescent="0.25">
      <c r="A67" s="53">
        <v>62</v>
      </c>
      <c r="B67" s="54" t="s">
        <v>41</v>
      </c>
      <c r="C67" s="55">
        <v>2.0659999999999998</v>
      </c>
      <c r="D67" s="55"/>
      <c r="E67" s="55">
        <f t="shared" si="0"/>
        <v>2.0659999999999998</v>
      </c>
      <c r="F67" s="56">
        <v>250</v>
      </c>
      <c r="G67" s="56">
        <f t="shared" si="2"/>
        <v>516.5</v>
      </c>
    </row>
    <row r="68" spans="1:7" x14ac:dyDescent="0.25">
      <c r="A68" s="53">
        <v>63</v>
      </c>
      <c r="B68" s="54" t="s">
        <v>151</v>
      </c>
      <c r="C68" s="55">
        <v>5</v>
      </c>
      <c r="D68" s="55"/>
      <c r="E68" s="55">
        <f t="shared" ref="E68:E131" si="3">C68-(D68*2.2)</f>
        <v>5</v>
      </c>
      <c r="F68" s="56">
        <v>92</v>
      </c>
      <c r="G68" s="56">
        <f t="shared" si="2"/>
        <v>460</v>
      </c>
    </row>
    <row r="69" spans="1:7" x14ac:dyDescent="0.25">
      <c r="A69" s="53">
        <v>64</v>
      </c>
      <c r="B69" s="54" t="s">
        <v>152</v>
      </c>
      <c r="C69" s="55">
        <v>0</v>
      </c>
      <c r="D69" s="55"/>
      <c r="E69" s="55">
        <f t="shared" si="3"/>
        <v>0</v>
      </c>
      <c r="F69" s="56">
        <v>98</v>
      </c>
      <c r="G69" s="56">
        <f t="shared" si="2"/>
        <v>0</v>
      </c>
    </row>
    <row r="70" spans="1:7" x14ac:dyDescent="0.25">
      <c r="A70" s="53">
        <v>65</v>
      </c>
      <c r="B70" s="54" t="s">
        <v>51</v>
      </c>
      <c r="C70" s="55">
        <v>39</v>
      </c>
      <c r="D70" s="55"/>
      <c r="E70" s="55">
        <f t="shared" si="3"/>
        <v>39</v>
      </c>
      <c r="F70" s="56">
        <v>60</v>
      </c>
      <c r="G70" s="56">
        <f t="shared" si="2"/>
        <v>2340</v>
      </c>
    </row>
    <row r="71" spans="1:7" x14ac:dyDescent="0.25">
      <c r="A71" s="53">
        <v>66</v>
      </c>
      <c r="B71" s="54" t="s">
        <v>52</v>
      </c>
      <c r="C71" s="60">
        <f>18.77+0.6</f>
        <v>19.37</v>
      </c>
      <c r="D71" s="60"/>
      <c r="E71" s="55">
        <f t="shared" si="3"/>
        <v>19.37</v>
      </c>
      <c r="F71" s="56">
        <v>122</v>
      </c>
      <c r="G71" s="56">
        <f t="shared" si="2"/>
        <v>2363.1400000000003</v>
      </c>
    </row>
    <row r="72" spans="1:7" x14ac:dyDescent="0.25">
      <c r="A72" s="53">
        <v>67</v>
      </c>
      <c r="B72" s="54" t="s">
        <v>53</v>
      </c>
      <c r="C72" s="55">
        <f>19+5.66+12.8+0.88</f>
        <v>38.340000000000003</v>
      </c>
      <c r="D72" s="55"/>
      <c r="E72" s="55">
        <f t="shared" si="3"/>
        <v>38.340000000000003</v>
      </c>
      <c r="F72" s="56">
        <v>102</v>
      </c>
      <c r="G72" s="56">
        <f t="shared" si="2"/>
        <v>3910.6800000000003</v>
      </c>
    </row>
    <row r="73" spans="1:7" x14ac:dyDescent="0.25">
      <c r="A73" s="53">
        <v>68</v>
      </c>
      <c r="B73" s="54" t="s">
        <v>349</v>
      </c>
      <c r="C73" s="55">
        <v>1</v>
      </c>
      <c r="D73" s="55"/>
      <c r="E73" s="55">
        <f t="shared" si="3"/>
        <v>1</v>
      </c>
      <c r="F73" s="56">
        <v>155</v>
      </c>
      <c r="G73" s="56">
        <f t="shared" si="2"/>
        <v>155</v>
      </c>
    </row>
    <row r="74" spans="1:7" x14ac:dyDescent="0.25">
      <c r="A74" s="53">
        <v>69</v>
      </c>
      <c r="B74" s="54" t="s">
        <v>100</v>
      </c>
      <c r="C74" s="55">
        <v>28</v>
      </c>
      <c r="D74" s="55"/>
      <c r="E74" s="55">
        <f t="shared" si="3"/>
        <v>28</v>
      </c>
      <c r="F74" s="56">
        <v>30</v>
      </c>
      <c r="G74" s="56">
        <f t="shared" si="2"/>
        <v>840</v>
      </c>
    </row>
    <row r="75" spans="1:7" x14ac:dyDescent="0.25">
      <c r="A75" s="53">
        <v>70</v>
      </c>
      <c r="B75" s="54" t="s">
        <v>366</v>
      </c>
      <c r="C75" s="55">
        <f>1.68+0.5</f>
        <v>2.1799999999999997</v>
      </c>
      <c r="D75" s="55"/>
      <c r="E75" s="55">
        <f t="shared" si="3"/>
        <v>2.1799999999999997</v>
      </c>
      <c r="F75" s="56">
        <v>175</v>
      </c>
      <c r="G75" s="56">
        <f t="shared" si="2"/>
        <v>381.49999999999994</v>
      </c>
    </row>
    <row r="76" spans="1:7" x14ac:dyDescent="0.25">
      <c r="A76" s="53">
        <v>71</v>
      </c>
      <c r="B76" s="54" t="s">
        <v>154</v>
      </c>
      <c r="C76" s="55">
        <v>35</v>
      </c>
      <c r="D76" s="55"/>
      <c r="E76" s="55">
        <f t="shared" si="3"/>
        <v>35</v>
      </c>
      <c r="F76" s="56">
        <v>32</v>
      </c>
      <c r="G76" s="56">
        <f t="shared" si="2"/>
        <v>1120</v>
      </c>
    </row>
    <row r="77" spans="1:7" x14ac:dyDescent="0.25">
      <c r="A77" s="53">
        <v>72</v>
      </c>
      <c r="B77" s="54" t="s">
        <v>437</v>
      </c>
      <c r="C77" s="55">
        <v>1</v>
      </c>
      <c r="D77" s="55"/>
      <c r="E77" s="55">
        <v>0</v>
      </c>
      <c r="F77" s="56">
        <v>88</v>
      </c>
      <c r="G77" s="56">
        <f>F77*C77</f>
        <v>88</v>
      </c>
    </row>
    <row r="78" spans="1:7" x14ac:dyDescent="0.25">
      <c r="A78" s="53">
        <v>73</v>
      </c>
      <c r="B78" s="54" t="s">
        <v>156</v>
      </c>
      <c r="C78" s="55">
        <v>1</v>
      </c>
      <c r="D78" s="55"/>
      <c r="E78" s="55">
        <f t="shared" si="3"/>
        <v>1</v>
      </c>
      <c r="F78" s="56">
        <v>85</v>
      </c>
      <c r="G78" s="56">
        <f t="shared" si="2"/>
        <v>85</v>
      </c>
    </row>
    <row r="79" spans="1:7" x14ac:dyDescent="0.25">
      <c r="A79" s="53">
        <v>74</v>
      </c>
      <c r="B79" s="54" t="s">
        <v>365</v>
      </c>
      <c r="C79" s="55">
        <v>3</v>
      </c>
      <c r="D79" s="55"/>
      <c r="E79" s="55">
        <f t="shared" si="3"/>
        <v>3</v>
      </c>
      <c r="F79" s="56">
        <v>186</v>
      </c>
      <c r="G79" s="56">
        <f t="shared" si="2"/>
        <v>558</v>
      </c>
    </row>
    <row r="80" spans="1:7" x14ac:dyDescent="0.25">
      <c r="A80" s="53">
        <v>75</v>
      </c>
      <c r="B80" s="54" t="s">
        <v>159</v>
      </c>
      <c r="C80" s="55">
        <f>4+5.03</f>
        <v>9.0300000000000011</v>
      </c>
      <c r="D80" s="55"/>
      <c r="E80" s="55">
        <f t="shared" si="3"/>
        <v>9.0300000000000011</v>
      </c>
      <c r="F80" s="56">
        <v>116</v>
      </c>
      <c r="G80" s="56">
        <f t="shared" si="2"/>
        <v>1047.48</v>
      </c>
    </row>
    <row r="81" spans="1:7" x14ac:dyDescent="0.25">
      <c r="A81" s="53">
        <v>76</v>
      </c>
      <c r="B81" s="54" t="s">
        <v>166</v>
      </c>
      <c r="C81" s="55">
        <f>45+51</f>
        <v>96</v>
      </c>
      <c r="D81" s="55"/>
      <c r="E81" s="55">
        <f t="shared" si="3"/>
        <v>96</v>
      </c>
      <c r="F81" s="56">
        <v>50</v>
      </c>
      <c r="G81" s="56">
        <f t="shared" si="2"/>
        <v>4800</v>
      </c>
    </row>
    <row r="82" spans="1:7" x14ac:dyDescent="0.25">
      <c r="A82" s="53">
        <v>77</v>
      </c>
      <c r="B82" s="54" t="s">
        <v>160</v>
      </c>
      <c r="C82" s="55">
        <v>2</v>
      </c>
      <c r="D82" s="55"/>
      <c r="E82" s="55">
        <f t="shared" si="3"/>
        <v>2</v>
      </c>
      <c r="F82" s="56">
        <v>60</v>
      </c>
      <c r="G82" s="56">
        <f t="shared" si="2"/>
        <v>120</v>
      </c>
    </row>
    <row r="83" spans="1:7" x14ac:dyDescent="0.25">
      <c r="A83" s="53">
        <v>78</v>
      </c>
      <c r="B83" s="54" t="s">
        <v>373</v>
      </c>
      <c r="C83" s="55">
        <v>0</v>
      </c>
      <c r="D83" s="55"/>
      <c r="E83" s="55">
        <f t="shared" si="3"/>
        <v>0</v>
      </c>
      <c r="F83" s="56">
        <v>78</v>
      </c>
      <c r="G83" s="56">
        <f t="shared" si="2"/>
        <v>0</v>
      </c>
    </row>
    <row r="84" spans="1:7" x14ac:dyDescent="0.25">
      <c r="A84" s="53">
        <v>79</v>
      </c>
      <c r="B84" s="54" t="s">
        <v>374</v>
      </c>
      <c r="C84" s="55">
        <v>3.95</v>
      </c>
      <c r="D84" s="55"/>
      <c r="E84" s="55">
        <f t="shared" si="3"/>
        <v>3.95</v>
      </c>
      <c r="F84" s="56">
        <v>160</v>
      </c>
      <c r="G84" s="56">
        <f t="shared" si="2"/>
        <v>632</v>
      </c>
    </row>
    <row r="85" spans="1:7" x14ac:dyDescent="0.25">
      <c r="A85" s="53">
        <v>80</v>
      </c>
      <c r="B85" s="54" t="s">
        <v>163</v>
      </c>
      <c r="C85" s="55">
        <v>83</v>
      </c>
      <c r="D85" s="55"/>
      <c r="E85" s="55">
        <f t="shared" si="3"/>
        <v>83</v>
      </c>
      <c r="F85" s="56">
        <v>28</v>
      </c>
      <c r="G85" s="56">
        <f t="shared" si="2"/>
        <v>2324</v>
      </c>
    </row>
    <row r="86" spans="1:7" x14ac:dyDescent="0.25">
      <c r="A86" s="53">
        <v>81</v>
      </c>
      <c r="B86" s="54" t="s">
        <v>164</v>
      </c>
      <c r="C86" s="55">
        <v>13</v>
      </c>
      <c r="D86" s="55"/>
      <c r="E86" s="55">
        <f t="shared" si="3"/>
        <v>13</v>
      </c>
      <c r="F86" s="56">
        <v>28</v>
      </c>
      <c r="G86" s="56">
        <f t="shared" si="2"/>
        <v>364</v>
      </c>
    </row>
    <row r="87" spans="1:7" x14ac:dyDescent="0.25">
      <c r="A87" s="53">
        <v>82</v>
      </c>
      <c r="B87" s="54" t="s">
        <v>167</v>
      </c>
      <c r="C87" s="55">
        <v>25</v>
      </c>
      <c r="D87" s="55"/>
      <c r="E87" s="55">
        <f t="shared" si="3"/>
        <v>25</v>
      </c>
      <c r="F87" s="56">
        <v>30</v>
      </c>
      <c r="G87" s="56">
        <f t="shared" si="2"/>
        <v>750</v>
      </c>
    </row>
    <row r="88" spans="1:7" x14ac:dyDescent="0.25">
      <c r="A88" s="53">
        <v>83</v>
      </c>
      <c r="B88" s="54" t="s">
        <v>165</v>
      </c>
      <c r="C88" s="55">
        <v>43</v>
      </c>
      <c r="D88" s="55"/>
      <c r="E88" s="55">
        <f t="shared" si="3"/>
        <v>43</v>
      </c>
      <c r="F88" s="56">
        <v>30</v>
      </c>
      <c r="G88" s="56">
        <f t="shared" si="2"/>
        <v>1290</v>
      </c>
    </row>
    <row r="89" spans="1:7" ht="15.75" thickBot="1" x14ac:dyDescent="0.3">
      <c r="A89" s="53"/>
      <c r="B89" s="57" t="s">
        <v>17</v>
      </c>
      <c r="C89" s="15">
        <f>SUM(C46:C88)</f>
        <v>1412.0229999999999</v>
      </c>
      <c r="D89" s="74" t="s">
        <v>402</v>
      </c>
      <c r="E89" s="15">
        <f>SUM(E46:E88)</f>
        <v>1395.6230000000003</v>
      </c>
      <c r="F89" s="36"/>
      <c r="G89" s="36">
        <f>SUM(G46:G88)</f>
        <v>134772.03399999999</v>
      </c>
    </row>
    <row r="90" spans="1:7" ht="25.5" customHeight="1" thickBot="1" x14ac:dyDescent="0.3">
      <c r="A90" s="58"/>
      <c r="B90" s="50" t="s">
        <v>1</v>
      </c>
      <c r="C90" s="51" t="s">
        <v>2</v>
      </c>
      <c r="D90" s="51" t="s">
        <v>371</v>
      </c>
      <c r="E90" s="72" t="s">
        <v>372</v>
      </c>
      <c r="F90" s="51" t="s">
        <v>3</v>
      </c>
      <c r="G90" s="52" t="s">
        <v>4</v>
      </c>
    </row>
    <row r="91" spans="1:7" x14ac:dyDescent="0.25">
      <c r="A91" s="53">
        <v>84</v>
      </c>
      <c r="B91" s="54" t="s">
        <v>168</v>
      </c>
      <c r="C91" s="55">
        <v>8</v>
      </c>
      <c r="D91" s="55"/>
      <c r="E91" s="55">
        <f t="shared" si="3"/>
        <v>8</v>
      </c>
      <c r="F91" s="56">
        <v>23</v>
      </c>
      <c r="G91" s="56">
        <f>F91*E91</f>
        <v>184</v>
      </c>
    </row>
    <row r="92" spans="1:7" x14ac:dyDescent="0.25">
      <c r="A92" s="53">
        <v>85</v>
      </c>
      <c r="B92" s="54" t="s">
        <v>169</v>
      </c>
      <c r="C92" s="59">
        <v>21</v>
      </c>
      <c r="D92" s="59"/>
      <c r="E92" s="55">
        <f t="shared" si="3"/>
        <v>21</v>
      </c>
      <c r="F92" s="56">
        <v>18</v>
      </c>
      <c r="G92" s="56">
        <f t="shared" ref="G92:G133" si="4">F92*E92</f>
        <v>378</v>
      </c>
    </row>
    <row r="93" spans="1:7" x14ac:dyDescent="0.25">
      <c r="A93" s="53">
        <v>86</v>
      </c>
      <c r="B93" s="54" t="s">
        <v>171</v>
      </c>
      <c r="C93" s="55">
        <f>10.2+2.856</f>
        <v>13.055999999999999</v>
      </c>
      <c r="D93" s="55"/>
      <c r="E93" s="55">
        <f t="shared" si="3"/>
        <v>13.055999999999999</v>
      </c>
      <c r="F93" s="56">
        <v>125</v>
      </c>
      <c r="G93" s="56">
        <f t="shared" si="4"/>
        <v>1632</v>
      </c>
    </row>
    <row r="94" spans="1:7" x14ac:dyDescent="0.25">
      <c r="A94" s="53">
        <v>87</v>
      </c>
      <c r="B94" s="54" t="s">
        <v>172</v>
      </c>
      <c r="C94" s="55">
        <f>1.52+0.88</f>
        <v>2.4</v>
      </c>
      <c r="D94" s="55"/>
      <c r="E94" s="55">
        <f t="shared" si="3"/>
        <v>2.4</v>
      </c>
      <c r="F94" s="56">
        <v>85</v>
      </c>
      <c r="G94" s="56">
        <f t="shared" si="4"/>
        <v>204</v>
      </c>
    </row>
    <row r="95" spans="1:7" x14ac:dyDescent="0.25">
      <c r="A95" s="53">
        <v>88</v>
      </c>
      <c r="B95" s="54" t="s">
        <v>173</v>
      </c>
      <c r="C95" s="55">
        <v>2</v>
      </c>
      <c r="D95" s="55"/>
      <c r="E95" s="55">
        <f t="shared" si="3"/>
        <v>2</v>
      </c>
      <c r="F95" s="56">
        <v>50</v>
      </c>
      <c r="G95" s="56">
        <f t="shared" si="4"/>
        <v>100</v>
      </c>
    </row>
    <row r="96" spans="1:7" x14ac:dyDescent="0.25">
      <c r="A96" s="53">
        <v>89</v>
      </c>
      <c r="B96" s="54" t="s">
        <v>175</v>
      </c>
      <c r="C96" s="55">
        <v>35.6</v>
      </c>
      <c r="D96" s="55"/>
      <c r="E96" s="55">
        <f t="shared" si="3"/>
        <v>35.6</v>
      </c>
      <c r="F96" s="56">
        <v>115</v>
      </c>
      <c r="G96" s="56">
        <f t="shared" si="4"/>
        <v>4094</v>
      </c>
    </row>
    <row r="97" spans="1:7" x14ac:dyDescent="0.25">
      <c r="A97" s="53">
        <v>90</v>
      </c>
      <c r="B97" s="54" t="s">
        <v>174</v>
      </c>
      <c r="C97" s="55">
        <f>5.27+1.35</f>
        <v>6.6199999999999992</v>
      </c>
      <c r="D97" s="55"/>
      <c r="E97" s="55">
        <f t="shared" si="3"/>
        <v>6.6199999999999992</v>
      </c>
      <c r="F97" s="56">
        <v>98</v>
      </c>
      <c r="G97" s="56">
        <f t="shared" si="4"/>
        <v>648.75999999999988</v>
      </c>
    </row>
    <row r="98" spans="1:7" x14ac:dyDescent="0.25">
      <c r="A98" s="53">
        <v>91</v>
      </c>
      <c r="B98" s="54" t="s">
        <v>176</v>
      </c>
      <c r="C98" s="55">
        <f>24.1+4.05</f>
        <v>28.150000000000002</v>
      </c>
      <c r="D98" s="55">
        <v>1</v>
      </c>
      <c r="E98" s="55">
        <f t="shared" si="3"/>
        <v>25.950000000000003</v>
      </c>
      <c r="F98" s="56">
        <v>90</v>
      </c>
      <c r="G98" s="56">
        <f t="shared" si="4"/>
        <v>2335.5000000000005</v>
      </c>
    </row>
    <row r="99" spans="1:7" x14ac:dyDescent="0.25">
      <c r="A99" s="53">
        <v>92</v>
      </c>
      <c r="B99" s="54" t="s">
        <v>177</v>
      </c>
      <c r="C99" s="55">
        <v>5.3659999999999997</v>
      </c>
      <c r="D99" s="55"/>
      <c r="E99" s="55">
        <f t="shared" si="3"/>
        <v>5.3659999999999997</v>
      </c>
      <c r="F99" s="56">
        <v>125</v>
      </c>
      <c r="G99" s="56">
        <f t="shared" si="4"/>
        <v>670.75</v>
      </c>
    </row>
    <row r="100" spans="1:7" x14ac:dyDescent="0.25">
      <c r="A100" s="53">
        <v>93</v>
      </c>
      <c r="B100" s="54" t="s">
        <v>178</v>
      </c>
      <c r="C100" s="55">
        <f>13.11+3.554</f>
        <v>16.663999999999998</v>
      </c>
      <c r="D100" s="55"/>
      <c r="E100" s="55">
        <f t="shared" si="3"/>
        <v>16.663999999999998</v>
      </c>
      <c r="F100" s="56">
        <v>60</v>
      </c>
      <c r="G100" s="56">
        <f t="shared" si="4"/>
        <v>999.83999999999992</v>
      </c>
    </row>
    <row r="101" spans="1:7" x14ac:dyDescent="0.25">
      <c r="A101" s="53">
        <v>94</v>
      </c>
      <c r="B101" s="54" t="s">
        <v>179</v>
      </c>
      <c r="C101" s="55">
        <v>41.8</v>
      </c>
      <c r="D101" s="55"/>
      <c r="E101" s="55">
        <f t="shared" si="3"/>
        <v>41.8</v>
      </c>
      <c r="F101" s="56">
        <v>94</v>
      </c>
      <c r="G101" s="56">
        <f t="shared" si="4"/>
        <v>3929.2</v>
      </c>
    </row>
    <row r="102" spans="1:7" x14ac:dyDescent="0.25">
      <c r="A102" s="53">
        <v>95</v>
      </c>
      <c r="B102" s="54" t="s">
        <v>180</v>
      </c>
      <c r="C102" s="55">
        <f>76.5+1402+18.24-2.2</f>
        <v>1494.54</v>
      </c>
      <c r="D102" s="55">
        <v>4</v>
      </c>
      <c r="E102" s="55">
        <f t="shared" si="3"/>
        <v>1485.74</v>
      </c>
      <c r="F102" s="56">
        <v>60</v>
      </c>
      <c r="G102" s="56">
        <f t="shared" si="4"/>
        <v>89144.4</v>
      </c>
    </row>
    <row r="103" spans="1:7" x14ac:dyDescent="0.25">
      <c r="A103" s="53">
        <v>96</v>
      </c>
      <c r="B103" s="54" t="s">
        <v>181</v>
      </c>
      <c r="C103" s="55">
        <f>45.9+11.16-2.2</f>
        <v>54.86</v>
      </c>
      <c r="D103" s="55"/>
      <c r="E103" s="55">
        <f t="shared" si="3"/>
        <v>54.86</v>
      </c>
      <c r="F103" s="56">
        <v>90</v>
      </c>
      <c r="G103" s="56">
        <f t="shared" si="4"/>
        <v>4937.3999999999996</v>
      </c>
    </row>
    <row r="104" spans="1:7" x14ac:dyDescent="0.25">
      <c r="A104" s="53">
        <v>97</v>
      </c>
      <c r="B104" s="54" t="s">
        <v>182</v>
      </c>
      <c r="C104" s="55">
        <f>9.74-2.2+9.46+7.28+3.56</f>
        <v>27.84</v>
      </c>
      <c r="D104" s="55"/>
      <c r="E104" s="55">
        <f t="shared" si="3"/>
        <v>27.84</v>
      </c>
      <c r="F104" s="56">
        <v>110</v>
      </c>
      <c r="G104" s="56">
        <f t="shared" si="4"/>
        <v>3062.4</v>
      </c>
    </row>
    <row r="105" spans="1:7" x14ac:dyDescent="0.25">
      <c r="A105" s="53">
        <v>98</v>
      </c>
      <c r="B105" s="54" t="s">
        <v>183</v>
      </c>
      <c r="C105" s="55">
        <f>46.5+26.9-3.9-3.9+6.6-3.9</f>
        <v>68.299999999999983</v>
      </c>
      <c r="D105" s="55">
        <v>4</v>
      </c>
      <c r="E105" s="55">
        <f t="shared" si="3"/>
        <v>59.499999999999986</v>
      </c>
      <c r="F105" s="56">
        <v>108</v>
      </c>
      <c r="G105" s="56">
        <f t="shared" si="4"/>
        <v>6425.9999999999982</v>
      </c>
    </row>
    <row r="106" spans="1:7" x14ac:dyDescent="0.25">
      <c r="A106" s="53">
        <v>99</v>
      </c>
      <c r="B106" s="54" t="s">
        <v>269</v>
      </c>
      <c r="C106" s="60">
        <v>18.28</v>
      </c>
      <c r="D106" s="60"/>
      <c r="E106" s="55">
        <f t="shared" si="3"/>
        <v>18.28</v>
      </c>
      <c r="F106" s="56">
        <v>96</v>
      </c>
      <c r="G106" s="56">
        <f t="shared" si="4"/>
        <v>1754.88</v>
      </c>
    </row>
    <row r="107" spans="1:7" x14ac:dyDescent="0.25">
      <c r="A107" s="53">
        <v>100</v>
      </c>
      <c r="B107" s="54" t="s">
        <v>268</v>
      </c>
      <c r="C107" s="55">
        <v>2.64</v>
      </c>
      <c r="D107" s="55"/>
      <c r="E107" s="55">
        <f t="shared" si="3"/>
        <v>2.64</v>
      </c>
      <c r="F107" s="56">
        <v>120</v>
      </c>
      <c r="G107" s="56">
        <f t="shared" si="4"/>
        <v>316.8</v>
      </c>
    </row>
    <row r="108" spans="1:7" x14ac:dyDescent="0.25">
      <c r="A108" s="53">
        <v>101</v>
      </c>
      <c r="B108" s="54" t="s">
        <v>267</v>
      </c>
      <c r="C108" s="55">
        <f>264+9.4+4.14</f>
        <v>277.53999999999996</v>
      </c>
      <c r="D108" s="55"/>
      <c r="E108" s="55">
        <f t="shared" si="3"/>
        <v>277.53999999999996</v>
      </c>
      <c r="F108" s="56">
        <v>3</v>
      </c>
      <c r="G108" s="56">
        <f t="shared" si="4"/>
        <v>832.61999999999989</v>
      </c>
    </row>
    <row r="109" spans="1:7" x14ac:dyDescent="0.25">
      <c r="A109" s="53">
        <v>102</v>
      </c>
      <c r="B109" s="54" t="s">
        <v>266</v>
      </c>
      <c r="C109" s="55">
        <f>208.7+10.04-2.2+5.1+4.28</f>
        <v>225.92</v>
      </c>
      <c r="D109" s="55"/>
      <c r="E109" s="55">
        <f t="shared" si="3"/>
        <v>225.92</v>
      </c>
      <c r="F109" s="56">
        <v>78</v>
      </c>
      <c r="G109" s="56">
        <f t="shared" si="4"/>
        <v>17621.759999999998</v>
      </c>
    </row>
    <row r="110" spans="1:7" x14ac:dyDescent="0.25">
      <c r="A110" s="53">
        <v>103</v>
      </c>
      <c r="B110" s="54" t="s">
        <v>265</v>
      </c>
      <c r="C110" s="55">
        <f>135+5.84</f>
        <v>140.84</v>
      </c>
      <c r="D110" s="55"/>
      <c r="E110" s="55">
        <f t="shared" si="3"/>
        <v>140.84</v>
      </c>
      <c r="F110" s="56">
        <v>340</v>
      </c>
      <c r="G110" s="56">
        <f t="shared" si="4"/>
        <v>47885.599999999999</v>
      </c>
    </row>
    <row r="111" spans="1:7" x14ac:dyDescent="0.25">
      <c r="A111" s="53">
        <v>104</v>
      </c>
      <c r="B111" s="54" t="s">
        <v>264</v>
      </c>
      <c r="C111" s="55">
        <f>95.5+46.5+3.22</f>
        <v>145.22</v>
      </c>
      <c r="D111" s="55">
        <v>14</v>
      </c>
      <c r="E111" s="55">
        <f t="shared" si="3"/>
        <v>114.41999999999999</v>
      </c>
      <c r="F111" s="56">
        <v>80</v>
      </c>
      <c r="G111" s="56">
        <f t="shared" si="4"/>
        <v>9153.5999999999985</v>
      </c>
    </row>
    <row r="112" spans="1:7" x14ac:dyDescent="0.25">
      <c r="A112" s="53">
        <v>105</v>
      </c>
      <c r="B112" s="54" t="s">
        <v>263</v>
      </c>
      <c r="C112" s="55">
        <f>19.5+8.28</f>
        <v>27.78</v>
      </c>
      <c r="D112" s="55"/>
      <c r="E112" s="55">
        <f t="shared" si="3"/>
        <v>27.78</v>
      </c>
      <c r="F112" s="56">
        <v>90</v>
      </c>
      <c r="G112" s="56">
        <f t="shared" si="4"/>
        <v>2500.2000000000003</v>
      </c>
    </row>
    <row r="113" spans="1:7" x14ac:dyDescent="0.25">
      <c r="A113" s="53">
        <v>106</v>
      </c>
      <c r="B113" s="54" t="s">
        <v>262</v>
      </c>
      <c r="C113" s="55">
        <f>248.5+23.5+20.68-2.2+11.3-2.2</f>
        <v>299.58000000000004</v>
      </c>
      <c r="D113" s="55">
        <v>12</v>
      </c>
      <c r="E113" s="55">
        <f t="shared" si="3"/>
        <v>273.18000000000006</v>
      </c>
      <c r="F113" s="56">
        <v>120</v>
      </c>
      <c r="G113" s="56">
        <f t="shared" si="4"/>
        <v>32781.600000000006</v>
      </c>
    </row>
    <row r="114" spans="1:7" x14ac:dyDescent="0.25">
      <c r="A114" s="53">
        <v>107</v>
      </c>
      <c r="B114" s="54" t="s">
        <v>260</v>
      </c>
      <c r="C114" s="55">
        <f>33.8+9.22-3.9</f>
        <v>39.119999999999997</v>
      </c>
      <c r="D114" s="55"/>
      <c r="E114" s="55">
        <f t="shared" si="3"/>
        <v>39.119999999999997</v>
      </c>
      <c r="F114" s="56">
        <v>90</v>
      </c>
      <c r="G114" s="56">
        <f t="shared" si="4"/>
        <v>3520.7999999999997</v>
      </c>
    </row>
    <row r="115" spans="1:7" x14ac:dyDescent="0.25">
      <c r="A115" s="53">
        <v>108</v>
      </c>
      <c r="B115" s="54" t="s">
        <v>259</v>
      </c>
      <c r="C115" s="55">
        <f>11+80+7.04</f>
        <v>98.04</v>
      </c>
      <c r="D115" s="55"/>
      <c r="E115" s="55">
        <f t="shared" si="3"/>
        <v>98.04</v>
      </c>
      <c r="F115" s="56">
        <v>240</v>
      </c>
      <c r="G115" s="56">
        <f t="shared" si="4"/>
        <v>23529.600000000002</v>
      </c>
    </row>
    <row r="116" spans="1:7" x14ac:dyDescent="0.25">
      <c r="A116" s="53">
        <v>109</v>
      </c>
      <c r="B116" s="54" t="s">
        <v>257</v>
      </c>
      <c r="C116" s="55">
        <f>46.5+8.6-2.2</f>
        <v>52.9</v>
      </c>
      <c r="D116" s="55">
        <v>3</v>
      </c>
      <c r="E116" s="55">
        <f t="shared" si="3"/>
        <v>46.3</v>
      </c>
      <c r="F116" s="56">
        <v>47</v>
      </c>
      <c r="G116" s="56">
        <f t="shared" si="4"/>
        <v>2176.1</v>
      </c>
    </row>
    <row r="117" spans="1:7" x14ac:dyDescent="0.25">
      <c r="A117" s="53">
        <v>110</v>
      </c>
      <c r="B117" s="54" t="s">
        <v>256</v>
      </c>
      <c r="C117" s="55">
        <f>25+8.8-3.9</f>
        <v>29.9</v>
      </c>
      <c r="D117" s="55">
        <v>1</v>
      </c>
      <c r="E117" s="55">
        <f t="shared" si="3"/>
        <v>27.7</v>
      </c>
      <c r="F117" s="56">
        <v>95</v>
      </c>
      <c r="G117" s="56">
        <f t="shared" si="4"/>
        <v>2631.5</v>
      </c>
    </row>
    <row r="118" spans="1:7" x14ac:dyDescent="0.25">
      <c r="A118" s="53">
        <v>111</v>
      </c>
      <c r="B118" s="54" t="s">
        <v>255</v>
      </c>
      <c r="C118" s="55">
        <f>48.88-3.9-3.9</f>
        <v>41.080000000000005</v>
      </c>
      <c r="D118" s="55"/>
      <c r="E118" s="55">
        <f t="shared" si="3"/>
        <v>41.080000000000005</v>
      </c>
      <c r="F118" s="56">
        <v>90</v>
      </c>
      <c r="G118" s="56">
        <f t="shared" si="4"/>
        <v>3697.2000000000003</v>
      </c>
    </row>
    <row r="119" spans="1:7" x14ac:dyDescent="0.25">
      <c r="A119" s="53">
        <v>112</v>
      </c>
      <c r="B119" s="54" t="s">
        <v>254</v>
      </c>
      <c r="C119" s="55">
        <f>12.06-2.2+1.46</f>
        <v>11.32</v>
      </c>
      <c r="D119" s="55"/>
      <c r="E119" s="55">
        <f t="shared" si="3"/>
        <v>11.32</v>
      </c>
      <c r="F119" s="56">
        <v>125</v>
      </c>
      <c r="G119" s="56">
        <f t="shared" si="4"/>
        <v>1415</v>
      </c>
    </row>
    <row r="120" spans="1:7" x14ac:dyDescent="0.25">
      <c r="A120" s="53">
        <v>113</v>
      </c>
      <c r="B120" s="54" t="s">
        <v>253</v>
      </c>
      <c r="C120" s="55">
        <f>4.18-2.2+1.67</f>
        <v>3.6499999999999995</v>
      </c>
      <c r="D120" s="55"/>
      <c r="E120" s="55">
        <f t="shared" si="3"/>
        <v>3.6499999999999995</v>
      </c>
      <c r="F120" s="56">
        <v>145</v>
      </c>
      <c r="G120" s="56">
        <f t="shared" si="4"/>
        <v>529.24999999999989</v>
      </c>
    </row>
    <row r="121" spans="1:7" x14ac:dyDescent="0.25">
      <c r="A121" s="53">
        <v>114</v>
      </c>
      <c r="B121" s="54" t="s">
        <v>252</v>
      </c>
      <c r="C121" s="55">
        <f>10.03-3.9</f>
        <v>6.129999999999999</v>
      </c>
      <c r="D121" s="55"/>
      <c r="E121" s="55">
        <f t="shared" si="3"/>
        <v>6.129999999999999</v>
      </c>
      <c r="F121" s="56">
        <v>173</v>
      </c>
      <c r="G121" s="56">
        <f t="shared" si="4"/>
        <v>1060.4899999999998</v>
      </c>
    </row>
    <row r="122" spans="1:7" x14ac:dyDescent="0.25">
      <c r="A122" s="53">
        <v>115</v>
      </c>
      <c r="B122" s="54" t="s">
        <v>251</v>
      </c>
      <c r="C122" s="55">
        <f>680.5+97.5+17.74-2.2+17.4-2.2+11.18-3.9</f>
        <v>816.01999999999987</v>
      </c>
      <c r="D122" s="55">
        <v>8</v>
      </c>
      <c r="E122" s="55">
        <f t="shared" si="3"/>
        <v>798.41999999999985</v>
      </c>
      <c r="F122" s="56">
        <v>112</v>
      </c>
      <c r="G122" s="56">
        <f t="shared" si="4"/>
        <v>89423.039999999979</v>
      </c>
    </row>
    <row r="123" spans="1:7" x14ac:dyDescent="0.25">
      <c r="A123" s="53">
        <v>116</v>
      </c>
      <c r="B123" s="54" t="s">
        <v>250</v>
      </c>
      <c r="C123" s="55">
        <v>212.2</v>
      </c>
      <c r="D123" s="55"/>
      <c r="E123" s="55">
        <f t="shared" si="3"/>
        <v>212.2</v>
      </c>
      <c r="F123" s="56">
        <v>110</v>
      </c>
      <c r="G123" s="56">
        <f t="shared" si="4"/>
        <v>23342</v>
      </c>
    </row>
    <row r="124" spans="1:7" x14ac:dyDescent="0.25">
      <c r="A124" s="53">
        <v>117</v>
      </c>
      <c r="B124" s="54" t="s">
        <v>249</v>
      </c>
      <c r="C124" s="55">
        <f>14.38-3.9+17.02-3.9+14.38-3.9+17.02-3.9+10.066-3.9+10.02-2.2</f>
        <v>61.186000000000007</v>
      </c>
      <c r="D124" s="55"/>
      <c r="E124" s="55">
        <f t="shared" si="3"/>
        <v>61.186000000000007</v>
      </c>
      <c r="F124" s="56">
        <v>76</v>
      </c>
      <c r="G124" s="56">
        <f t="shared" si="4"/>
        <v>4650.1360000000004</v>
      </c>
    </row>
    <row r="125" spans="1:7" x14ac:dyDescent="0.25">
      <c r="A125" s="53">
        <v>118</v>
      </c>
      <c r="B125" s="54" t="s">
        <v>248</v>
      </c>
      <c r="C125" s="55">
        <f>3.08+599.3+414.5+442+353.5+160.5+163+246+8+48.5+23.5+54.5+22.5+27.18-3.9+19.4-3.94+40.38-3.9+8.24-3.9+44-2.2</f>
        <v>2660.24</v>
      </c>
      <c r="D125" s="55">
        <f>18+22+15+9+7+11+1+2+1+3+1</f>
        <v>90</v>
      </c>
      <c r="E125" s="55">
        <f t="shared" si="3"/>
        <v>2462.2399999999998</v>
      </c>
      <c r="F125" s="56">
        <v>198</v>
      </c>
      <c r="G125" s="56">
        <f t="shared" si="4"/>
        <v>487523.51999999996</v>
      </c>
    </row>
    <row r="126" spans="1:7" x14ac:dyDescent="0.25">
      <c r="A126" s="53">
        <v>119</v>
      </c>
      <c r="B126" s="54" t="s">
        <v>247</v>
      </c>
      <c r="C126" s="55">
        <f>147.6+1029.5+746</f>
        <v>1923.1</v>
      </c>
      <c r="D126" s="55"/>
      <c r="E126" s="55">
        <f t="shared" si="3"/>
        <v>1923.1</v>
      </c>
      <c r="F126" s="56">
        <v>190</v>
      </c>
      <c r="G126" s="56">
        <f t="shared" si="4"/>
        <v>365389</v>
      </c>
    </row>
    <row r="127" spans="1:7" x14ac:dyDescent="0.25">
      <c r="A127" s="53">
        <v>120</v>
      </c>
      <c r="B127" s="54" t="s">
        <v>246</v>
      </c>
      <c r="C127" s="55">
        <f>12.02-3.9</f>
        <v>8.1199999999999992</v>
      </c>
      <c r="D127" s="55"/>
      <c r="E127" s="55">
        <f t="shared" si="3"/>
        <v>8.1199999999999992</v>
      </c>
      <c r="F127" s="56">
        <v>190</v>
      </c>
      <c r="G127" s="56">
        <f t="shared" si="4"/>
        <v>1542.8</v>
      </c>
    </row>
    <row r="128" spans="1:7" x14ac:dyDescent="0.25">
      <c r="A128" s="53">
        <v>121</v>
      </c>
      <c r="B128" s="54" t="s">
        <v>243</v>
      </c>
      <c r="C128" s="55">
        <v>4</v>
      </c>
      <c r="D128" s="55"/>
      <c r="E128" s="55">
        <f t="shared" si="3"/>
        <v>4</v>
      </c>
      <c r="F128" s="56">
        <v>80</v>
      </c>
      <c r="G128" s="56">
        <f t="shared" si="4"/>
        <v>320</v>
      </c>
    </row>
    <row r="129" spans="1:7" x14ac:dyDescent="0.25">
      <c r="A129" s="53">
        <v>122</v>
      </c>
      <c r="B129" s="54" t="s">
        <v>242</v>
      </c>
      <c r="C129" s="55">
        <f>33.5+8.7-3.9+15.12-2.2+7.06-3.9</f>
        <v>54.38</v>
      </c>
      <c r="D129" s="55">
        <v>2</v>
      </c>
      <c r="E129" s="55">
        <f t="shared" si="3"/>
        <v>49.980000000000004</v>
      </c>
      <c r="F129" s="56">
        <v>80</v>
      </c>
      <c r="G129" s="56">
        <f t="shared" si="4"/>
        <v>3998.4000000000005</v>
      </c>
    </row>
    <row r="130" spans="1:7" x14ac:dyDescent="0.25">
      <c r="A130" s="53">
        <v>123</v>
      </c>
      <c r="B130" s="54" t="s">
        <v>240</v>
      </c>
      <c r="C130" s="55">
        <v>5</v>
      </c>
      <c r="D130" s="55"/>
      <c r="E130" s="55">
        <f t="shared" si="3"/>
        <v>5</v>
      </c>
      <c r="F130" s="56">
        <v>59</v>
      </c>
      <c r="G130" s="56">
        <f t="shared" si="4"/>
        <v>295</v>
      </c>
    </row>
    <row r="131" spans="1:7" x14ac:dyDescent="0.25">
      <c r="A131" s="53">
        <v>124</v>
      </c>
      <c r="B131" s="54" t="s">
        <v>239</v>
      </c>
      <c r="C131" s="55">
        <f>11.48+5.58+1.336</f>
        <v>18.396000000000001</v>
      </c>
      <c r="D131" s="55"/>
      <c r="E131" s="55">
        <f t="shared" si="3"/>
        <v>18.396000000000001</v>
      </c>
      <c r="F131" s="56">
        <v>148</v>
      </c>
      <c r="G131" s="56">
        <f t="shared" si="4"/>
        <v>2722.6080000000002</v>
      </c>
    </row>
    <row r="132" spans="1:7" x14ac:dyDescent="0.25">
      <c r="A132" s="53">
        <v>125</v>
      </c>
      <c r="B132" s="54" t="s">
        <v>238</v>
      </c>
      <c r="C132" s="55">
        <f>16.9-3.9+8.46-2.2</f>
        <v>19.260000000000002</v>
      </c>
      <c r="D132" s="55"/>
      <c r="E132" s="55">
        <f t="shared" ref="E132:E157" si="5">C132-(D132*2.2)</f>
        <v>19.260000000000002</v>
      </c>
      <c r="F132" s="56">
        <v>110</v>
      </c>
      <c r="G132" s="56">
        <f t="shared" si="4"/>
        <v>2118.6000000000004</v>
      </c>
    </row>
    <row r="133" spans="1:7" x14ac:dyDescent="0.25">
      <c r="A133" s="53">
        <v>126</v>
      </c>
      <c r="B133" s="54" t="s">
        <v>236</v>
      </c>
      <c r="C133" s="55">
        <f>9.38-3.9</f>
        <v>5.48</v>
      </c>
      <c r="D133" s="55"/>
      <c r="E133" s="55">
        <f t="shared" si="5"/>
        <v>5.48</v>
      </c>
      <c r="F133" s="56">
        <v>173</v>
      </c>
      <c r="G133" s="56">
        <f t="shared" si="4"/>
        <v>948.04000000000008</v>
      </c>
    </row>
    <row r="134" spans="1:7" x14ac:dyDescent="0.25">
      <c r="A134" s="53">
        <v>127</v>
      </c>
      <c r="B134" s="54" t="s">
        <v>436</v>
      </c>
      <c r="C134" s="55">
        <v>1</v>
      </c>
      <c r="D134" s="55">
        <v>0</v>
      </c>
      <c r="E134" s="55">
        <v>0</v>
      </c>
      <c r="F134" s="56">
        <v>98</v>
      </c>
      <c r="G134" s="56">
        <f>F134*C134</f>
        <v>98</v>
      </c>
    </row>
    <row r="135" spans="1:7" ht="15.75" thickBot="1" x14ac:dyDescent="0.3">
      <c r="A135" s="53"/>
      <c r="B135" s="57" t="s">
        <v>17</v>
      </c>
      <c r="C135" s="15">
        <f>SUM(C91:C134)</f>
        <v>9034.518</v>
      </c>
      <c r="D135" s="74" t="s">
        <v>402</v>
      </c>
      <c r="E135" s="15">
        <f>SUM(E91:E134)</f>
        <v>8727.7180000000008</v>
      </c>
      <c r="F135" s="38"/>
      <c r="G135" s="36">
        <f>SUM(G91:G134)</f>
        <v>1252524.3940000001</v>
      </c>
    </row>
    <row r="136" spans="1:7" ht="24" customHeight="1" thickBot="1" x14ac:dyDescent="0.3">
      <c r="A136" s="58"/>
      <c r="B136" s="50" t="s">
        <v>1</v>
      </c>
      <c r="C136" s="51" t="s">
        <v>2</v>
      </c>
      <c r="D136" s="51" t="s">
        <v>371</v>
      </c>
      <c r="E136" s="72" t="s">
        <v>372</v>
      </c>
      <c r="F136" s="51" t="s">
        <v>3</v>
      </c>
      <c r="G136" s="52" t="s">
        <v>4</v>
      </c>
    </row>
    <row r="137" spans="1:7" x14ac:dyDescent="0.25">
      <c r="A137" s="53">
        <v>128</v>
      </c>
      <c r="B137" s="54" t="s">
        <v>275</v>
      </c>
      <c r="C137" s="55">
        <v>1</v>
      </c>
      <c r="D137" s="55"/>
      <c r="E137" s="55">
        <f t="shared" si="5"/>
        <v>1</v>
      </c>
      <c r="F137" s="56">
        <v>92</v>
      </c>
      <c r="G137" s="56">
        <f>F137*E137</f>
        <v>92</v>
      </c>
    </row>
    <row r="138" spans="1:7" x14ac:dyDescent="0.25">
      <c r="A138" s="53">
        <v>129</v>
      </c>
      <c r="B138" s="54" t="s">
        <v>235</v>
      </c>
      <c r="C138" s="55">
        <f>482.5+34+27.26-3.9-3.9</f>
        <v>535.96</v>
      </c>
      <c r="D138" s="55">
        <v>24</v>
      </c>
      <c r="E138" s="55">
        <f t="shared" si="5"/>
        <v>483.16</v>
      </c>
      <c r="F138" s="56">
        <v>132</v>
      </c>
      <c r="G138" s="56">
        <f t="shared" ref="G138:G180" si="6">F138*E138</f>
        <v>63777.120000000003</v>
      </c>
    </row>
    <row r="139" spans="1:7" x14ac:dyDescent="0.25">
      <c r="A139" s="53">
        <v>130</v>
      </c>
      <c r="B139" s="54" t="s">
        <v>233</v>
      </c>
      <c r="C139" s="55">
        <f>54.5-23+143.98+3.3</f>
        <v>178.78</v>
      </c>
      <c r="D139" s="55"/>
      <c r="E139" s="55">
        <f t="shared" si="5"/>
        <v>178.78</v>
      </c>
      <c r="F139" s="56">
        <v>164</v>
      </c>
      <c r="G139" s="56">
        <f t="shared" si="6"/>
        <v>29319.920000000002</v>
      </c>
    </row>
    <row r="140" spans="1:7" x14ac:dyDescent="0.25">
      <c r="A140" s="53">
        <v>131</v>
      </c>
      <c r="B140" s="54" t="s">
        <v>232</v>
      </c>
      <c r="C140" s="55">
        <f>98.5+1.904</f>
        <v>100.404</v>
      </c>
      <c r="D140" s="55">
        <v>5</v>
      </c>
      <c r="E140" s="55">
        <f t="shared" si="5"/>
        <v>89.403999999999996</v>
      </c>
      <c r="F140" s="56">
        <v>90</v>
      </c>
      <c r="G140" s="56">
        <f t="shared" si="6"/>
        <v>8046.36</v>
      </c>
    </row>
    <row r="141" spans="1:7" x14ac:dyDescent="0.25">
      <c r="A141" s="53">
        <v>132</v>
      </c>
      <c r="B141" s="54" t="s">
        <v>231</v>
      </c>
      <c r="C141" s="55">
        <f>9+59.89+12.04+1.08</f>
        <v>82.01</v>
      </c>
      <c r="D141" s="55"/>
      <c r="E141" s="55">
        <f t="shared" si="5"/>
        <v>82.01</v>
      </c>
      <c r="F141" s="56">
        <v>105</v>
      </c>
      <c r="G141" s="56">
        <f t="shared" si="6"/>
        <v>8611.0500000000011</v>
      </c>
    </row>
    <row r="142" spans="1:7" x14ac:dyDescent="0.25">
      <c r="A142" s="53">
        <v>133</v>
      </c>
      <c r="B142" s="54" t="s">
        <v>230</v>
      </c>
      <c r="C142" s="55">
        <v>2.69</v>
      </c>
      <c r="D142" s="55"/>
      <c r="E142" s="55">
        <f t="shared" si="5"/>
        <v>2.69</v>
      </c>
      <c r="F142" s="56">
        <v>174</v>
      </c>
      <c r="G142" s="56">
        <f t="shared" si="6"/>
        <v>468.06</v>
      </c>
    </row>
    <row r="143" spans="1:7" x14ac:dyDescent="0.25">
      <c r="A143" s="53">
        <v>134</v>
      </c>
      <c r="B143" s="54" t="s">
        <v>229</v>
      </c>
      <c r="C143" s="60">
        <v>0</v>
      </c>
      <c r="D143" s="60"/>
      <c r="E143" s="55">
        <f t="shared" si="5"/>
        <v>0</v>
      </c>
      <c r="F143" s="56">
        <v>900</v>
      </c>
      <c r="G143" s="56">
        <f t="shared" si="6"/>
        <v>0</v>
      </c>
    </row>
    <row r="144" spans="1:7" x14ac:dyDescent="0.25">
      <c r="A144" s="53">
        <v>135</v>
      </c>
      <c r="B144" s="54" t="s">
        <v>368</v>
      </c>
      <c r="C144" s="55">
        <f>13+143+14.41+15.48-3.9-3.9+24.08-4.4+4.52</f>
        <v>202.28999999999996</v>
      </c>
      <c r="D144" s="55">
        <v>6</v>
      </c>
      <c r="E144" s="55">
        <f t="shared" si="5"/>
        <v>189.08999999999997</v>
      </c>
      <c r="F144" s="56">
        <v>98</v>
      </c>
      <c r="G144" s="56">
        <f t="shared" si="6"/>
        <v>18530.819999999996</v>
      </c>
    </row>
    <row r="145" spans="1:7" x14ac:dyDescent="0.25">
      <c r="A145" s="53">
        <v>136</v>
      </c>
      <c r="B145" s="54" t="s">
        <v>377</v>
      </c>
      <c r="C145" s="55">
        <v>0</v>
      </c>
      <c r="D145" s="55"/>
      <c r="E145" s="55">
        <f t="shared" si="5"/>
        <v>0</v>
      </c>
      <c r="F145" s="56">
        <v>56</v>
      </c>
      <c r="G145" s="56">
        <f t="shared" si="6"/>
        <v>0</v>
      </c>
    </row>
    <row r="146" spans="1:7" x14ac:dyDescent="0.25">
      <c r="A146" s="53">
        <v>137</v>
      </c>
      <c r="B146" s="54" t="s">
        <v>21</v>
      </c>
      <c r="C146" s="55">
        <v>40.78</v>
      </c>
      <c r="D146" s="55"/>
      <c r="E146" s="55">
        <f t="shared" si="5"/>
        <v>40.78</v>
      </c>
      <c r="F146" s="56">
        <v>600</v>
      </c>
      <c r="G146" s="56">
        <f t="shared" si="6"/>
        <v>24468</v>
      </c>
    </row>
    <row r="147" spans="1:7" x14ac:dyDescent="0.25">
      <c r="A147" s="53">
        <v>138</v>
      </c>
      <c r="B147" s="54" t="s">
        <v>224</v>
      </c>
      <c r="C147" s="55">
        <f>473+25</f>
        <v>498</v>
      </c>
      <c r="D147" s="55">
        <v>21</v>
      </c>
      <c r="E147" s="55">
        <f t="shared" si="5"/>
        <v>451.8</v>
      </c>
      <c r="F147" s="56">
        <v>198</v>
      </c>
      <c r="G147" s="56">
        <f t="shared" si="6"/>
        <v>89456.400000000009</v>
      </c>
    </row>
    <row r="148" spans="1:7" x14ac:dyDescent="0.25">
      <c r="A148" s="53">
        <v>139</v>
      </c>
      <c r="B148" s="54" t="s">
        <v>22</v>
      </c>
      <c r="C148" s="55">
        <v>95.5</v>
      </c>
      <c r="D148" s="55">
        <v>4</v>
      </c>
      <c r="E148" s="55">
        <f t="shared" si="5"/>
        <v>86.7</v>
      </c>
      <c r="F148" s="56">
        <v>136</v>
      </c>
      <c r="G148" s="56">
        <f t="shared" si="6"/>
        <v>11791.2</v>
      </c>
    </row>
    <row r="149" spans="1:7" x14ac:dyDescent="0.25">
      <c r="A149" s="53">
        <v>140</v>
      </c>
      <c r="B149" s="54" t="s">
        <v>223</v>
      </c>
      <c r="C149" s="55">
        <f>41.5+10.44-2.2</f>
        <v>49.739999999999995</v>
      </c>
      <c r="D149" s="55">
        <v>3</v>
      </c>
      <c r="E149" s="55">
        <f t="shared" si="5"/>
        <v>43.139999999999993</v>
      </c>
      <c r="F149" s="56">
        <v>62</v>
      </c>
      <c r="G149" s="56">
        <f t="shared" si="6"/>
        <v>2674.6799999999994</v>
      </c>
    </row>
    <row r="150" spans="1:7" x14ac:dyDescent="0.25">
      <c r="A150" s="53">
        <v>141</v>
      </c>
      <c r="B150" s="54" t="s">
        <v>23</v>
      </c>
      <c r="C150" s="55">
        <v>10</v>
      </c>
      <c r="D150" s="55">
        <v>1</v>
      </c>
      <c r="E150" s="55">
        <f t="shared" si="5"/>
        <v>7.8</v>
      </c>
      <c r="F150" s="56">
        <v>600</v>
      </c>
      <c r="G150" s="56">
        <f t="shared" si="6"/>
        <v>4680</v>
      </c>
    </row>
    <row r="151" spans="1:7" x14ac:dyDescent="0.25">
      <c r="A151" s="53">
        <v>142</v>
      </c>
      <c r="B151" s="54" t="s">
        <v>222</v>
      </c>
      <c r="C151" s="55">
        <v>552.5</v>
      </c>
      <c r="D151" s="55">
        <v>22</v>
      </c>
      <c r="E151" s="55">
        <f t="shared" si="5"/>
        <v>504.1</v>
      </c>
      <c r="F151" s="56">
        <v>116</v>
      </c>
      <c r="G151" s="56">
        <f t="shared" si="6"/>
        <v>58475.600000000006</v>
      </c>
    </row>
    <row r="152" spans="1:7" x14ac:dyDescent="0.25">
      <c r="A152" s="53">
        <v>143</v>
      </c>
      <c r="B152" s="54" t="s">
        <v>221</v>
      </c>
      <c r="C152" s="55">
        <v>949.32</v>
      </c>
      <c r="D152" s="55"/>
      <c r="E152" s="55">
        <f t="shared" si="5"/>
        <v>949.32</v>
      </c>
      <c r="F152" s="56">
        <v>290</v>
      </c>
      <c r="G152" s="56">
        <f t="shared" si="6"/>
        <v>275302.8</v>
      </c>
    </row>
    <row r="153" spans="1:7" x14ac:dyDescent="0.25">
      <c r="A153" s="53">
        <v>144</v>
      </c>
      <c r="B153" s="54" t="s">
        <v>274</v>
      </c>
      <c r="C153" s="55">
        <v>152.5</v>
      </c>
      <c r="D153" s="55">
        <v>9</v>
      </c>
      <c r="E153" s="55">
        <f t="shared" si="5"/>
        <v>132.69999999999999</v>
      </c>
      <c r="F153" s="56">
        <v>102</v>
      </c>
      <c r="G153" s="56">
        <f t="shared" si="6"/>
        <v>13535.4</v>
      </c>
    </row>
    <row r="154" spans="1:7" x14ac:dyDescent="0.25">
      <c r="A154" s="53">
        <v>145</v>
      </c>
      <c r="B154" s="54" t="s">
        <v>324</v>
      </c>
      <c r="C154" s="55">
        <v>213.5</v>
      </c>
      <c r="D154" s="55">
        <v>11</v>
      </c>
      <c r="E154" s="55">
        <f t="shared" si="5"/>
        <v>189.3</v>
      </c>
      <c r="F154" s="56">
        <v>140</v>
      </c>
      <c r="G154" s="56">
        <f t="shared" si="6"/>
        <v>26502</v>
      </c>
    </row>
    <row r="155" spans="1:7" x14ac:dyDescent="0.25">
      <c r="A155" s="53">
        <v>146</v>
      </c>
      <c r="B155" s="54" t="s">
        <v>219</v>
      </c>
      <c r="C155" s="55">
        <f>128+41-19.88-2.2+11.68-2.2+2.8</f>
        <v>159.20000000000005</v>
      </c>
      <c r="D155" s="55">
        <v>8</v>
      </c>
      <c r="E155" s="55">
        <f t="shared" si="5"/>
        <v>141.60000000000005</v>
      </c>
      <c r="F155" s="56">
        <v>95</v>
      </c>
      <c r="G155" s="56">
        <f t="shared" si="6"/>
        <v>13452.000000000005</v>
      </c>
    </row>
    <row r="156" spans="1:7" x14ac:dyDescent="0.25">
      <c r="A156" s="53">
        <v>147</v>
      </c>
      <c r="B156" s="54" t="s">
        <v>218</v>
      </c>
      <c r="C156" s="55">
        <f>17.76-7.6+5.34</f>
        <v>15.500000000000002</v>
      </c>
      <c r="D156" s="55"/>
      <c r="E156" s="55">
        <f t="shared" si="5"/>
        <v>15.500000000000002</v>
      </c>
      <c r="F156" s="56">
        <v>152</v>
      </c>
      <c r="G156" s="56">
        <f t="shared" si="6"/>
        <v>2356.0000000000005</v>
      </c>
    </row>
    <row r="157" spans="1:7" x14ac:dyDescent="0.25">
      <c r="A157" s="53">
        <v>148</v>
      </c>
      <c r="B157" s="54" t="s">
        <v>358</v>
      </c>
      <c r="C157" s="55">
        <v>4</v>
      </c>
      <c r="D157" s="55"/>
      <c r="E157" s="55">
        <f t="shared" si="5"/>
        <v>4</v>
      </c>
      <c r="F157" s="56">
        <v>134</v>
      </c>
      <c r="G157" s="56">
        <f t="shared" si="6"/>
        <v>536</v>
      </c>
    </row>
    <row r="158" spans="1:7" x14ac:dyDescent="0.25">
      <c r="A158" s="53">
        <v>149</v>
      </c>
      <c r="B158" s="54" t="s">
        <v>216</v>
      </c>
      <c r="C158" s="55">
        <v>24.3</v>
      </c>
      <c r="D158" s="55"/>
      <c r="E158" s="55">
        <f>C158-(D158*2.2)</f>
        <v>24.3</v>
      </c>
      <c r="F158" s="56">
        <v>90</v>
      </c>
      <c r="G158" s="56">
        <f t="shared" si="6"/>
        <v>2187</v>
      </c>
    </row>
    <row r="159" spans="1:7" x14ac:dyDescent="0.25">
      <c r="A159" s="53">
        <v>150</v>
      </c>
      <c r="B159" s="54" t="s">
        <v>215</v>
      </c>
      <c r="C159" s="55">
        <v>822</v>
      </c>
      <c r="D159" s="55"/>
      <c r="E159" s="55">
        <f t="shared" ref="E159:E222" si="7">C159-(D159*2.2)</f>
        <v>822</v>
      </c>
      <c r="F159" s="56">
        <v>77</v>
      </c>
      <c r="G159" s="56">
        <f t="shared" si="6"/>
        <v>63294</v>
      </c>
    </row>
    <row r="160" spans="1:7" x14ac:dyDescent="0.25">
      <c r="A160" s="53">
        <v>151</v>
      </c>
      <c r="B160" s="54" t="s">
        <v>214</v>
      </c>
      <c r="C160" s="55">
        <v>10.02</v>
      </c>
      <c r="D160" s="55"/>
      <c r="E160" s="55">
        <f t="shared" si="7"/>
        <v>10.02</v>
      </c>
      <c r="F160" s="56">
        <v>88</v>
      </c>
      <c r="G160" s="56">
        <f t="shared" si="6"/>
        <v>881.76</v>
      </c>
    </row>
    <row r="161" spans="1:7" x14ac:dyDescent="0.25">
      <c r="A161" s="53">
        <v>152</v>
      </c>
      <c r="B161" s="54" t="s">
        <v>213</v>
      </c>
      <c r="C161" s="55">
        <f>9.8+10.72-3.9</f>
        <v>16.620000000000005</v>
      </c>
      <c r="D161" s="55"/>
      <c r="E161" s="55">
        <f t="shared" si="7"/>
        <v>16.620000000000005</v>
      </c>
      <c r="F161" s="56">
        <v>170</v>
      </c>
      <c r="G161" s="56">
        <f t="shared" si="6"/>
        <v>2825.4000000000005</v>
      </c>
    </row>
    <row r="162" spans="1:7" x14ac:dyDescent="0.25">
      <c r="A162" s="53">
        <v>153</v>
      </c>
      <c r="B162" s="54" t="s">
        <v>212</v>
      </c>
      <c r="C162" s="55">
        <f>196.9+155.5</f>
        <v>352.4</v>
      </c>
      <c r="D162" s="55">
        <v>6</v>
      </c>
      <c r="E162" s="55">
        <f t="shared" si="7"/>
        <v>339.2</v>
      </c>
      <c r="F162" s="56">
        <v>88</v>
      </c>
      <c r="G162" s="56">
        <f t="shared" si="6"/>
        <v>29849.599999999999</v>
      </c>
    </row>
    <row r="163" spans="1:7" x14ac:dyDescent="0.25">
      <c r="A163" s="53">
        <v>154</v>
      </c>
      <c r="B163" s="54" t="s">
        <v>211</v>
      </c>
      <c r="C163" s="55">
        <v>0</v>
      </c>
      <c r="D163" s="55"/>
      <c r="E163" s="55">
        <f t="shared" si="7"/>
        <v>0</v>
      </c>
      <c r="F163" s="56">
        <v>102</v>
      </c>
      <c r="G163" s="56">
        <f t="shared" si="6"/>
        <v>0</v>
      </c>
    </row>
    <row r="164" spans="1:7" x14ac:dyDescent="0.25">
      <c r="A164" s="53">
        <v>155</v>
      </c>
      <c r="B164" s="54" t="s">
        <v>210</v>
      </c>
      <c r="C164" s="55">
        <f>75.2+19.5+10.22-3.9</f>
        <v>101.02</v>
      </c>
      <c r="D164" s="55">
        <v>1</v>
      </c>
      <c r="E164" s="55">
        <f t="shared" si="7"/>
        <v>98.82</v>
      </c>
      <c r="F164" s="56">
        <v>120</v>
      </c>
      <c r="G164" s="56">
        <f t="shared" si="6"/>
        <v>11858.4</v>
      </c>
    </row>
    <row r="165" spans="1:7" x14ac:dyDescent="0.25">
      <c r="A165" s="53">
        <v>156</v>
      </c>
      <c r="B165" s="54" t="s">
        <v>207</v>
      </c>
      <c r="C165" s="55">
        <v>124.33</v>
      </c>
      <c r="D165" s="55"/>
      <c r="E165" s="55">
        <f t="shared" si="7"/>
        <v>124.33</v>
      </c>
      <c r="F165" s="56">
        <v>144</v>
      </c>
      <c r="G165" s="56">
        <f t="shared" si="6"/>
        <v>17903.52</v>
      </c>
    </row>
    <row r="166" spans="1:7" x14ac:dyDescent="0.25">
      <c r="A166" s="53">
        <v>157</v>
      </c>
      <c r="B166" s="54" t="s">
        <v>209</v>
      </c>
      <c r="C166" s="55">
        <v>44.9</v>
      </c>
      <c r="D166" s="55"/>
      <c r="E166" s="55">
        <f t="shared" si="7"/>
        <v>44.9</v>
      </c>
      <c r="F166" s="56">
        <v>62</v>
      </c>
      <c r="G166" s="56">
        <f t="shared" si="6"/>
        <v>2783.7999999999997</v>
      </c>
    </row>
    <row r="167" spans="1:7" x14ac:dyDescent="0.25">
      <c r="A167" s="53">
        <v>158</v>
      </c>
      <c r="B167" s="54" t="s">
        <v>206</v>
      </c>
      <c r="C167" s="55">
        <v>3.1</v>
      </c>
      <c r="D167" s="55"/>
      <c r="E167" s="55">
        <f t="shared" si="7"/>
        <v>3.1</v>
      </c>
      <c r="F167" s="56">
        <v>185</v>
      </c>
      <c r="G167" s="56">
        <f t="shared" si="6"/>
        <v>573.5</v>
      </c>
    </row>
    <row r="168" spans="1:7" x14ac:dyDescent="0.25">
      <c r="A168" s="53">
        <v>159</v>
      </c>
      <c r="B168" s="54" t="s">
        <v>205</v>
      </c>
      <c r="C168" s="55">
        <f>128.2+167.2</f>
        <v>295.39999999999998</v>
      </c>
      <c r="D168" s="55"/>
      <c r="E168" s="55">
        <f t="shared" si="7"/>
        <v>295.39999999999998</v>
      </c>
      <c r="F168" s="56">
        <v>180</v>
      </c>
      <c r="G168" s="56">
        <f t="shared" si="6"/>
        <v>53171.999999999993</v>
      </c>
    </row>
    <row r="169" spans="1:7" x14ac:dyDescent="0.25">
      <c r="A169" s="53">
        <v>160</v>
      </c>
      <c r="B169" s="54" t="s">
        <v>204</v>
      </c>
      <c r="C169" s="55">
        <v>0</v>
      </c>
      <c r="D169" s="55"/>
      <c r="E169" s="55">
        <f t="shared" si="7"/>
        <v>0</v>
      </c>
      <c r="F169" s="56">
        <v>187</v>
      </c>
      <c r="G169" s="56">
        <f t="shared" si="6"/>
        <v>0</v>
      </c>
    </row>
    <row r="170" spans="1:7" x14ac:dyDescent="0.25">
      <c r="A170" s="53">
        <v>161</v>
      </c>
      <c r="B170" s="54" t="s">
        <v>203</v>
      </c>
      <c r="C170" s="55">
        <f>34.5-4.2</f>
        <v>30.3</v>
      </c>
      <c r="D170" s="55"/>
      <c r="E170" s="55">
        <f t="shared" si="7"/>
        <v>30.3</v>
      </c>
      <c r="F170" s="56">
        <v>79</v>
      </c>
      <c r="G170" s="56">
        <f t="shared" si="6"/>
        <v>2393.7000000000003</v>
      </c>
    </row>
    <row r="171" spans="1:7" x14ac:dyDescent="0.25">
      <c r="A171" s="53">
        <v>162</v>
      </c>
      <c r="B171" s="54" t="s">
        <v>202</v>
      </c>
      <c r="C171" s="55">
        <f>15.8+8.2+4.276</f>
        <v>28.276</v>
      </c>
      <c r="D171" s="55">
        <v>1</v>
      </c>
      <c r="E171" s="55">
        <f t="shared" si="7"/>
        <v>26.076000000000001</v>
      </c>
      <c r="F171" s="56">
        <v>64</v>
      </c>
      <c r="G171" s="56">
        <f t="shared" si="6"/>
        <v>1668.864</v>
      </c>
    </row>
    <row r="172" spans="1:7" x14ac:dyDescent="0.25">
      <c r="A172" s="53">
        <v>163</v>
      </c>
      <c r="B172" s="54" t="s">
        <v>345</v>
      </c>
      <c r="C172" s="55">
        <v>0</v>
      </c>
      <c r="D172" s="55"/>
      <c r="E172" s="55">
        <f t="shared" si="7"/>
        <v>0</v>
      </c>
      <c r="F172" s="56">
        <v>230</v>
      </c>
      <c r="G172" s="56">
        <f t="shared" si="6"/>
        <v>0</v>
      </c>
    </row>
    <row r="173" spans="1:7" x14ac:dyDescent="0.25">
      <c r="A173" s="53">
        <v>164</v>
      </c>
      <c r="B173" s="54" t="s">
        <v>200</v>
      </c>
      <c r="C173" s="55">
        <f>14.56-3.9</f>
        <v>10.66</v>
      </c>
      <c r="D173" s="55"/>
      <c r="E173" s="55">
        <f t="shared" si="7"/>
        <v>10.66</v>
      </c>
      <c r="F173" s="56">
        <v>140</v>
      </c>
      <c r="G173" s="56">
        <f t="shared" si="6"/>
        <v>1492.4</v>
      </c>
    </row>
    <row r="174" spans="1:7" x14ac:dyDescent="0.25">
      <c r="A174" s="53">
        <v>165</v>
      </c>
      <c r="B174" s="54" t="s">
        <v>199</v>
      </c>
      <c r="C174" s="55">
        <v>0</v>
      </c>
      <c r="D174" s="55"/>
      <c r="E174" s="55">
        <f t="shared" si="7"/>
        <v>0</v>
      </c>
      <c r="F174" s="56">
        <v>4</v>
      </c>
      <c r="G174" s="56">
        <f t="shared" si="6"/>
        <v>0</v>
      </c>
    </row>
    <row r="175" spans="1:7" x14ac:dyDescent="0.25">
      <c r="A175" s="53">
        <v>166</v>
      </c>
      <c r="B175" s="54" t="s">
        <v>198</v>
      </c>
      <c r="C175" s="55">
        <f>242.5+39.5</f>
        <v>282</v>
      </c>
      <c r="D175" s="55">
        <v>16</v>
      </c>
      <c r="E175" s="55">
        <f t="shared" si="7"/>
        <v>246.8</v>
      </c>
      <c r="F175" s="56">
        <v>52</v>
      </c>
      <c r="G175" s="56">
        <f t="shared" si="6"/>
        <v>12833.6</v>
      </c>
    </row>
    <row r="176" spans="1:7" x14ac:dyDescent="0.25">
      <c r="A176" s="53">
        <v>167</v>
      </c>
      <c r="B176" s="54" t="s">
        <v>197</v>
      </c>
      <c r="C176" s="55">
        <v>471.5</v>
      </c>
      <c r="D176" s="55"/>
      <c r="E176" s="55">
        <f t="shared" si="7"/>
        <v>471.5</v>
      </c>
      <c r="F176" s="56">
        <v>33</v>
      </c>
      <c r="G176" s="56">
        <f t="shared" si="6"/>
        <v>15559.5</v>
      </c>
    </row>
    <row r="177" spans="1:7" x14ac:dyDescent="0.25">
      <c r="A177" s="53">
        <v>168</v>
      </c>
      <c r="B177" s="54" t="s">
        <v>196</v>
      </c>
      <c r="C177" s="55">
        <v>61</v>
      </c>
      <c r="D177" s="55">
        <v>4</v>
      </c>
      <c r="E177" s="55">
        <f t="shared" si="7"/>
        <v>52.2</v>
      </c>
      <c r="F177" s="56">
        <v>32</v>
      </c>
      <c r="G177" s="56">
        <f t="shared" si="6"/>
        <v>1670.4</v>
      </c>
    </row>
    <row r="178" spans="1:7" x14ac:dyDescent="0.25">
      <c r="A178" s="53">
        <v>169</v>
      </c>
      <c r="B178" s="54" t="s">
        <v>93</v>
      </c>
      <c r="C178" s="55">
        <f>86+109.5+6.84</f>
        <v>202.34</v>
      </c>
      <c r="D178" s="55">
        <v>10</v>
      </c>
      <c r="E178" s="55">
        <f t="shared" si="7"/>
        <v>180.34</v>
      </c>
      <c r="F178" s="56">
        <v>45</v>
      </c>
      <c r="G178" s="56">
        <f t="shared" si="6"/>
        <v>8115.3</v>
      </c>
    </row>
    <row r="179" spans="1:7" x14ac:dyDescent="0.25">
      <c r="A179" s="53">
        <v>170</v>
      </c>
      <c r="B179" s="54" t="s">
        <v>92</v>
      </c>
      <c r="C179" s="55">
        <v>101.1</v>
      </c>
      <c r="D179" s="55"/>
      <c r="E179" s="55">
        <f t="shared" si="7"/>
        <v>101.1</v>
      </c>
      <c r="F179" s="56">
        <v>100</v>
      </c>
      <c r="G179" s="56">
        <f t="shared" si="6"/>
        <v>10110</v>
      </c>
    </row>
    <row r="180" spans="1:7" x14ac:dyDescent="0.25">
      <c r="A180" s="53">
        <v>171</v>
      </c>
      <c r="B180" s="54" t="s">
        <v>91</v>
      </c>
      <c r="C180" s="55">
        <f>22.5+1.186</f>
        <v>23.686</v>
      </c>
      <c r="D180" s="55">
        <v>1</v>
      </c>
      <c r="E180" s="55">
        <f t="shared" si="7"/>
        <v>21.486000000000001</v>
      </c>
      <c r="F180" s="56">
        <v>420</v>
      </c>
      <c r="G180" s="56">
        <f t="shared" si="6"/>
        <v>9024.1200000000008</v>
      </c>
    </row>
    <row r="181" spans="1:7" ht="15.75" thickBot="1" x14ac:dyDescent="0.3">
      <c r="A181" s="53"/>
      <c r="B181" s="57" t="s">
        <v>17</v>
      </c>
      <c r="C181" s="15">
        <f>SUM(C137:C180)</f>
        <v>6848.6260000000002</v>
      </c>
      <c r="D181" s="74" t="s">
        <v>402</v>
      </c>
      <c r="E181" s="15">
        <f>SUM(E137:E180)</f>
        <v>6512.0260000000007</v>
      </c>
      <c r="F181" s="15"/>
      <c r="G181" s="36">
        <f>SUM(G137:G180)</f>
        <v>900272.27400000009</v>
      </c>
    </row>
    <row r="182" spans="1:7" ht="27.75" customHeight="1" thickBot="1" x14ac:dyDescent="0.3">
      <c r="A182" s="58"/>
      <c r="B182" s="50" t="s">
        <v>1</v>
      </c>
      <c r="C182" s="51" t="s">
        <v>2</v>
      </c>
      <c r="D182" s="51" t="s">
        <v>371</v>
      </c>
      <c r="E182" s="72" t="s">
        <v>372</v>
      </c>
      <c r="F182" s="51" t="s">
        <v>3</v>
      </c>
      <c r="G182" s="52" t="s">
        <v>4</v>
      </c>
    </row>
    <row r="183" spans="1:7" x14ac:dyDescent="0.25">
      <c r="A183" s="53">
        <v>172</v>
      </c>
      <c r="B183" s="54" t="s">
        <v>90</v>
      </c>
      <c r="C183" s="55">
        <f>124.5+42.48-2.2</f>
        <v>164.78</v>
      </c>
      <c r="D183" s="55">
        <v>7</v>
      </c>
      <c r="E183" s="55">
        <f t="shared" si="7"/>
        <v>149.38</v>
      </c>
      <c r="F183" s="56">
        <v>195</v>
      </c>
      <c r="G183" s="56">
        <f>F183*E183</f>
        <v>29129.1</v>
      </c>
    </row>
    <row r="184" spans="1:7" x14ac:dyDescent="0.25">
      <c r="A184" s="53">
        <v>173</v>
      </c>
      <c r="B184" s="54" t="s">
        <v>290</v>
      </c>
      <c r="C184" s="55">
        <v>217.76</v>
      </c>
      <c r="D184" s="55"/>
      <c r="E184" s="55">
        <f t="shared" si="7"/>
        <v>217.76</v>
      </c>
      <c r="F184" s="56">
        <v>87</v>
      </c>
      <c r="G184" s="56">
        <f t="shared" ref="G184:G222" si="8">F184*E184</f>
        <v>18945.12</v>
      </c>
    </row>
    <row r="185" spans="1:7" x14ac:dyDescent="0.25">
      <c r="A185" s="53">
        <v>174</v>
      </c>
      <c r="B185" s="54" t="s">
        <v>88</v>
      </c>
      <c r="C185" s="55">
        <f>9+81.35+1.9+14.49-2.2+12.02-3.9</f>
        <v>112.65999999999998</v>
      </c>
      <c r="D185" s="55">
        <v>3</v>
      </c>
      <c r="E185" s="55">
        <f t="shared" si="7"/>
        <v>106.05999999999999</v>
      </c>
      <c r="F185" s="56">
        <v>50</v>
      </c>
      <c r="G185" s="56">
        <f t="shared" si="8"/>
        <v>5302.9999999999991</v>
      </c>
    </row>
    <row r="186" spans="1:7" x14ac:dyDescent="0.25">
      <c r="A186" s="53">
        <v>175</v>
      </c>
      <c r="B186" s="54" t="s">
        <v>87</v>
      </c>
      <c r="C186" s="55">
        <f>10.5+10+1.4</f>
        <v>21.9</v>
      </c>
      <c r="D186" s="55"/>
      <c r="E186" s="55">
        <f t="shared" si="7"/>
        <v>21.9</v>
      </c>
      <c r="F186" s="56">
        <v>130</v>
      </c>
      <c r="G186" s="56">
        <f t="shared" si="8"/>
        <v>2847</v>
      </c>
    </row>
    <row r="187" spans="1:7" x14ac:dyDescent="0.25">
      <c r="A187" s="53">
        <v>176</v>
      </c>
      <c r="B187" s="54" t="s">
        <v>86</v>
      </c>
      <c r="C187" s="55">
        <v>160</v>
      </c>
      <c r="D187" s="55"/>
      <c r="E187" s="55">
        <f t="shared" si="7"/>
        <v>160</v>
      </c>
      <c r="F187" s="56">
        <v>140</v>
      </c>
      <c r="G187" s="56">
        <f t="shared" si="8"/>
        <v>22400</v>
      </c>
    </row>
    <row r="188" spans="1:7" x14ac:dyDescent="0.25">
      <c r="A188" s="53">
        <v>177</v>
      </c>
      <c r="B188" s="54" t="s">
        <v>85</v>
      </c>
      <c r="C188" s="55">
        <v>70</v>
      </c>
      <c r="D188" s="55"/>
      <c r="E188" s="55">
        <f t="shared" si="7"/>
        <v>70</v>
      </c>
      <c r="F188" s="56">
        <v>130</v>
      </c>
      <c r="G188" s="56">
        <f t="shared" si="8"/>
        <v>9100</v>
      </c>
    </row>
    <row r="189" spans="1:7" x14ac:dyDescent="0.25">
      <c r="A189" s="53">
        <v>178</v>
      </c>
      <c r="B189" s="54" t="s">
        <v>84</v>
      </c>
      <c r="C189" s="55">
        <f>28-2.2</f>
        <v>25.8</v>
      </c>
      <c r="D189" s="55"/>
      <c r="E189" s="55">
        <f t="shared" si="7"/>
        <v>25.8</v>
      </c>
      <c r="F189" s="56">
        <v>75</v>
      </c>
      <c r="G189" s="56">
        <f t="shared" si="8"/>
        <v>1935</v>
      </c>
    </row>
    <row r="190" spans="1:7" x14ac:dyDescent="0.25">
      <c r="A190" s="53">
        <v>179</v>
      </c>
      <c r="B190" s="54" t="s">
        <v>83</v>
      </c>
      <c r="C190" s="55">
        <f>154.24+28.36-2</f>
        <v>180.60000000000002</v>
      </c>
      <c r="D190" s="55"/>
      <c r="E190" s="55">
        <f t="shared" si="7"/>
        <v>180.60000000000002</v>
      </c>
      <c r="F190" s="56">
        <v>105</v>
      </c>
      <c r="G190" s="56">
        <f t="shared" si="8"/>
        <v>18963.000000000004</v>
      </c>
    </row>
    <row r="191" spans="1:7" x14ac:dyDescent="0.25">
      <c r="A191" s="53">
        <v>180</v>
      </c>
      <c r="B191" s="54" t="s">
        <v>82</v>
      </c>
      <c r="C191" s="55">
        <v>40</v>
      </c>
      <c r="D191" s="55"/>
      <c r="E191" s="55">
        <f t="shared" si="7"/>
        <v>40</v>
      </c>
      <c r="F191" s="56">
        <v>115</v>
      </c>
      <c r="G191" s="56">
        <f t="shared" si="8"/>
        <v>4600</v>
      </c>
    </row>
    <row r="192" spans="1:7" x14ac:dyDescent="0.25">
      <c r="A192" s="53">
        <v>181</v>
      </c>
      <c r="B192" s="54" t="s">
        <v>81</v>
      </c>
      <c r="C192" s="55">
        <v>1</v>
      </c>
      <c r="D192" s="55"/>
      <c r="E192" s="55">
        <f t="shared" si="7"/>
        <v>1</v>
      </c>
      <c r="F192" s="56">
        <v>75</v>
      </c>
      <c r="G192" s="56">
        <f t="shared" si="8"/>
        <v>75</v>
      </c>
    </row>
    <row r="193" spans="1:7" x14ac:dyDescent="0.25">
      <c r="A193" s="53">
        <v>182</v>
      </c>
      <c r="B193" s="54" t="s">
        <v>80</v>
      </c>
      <c r="C193" s="55">
        <v>0</v>
      </c>
      <c r="D193" s="55"/>
      <c r="E193" s="55">
        <f t="shared" si="7"/>
        <v>0</v>
      </c>
      <c r="F193" s="56">
        <v>65</v>
      </c>
      <c r="G193" s="56">
        <f t="shared" si="8"/>
        <v>0</v>
      </c>
    </row>
    <row r="194" spans="1:7" x14ac:dyDescent="0.25">
      <c r="A194" s="53">
        <v>183</v>
      </c>
      <c r="B194" s="54" t="s">
        <v>279</v>
      </c>
      <c r="C194" s="55">
        <v>11</v>
      </c>
      <c r="D194" s="55"/>
      <c r="E194" s="55">
        <f t="shared" si="7"/>
        <v>11</v>
      </c>
      <c r="F194" s="56">
        <v>42</v>
      </c>
      <c r="G194" s="56">
        <f t="shared" si="8"/>
        <v>462</v>
      </c>
    </row>
    <row r="195" spans="1:7" x14ac:dyDescent="0.25">
      <c r="A195" s="53">
        <v>184</v>
      </c>
      <c r="B195" s="54" t="s">
        <v>97</v>
      </c>
      <c r="C195" s="55">
        <f>7.8+7.5+0.65</f>
        <v>15.950000000000001</v>
      </c>
      <c r="D195" s="55"/>
      <c r="E195" s="55">
        <f t="shared" si="7"/>
        <v>15.950000000000001</v>
      </c>
      <c r="F195" s="56">
        <v>105</v>
      </c>
      <c r="G195" s="56">
        <f t="shared" si="8"/>
        <v>1674.75</v>
      </c>
    </row>
    <row r="196" spans="1:7" x14ac:dyDescent="0.25">
      <c r="A196" s="53">
        <v>185</v>
      </c>
      <c r="B196" s="54" t="s">
        <v>78</v>
      </c>
      <c r="C196" s="55">
        <f>30.3+15.25+7.24+2.852</f>
        <v>55.641999999999996</v>
      </c>
      <c r="D196" s="55"/>
      <c r="E196" s="55">
        <f t="shared" si="7"/>
        <v>55.641999999999996</v>
      </c>
      <c r="F196" s="56">
        <v>58</v>
      </c>
      <c r="G196" s="56">
        <f t="shared" si="8"/>
        <v>3227.2359999999999</v>
      </c>
    </row>
    <row r="197" spans="1:7" x14ac:dyDescent="0.25">
      <c r="A197" s="53">
        <v>186</v>
      </c>
      <c r="B197" s="54" t="s">
        <v>76</v>
      </c>
      <c r="C197" s="55">
        <v>6</v>
      </c>
      <c r="D197" s="55"/>
      <c r="E197" s="55">
        <f t="shared" si="7"/>
        <v>6</v>
      </c>
      <c r="F197" s="56">
        <v>40</v>
      </c>
      <c r="G197" s="56">
        <f t="shared" si="8"/>
        <v>240</v>
      </c>
    </row>
    <row r="198" spans="1:7" x14ac:dyDescent="0.25">
      <c r="A198" s="53">
        <v>187</v>
      </c>
      <c r="B198" s="54" t="s">
        <v>19</v>
      </c>
      <c r="C198" s="55">
        <v>2</v>
      </c>
      <c r="D198" s="55"/>
      <c r="E198" s="55">
        <f t="shared" si="7"/>
        <v>2</v>
      </c>
      <c r="F198" s="56">
        <v>115</v>
      </c>
      <c r="G198" s="56">
        <f t="shared" si="8"/>
        <v>230</v>
      </c>
    </row>
    <row r="199" spans="1:7" ht="17.25" customHeight="1" x14ac:dyDescent="0.25">
      <c r="A199" s="53">
        <v>188</v>
      </c>
      <c r="B199" s="54" t="s">
        <v>74</v>
      </c>
      <c r="C199" s="55">
        <v>8</v>
      </c>
      <c r="D199" s="55"/>
      <c r="E199" s="55">
        <f t="shared" si="7"/>
        <v>8</v>
      </c>
      <c r="F199" s="56">
        <v>40</v>
      </c>
      <c r="G199" s="56">
        <f t="shared" si="8"/>
        <v>320</v>
      </c>
    </row>
    <row r="200" spans="1:7" ht="17.25" customHeight="1" x14ac:dyDescent="0.25">
      <c r="A200" s="53">
        <v>189</v>
      </c>
      <c r="B200" s="54" t="s">
        <v>71</v>
      </c>
      <c r="C200" s="55">
        <f>48+16</f>
        <v>64</v>
      </c>
      <c r="D200" s="55"/>
      <c r="E200" s="55">
        <f t="shared" si="7"/>
        <v>64</v>
      </c>
      <c r="F200" s="56">
        <v>35</v>
      </c>
      <c r="G200" s="56">
        <f t="shared" si="8"/>
        <v>2240</v>
      </c>
    </row>
    <row r="201" spans="1:7" ht="17.25" customHeight="1" x14ac:dyDescent="0.25">
      <c r="A201" s="53">
        <v>190</v>
      </c>
      <c r="B201" s="54" t="s">
        <v>72</v>
      </c>
      <c r="C201" s="55">
        <v>4.8849999999999998</v>
      </c>
      <c r="D201" s="55"/>
      <c r="E201" s="55">
        <f t="shared" si="7"/>
        <v>4.8849999999999998</v>
      </c>
      <c r="F201" s="56">
        <v>370</v>
      </c>
      <c r="G201" s="56">
        <f t="shared" si="8"/>
        <v>1807.4499999999998</v>
      </c>
    </row>
    <row r="202" spans="1:7" ht="17.25" customHeight="1" x14ac:dyDescent="0.25">
      <c r="A202" s="53">
        <v>191</v>
      </c>
      <c r="B202" s="54" t="s">
        <v>70</v>
      </c>
      <c r="C202" s="55">
        <v>13.15</v>
      </c>
      <c r="D202" s="55"/>
      <c r="E202" s="55">
        <f t="shared" si="7"/>
        <v>13.15</v>
      </c>
      <c r="F202" s="56">
        <v>280</v>
      </c>
      <c r="G202" s="56">
        <f t="shared" si="8"/>
        <v>3682</v>
      </c>
    </row>
    <row r="203" spans="1:7" ht="17.25" customHeight="1" x14ac:dyDescent="0.25">
      <c r="A203" s="53">
        <v>192</v>
      </c>
      <c r="B203" s="54" t="s">
        <v>375</v>
      </c>
      <c r="C203" s="55">
        <v>21</v>
      </c>
      <c r="D203" s="55"/>
      <c r="E203" s="55">
        <f t="shared" si="7"/>
        <v>21</v>
      </c>
      <c r="F203" s="56">
        <v>475</v>
      </c>
      <c r="G203" s="56">
        <f t="shared" si="8"/>
        <v>9975</v>
      </c>
    </row>
    <row r="204" spans="1:7" ht="17.25" customHeight="1" x14ac:dyDescent="0.25">
      <c r="A204" s="53">
        <v>193</v>
      </c>
      <c r="B204" s="54" t="s">
        <v>332</v>
      </c>
      <c r="C204" s="55">
        <v>1</v>
      </c>
      <c r="D204" s="55"/>
      <c r="E204" s="55">
        <f t="shared" si="7"/>
        <v>1</v>
      </c>
      <c r="F204" s="56">
        <v>245</v>
      </c>
      <c r="G204" s="56">
        <f t="shared" si="8"/>
        <v>245</v>
      </c>
    </row>
    <row r="205" spans="1:7" ht="17.25" customHeight="1" x14ac:dyDescent="0.25">
      <c r="A205" s="53">
        <v>194</v>
      </c>
      <c r="B205" s="54" t="s">
        <v>67</v>
      </c>
      <c r="C205" s="55">
        <v>0</v>
      </c>
      <c r="D205" s="55"/>
      <c r="E205" s="55">
        <f t="shared" si="7"/>
        <v>0</v>
      </c>
      <c r="F205" s="56">
        <v>27</v>
      </c>
      <c r="G205" s="56">
        <f t="shared" si="8"/>
        <v>0</v>
      </c>
    </row>
    <row r="206" spans="1:7" ht="17.25" customHeight="1" x14ac:dyDescent="0.25">
      <c r="A206" s="53">
        <v>195</v>
      </c>
      <c r="B206" s="54" t="s">
        <v>66</v>
      </c>
      <c r="C206" s="55">
        <v>8.56</v>
      </c>
      <c r="D206" s="55"/>
      <c r="E206" s="55">
        <f t="shared" si="7"/>
        <v>8.56</v>
      </c>
      <c r="F206" s="56">
        <v>125</v>
      </c>
      <c r="G206" s="56">
        <f t="shared" si="8"/>
        <v>1070</v>
      </c>
    </row>
    <row r="207" spans="1:7" ht="17.25" customHeight="1" x14ac:dyDescent="0.25">
      <c r="A207" s="53">
        <v>196</v>
      </c>
      <c r="B207" s="54" t="s">
        <v>65</v>
      </c>
      <c r="C207" s="55">
        <v>9</v>
      </c>
      <c r="D207" s="55"/>
      <c r="E207" s="55">
        <f t="shared" si="7"/>
        <v>9</v>
      </c>
      <c r="F207" s="56">
        <v>54</v>
      </c>
      <c r="G207" s="56">
        <f t="shared" si="8"/>
        <v>486</v>
      </c>
    </row>
    <row r="208" spans="1:7" ht="17.25" customHeight="1" x14ac:dyDescent="0.25">
      <c r="A208" s="53">
        <v>197</v>
      </c>
      <c r="B208" s="54" t="s">
        <v>64</v>
      </c>
      <c r="C208" s="55">
        <v>10</v>
      </c>
      <c r="D208" s="55"/>
      <c r="E208" s="55">
        <f t="shared" si="7"/>
        <v>10</v>
      </c>
      <c r="F208" s="56">
        <v>70</v>
      </c>
      <c r="G208" s="56">
        <f t="shared" si="8"/>
        <v>700</v>
      </c>
    </row>
    <row r="209" spans="1:7" ht="17.25" customHeight="1" x14ac:dyDescent="0.25">
      <c r="A209" s="53">
        <v>198</v>
      </c>
      <c r="B209" s="54" t="s">
        <v>63</v>
      </c>
      <c r="C209" s="55">
        <f>3.93+5.86</f>
        <v>9.7900000000000009</v>
      </c>
      <c r="D209" s="55"/>
      <c r="E209" s="55">
        <f t="shared" si="7"/>
        <v>9.7900000000000009</v>
      </c>
      <c r="F209" s="56">
        <v>290</v>
      </c>
      <c r="G209" s="56">
        <f t="shared" si="8"/>
        <v>2839.1000000000004</v>
      </c>
    </row>
    <row r="210" spans="1:7" ht="17.25" customHeight="1" x14ac:dyDescent="0.25">
      <c r="A210" s="53">
        <v>199</v>
      </c>
      <c r="B210" s="54" t="s">
        <v>62</v>
      </c>
      <c r="C210" s="55">
        <v>0</v>
      </c>
      <c r="D210" s="55"/>
      <c r="E210" s="55">
        <f t="shared" si="7"/>
        <v>0</v>
      </c>
      <c r="F210" s="56">
        <v>18</v>
      </c>
      <c r="G210" s="56">
        <f t="shared" si="8"/>
        <v>0</v>
      </c>
    </row>
    <row r="211" spans="1:7" ht="17.25" customHeight="1" x14ac:dyDescent="0.25">
      <c r="A211" s="53">
        <v>200</v>
      </c>
      <c r="B211" s="54" t="s">
        <v>60</v>
      </c>
      <c r="C211" s="55">
        <v>0</v>
      </c>
      <c r="D211" s="55"/>
      <c r="E211" s="55">
        <f t="shared" si="7"/>
        <v>0</v>
      </c>
      <c r="F211" s="56">
        <v>177</v>
      </c>
      <c r="G211" s="56">
        <f t="shared" si="8"/>
        <v>0</v>
      </c>
    </row>
    <row r="212" spans="1:7" ht="17.25" customHeight="1" x14ac:dyDescent="0.25">
      <c r="A212" s="53">
        <v>201</v>
      </c>
      <c r="B212" s="54" t="s">
        <v>59</v>
      </c>
      <c r="C212" s="55">
        <v>118.6</v>
      </c>
      <c r="D212" s="55"/>
      <c r="E212" s="55">
        <f t="shared" si="7"/>
        <v>118.6</v>
      </c>
      <c r="F212" s="56">
        <v>64</v>
      </c>
      <c r="G212" s="56">
        <f t="shared" si="8"/>
        <v>7590.4</v>
      </c>
    </row>
    <row r="213" spans="1:7" ht="17.25" customHeight="1" x14ac:dyDescent="0.25">
      <c r="A213" s="53">
        <v>202</v>
      </c>
      <c r="B213" s="54" t="s">
        <v>376</v>
      </c>
      <c r="C213" s="55">
        <v>41</v>
      </c>
      <c r="D213" s="55"/>
      <c r="E213" s="55">
        <f t="shared" si="7"/>
        <v>41</v>
      </c>
      <c r="F213" s="56">
        <v>145</v>
      </c>
      <c r="G213" s="56">
        <f t="shared" si="8"/>
        <v>5945</v>
      </c>
    </row>
    <row r="214" spans="1:7" ht="17.25" customHeight="1" x14ac:dyDescent="0.25">
      <c r="A214" s="53">
        <v>203</v>
      </c>
      <c r="B214" s="54" t="s">
        <v>57</v>
      </c>
      <c r="C214" s="55">
        <v>611</v>
      </c>
      <c r="D214" s="55">
        <v>22</v>
      </c>
      <c r="E214" s="55">
        <f t="shared" si="7"/>
        <v>562.6</v>
      </c>
      <c r="F214" s="56">
        <v>56</v>
      </c>
      <c r="G214" s="56">
        <f t="shared" si="8"/>
        <v>31505.600000000002</v>
      </c>
    </row>
    <row r="215" spans="1:7" ht="17.25" customHeight="1" x14ac:dyDescent="0.25">
      <c r="A215" s="53">
        <v>204</v>
      </c>
      <c r="B215" s="54" t="s">
        <v>56</v>
      </c>
      <c r="C215" s="60">
        <f>329+916.59+673</f>
        <v>1918.5900000000001</v>
      </c>
      <c r="D215" s="60"/>
      <c r="E215" s="55">
        <f t="shared" si="7"/>
        <v>1918.5900000000001</v>
      </c>
      <c r="F215" s="56">
        <v>177</v>
      </c>
      <c r="G215" s="56">
        <f t="shared" si="8"/>
        <v>339590.43000000005</v>
      </c>
    </row>
    <row r="216" spans="1:7" ht="17.25" customHeight="1" x14ac:dyDescent="0.25">
      <c r="A216" s="53">
        <v>205</v>
      </c>
      <c r="B216" s="54" t="s">
        <v>50</v>
      </c>
      <c r="C216" s="55">
        <v>0</v>
      </c>
      <c r="D216" s="55"/>
      <c r="E216" s="55">
        <f t="shared" si="7"/>
        <v>0</v>
      </c>
      <c r="F216" s="56">
        <v>160</v>
      </c>
      <c r="G216" s="56">
        <f t="shared" si="8"/>
        <v>0</v>
      </c>
    </row>
    <row r="217" spans="1:7" ht="17.25" customHeight="1" x14ac:dyDescent="0.25">
      <c r="A217" s="53">
        <v>206</v>
      </c>
      <c r="B217" s="54" t="s">
        <v>49</v>
      </c>
      <c r="C217" s="55">
        <v>0</v>
      </c>
      <c r="D217" s="55"/>
      <c r="E217" s="55">
        <f t="shared" si="7"/>
        <v>0</v>
      </c>
      <c r="F217" s="56">
        <v>78</v>
      </c>
      <c r="G217" s="56">
        <f t="shared" si="8"/>
        <v>0</v>
      </c>
    </row>
    <row r="218" spans="1:7" ht="17.25" customHeight="1" x14ac:dyDescent="0.25">
      <c r="A218" s="53">
        <v>207</v>
      </c>
      <c r="B218" s="54" t="s">
        <v>335</v>
      </c>
      <c r="C218" s="55">
        <f>12.62-3.9</f>
        <v>8.7199999999999989</v>
      </c>
      <c r="D218" s="55"/>
      <c r="E218" s="55">
        <f t="shared" si="7"/>
        <v>8.7199999999999989</v>
      </c>
      <c r="F218" s="56">
        <v>90</v>
      </c>
      <c r="G218" s="56">
        <f t="shared" si="8"/>
        <v>784.8</v>
      </c>
    </row>
    <row r="219" spans="1:7" ht="17.25" customHeight="1" x14ac:dyDescent="0.25">
      <c r="A219" s="53">
        <v>208</v>
      </c>
      <c r="B219" s="54" t="s">
        <v>47</v>
      </c>
      <c r="C219" s="55">
        <v>0</v>
      </c>
      <c r="D219" s="55"/>
      <c r="E219" s="55">
        <f t="shared" si="7"/>
        <v>0</v>
      </c>
      <c r="F219" s="56">
        <v>74</v>
      </c>
      <c r="G219" s="56">
        <f t="shared" si="8"/>
        <v>0</v>
      </c>
    </row>
    <row r="220" spans="1:7" ht="17.25" customHeight="1" x14ac:dyDescent="0.25">
      <c r="A220" s="53">
        <v>209</v>
      </c>
      <c r="B220" s="54" t="s">
        <v>46</v>
      </c>
      <c r="C220" s="55">
        <v>33</v>
      </c>
      <c r="D220" s="55"/>
      <c r="E220" s="55">
        <f t="shared" si="7"/>
        <v>33</v>
      </c>
      <c r="F220" s="56">
        <v>28</v>
      </c>
      <c r="G220" s="56">
        <f t="shared" si="8"/>
        <v>924</v>
      </c>
    </row>
    <row r="221" spans="1:7" ht="17.25" customHeight="1" x14ac:dyDescent="0.25">
      <c r="A221" s="53">
        <v>210</v>
      </c>
      <c r="B221" s="54" t="s">
        <v>44</v>
      </c>
      <c r="C221" s="55">
        <f>75.7+14+3.28+11.68-2.2</f>
        <v>102.46</v>
      </c>
      <c r="D221" s="55">
        <v>1</v>
      </c>
      <c r="E221" s="55">
        <f t="shared" si="7"/>
        <v>100.25999999999999</v>
      </c>
      <c r="F221" s="56">
        <v>105</v>
      </c>
      <c r="G221" s="56">
        <f t="shared" si="8"/>
        <v>10527.3</v>
      </c>
    </row>
    <row r="222" spans="1:7" ht="17.25" customHeight="1" x14ac:dyDescent="0.25">
      <c r="A222" s="53">
        <v>211</v>
      </c>
      <c r="B222" s="54" t="s">
        <v>43</v>
      </c>
      <c r="C222" s="55">
        <f>17.3+6.56</f>
        <v>23.86</v>
      </c>
      <c r="D222" s="55"/>
      <c r="E222" s="55">
        <f t="shared" si="7"/>
        <v>23.86</v>
      </c>
      <c r="F222" s="56">
        <v>125</v>
      </c>
      <c r="G222" s="56">
        <f t="shared" si="8"/>
        <v>2982.5</v>
      </c>
    </row>
    <row r="223" spans="1:7" ht="15.75" thickBot="1" x14ac:dyDescent="0.3">
      <c r="A223" s="53"/>
      <c r="B223" s="57" t="s">
        <v>17</v>
      </c>
      <c r="C223" s="15">
        <f>SUM(C183:C222)</f>
        <v>4091.7069999999999</v>
      </c>
      <c r="D223" s="74" t="s">
        <v>402</v>
      </c>
      <c r="E223" s="15">
        <f>SUM(E183:E222)</f>
        <v>4019.1069999999995</v>
      </c>
      <c r="F223" s="38"/>
      <c r="G223" s="36">
        <f>SUM(G183:G222)</f>
        <v>542345.7860000002</v>
      </c>
    </row>
    <row r="224" spans="1:7" ht="28.5" customHeight="1" thickBot="1" x14ac:dyDescent="0.3">
      <c r="A224" s="58"/>
      <c r="B224" s="50" t="s">
        <v>1</v>
      </c>
      <c r="C224" s="51" t="s">
        <v>2</v>
      </c>
      <c r="D224" s="51" t="s">
        <v>371</v>
      </c>
      <c r="E224" s="72" t="s">
        <v>372</v>
      </c>
      <c r="F224" s="51" t="s">
        <v>3</v>
      </c>
      <c r="G224" s="52" t="s">
        <v>4</v>
      </c>
    </row>
    <row r="225" spans="1:7" ht="17.25" customHeight="1" x14ac:dyDescent="0.25">
      <c r="A225" s="53">
        <v>212</v>
      </c>
      <c r="B225" s="54" t="s">
        <v>347</v>
      </c>
      <c r="C225" s="55">
        <f>5.14+2</f>
        <v>7.14</v>
      </c>
      <c r="D225" s="55"/>
      <c r="E225" s="55">
        <f t="shared" ref="E225:E288" si="9">C225-(D225*2.2)</f>
        <v>7.14</v>
      </c>
      <c r="F225" s="56">
        <v>570</v>
      </c>
      <c r="G225" s="56">
        <f>F225*E225</f>
        <v>4069.7999999999997</v>
      </c>
    </row>
    <row r="226" spans="1:7" ht="17.25" customHeight="1" x14ac:dyDescent="0.25">
      <c r="A226" s="53">
        <v>213</v>
      </c>
      <c r="B226" s="54" t="s">
        <v>42</v>
      </c>
      <c r="C226" s="55">
        <v>16</v>
      </c>
      <c r="D226" s="55"/>
      <c r="E226" s="55">
        <f t="shared" si="9"/>
        <v>16</v>
      </c>
      <c r="F226" s="56">
        <v>24</v>
      </c>
      <c r="G226" s="56">
        <f t="shared" ref="G226:G266" si="10">F226*E226</f>
        <v>384</v>
      </c>
    </row>
    <row r="227" spans="1:7" ht="17.25" customHeight="1" x14ac:dyDescent="0.25">
      <c r="A227" s="53">
        <v>214</v>
      </c>
      <c r="B227" s="54" t="s">
        <v>30</v>
      </c>
      <c r="C227" s="55">
        <v>0</v>
      </c>
      <c r="D227" s="55"/>
      <c r="E227" s="55">
        <f t="shared" si="9"/>
        <v>0</v>
      </c>
      <c r="F227" s="56">
        <v>430</v>
      </c>
      <c r="G227" s="56">
        <f t="shared" si="10"/>
        <v>0</v>
      </c>
    </row>
    <row r="228" spans="1:7" ht="17.25" customHeight="1" x14ac:dyDescent="0.25">
      <c r="A228" s="53">
        <v>215</v>
      </c>
      <c r="B228" s="54" t="s">
        <v>29</v>
      </c>
      <c r="C228" s="55">
        <f>2.06+2.74</f>
        <v>4.8000000000000007</v>
      </c>
      <c r="D228" s="55"/>
      <c r="E228" s="55">
        <f t="shared" si="9"/>
        <v>4.8000000000000007</v>
      </c>
      <c r="F228" s="56">
        <v>184</v>
      </c>
      <c r="G228" s="56">
        <f t="shared" si="10"/>
        <v>883.20000000000016</v>
      </c>
    </row>
    <row r="229" spans="1:7" ht="17.25" customHeight="1" x14ac:dyDescent="0.25">
      <c r="A229" s="53">
        <v>216</v>
      </c>
      <c r="B229" s="54" t="s">
        <v>333</v>
      </c>
      <c r="C229" s="55">
        <v>2</v>
      </c>
      <c r="D229" s="55"/>
      <c r="E229" s="55">
        <f t="shared" si="9"/>
        <v>2</v>
      </c>
      <c r="F229" s="56">
        <v>220</v>
      </c>
      <c r="G229" s="56">
        <f t="shared" si="10"/>
        <v>440</v>
      </c>
    </row>
    <row r="230" spans="1:7" ht="17.25" customHeight="1" x14ac:dyDescent="0.25">
      <c r="A230" s="53">
        <v>217</v>
      </c>
      <c r="B230" s="54" t="s">
        <v>98</v>
      </c>
      <c r="C230" s="55">
        <v>10.3</v>
      </c>
      <c r="D230" s="55"/>
      <c r="E230" s="55">
        <f t="shared" si="9"/>
        <v>10.3</v>
      </c>
      <c r="F230" s="56">
        <v>50</v>
      </c>
      <c r="G230" s="56">
        <f t="shared" si="10"/>
        <v>515</v>
      </c>
    </row>
    <row r="231" spans="1:7" ht="17.25" customHeight="1" x14ac:dyDescent="0.25">
      <c r="A231" s="53">
        <v>218</v>
      </c>
      <c r="B231" s="54" t="s">
        <v>99</v>
      </c>
      <c r="C231" s="55">
        <v>5.4</v>
      </c>
      <c r="D231" s="55"/>
      <c r="E231" s="55">
        <f t="shared" si="9"/>
        <v>5.4</v>
      </c>
      <c r="F231" s="56">
        <v>50</v>
      </c>
      <c r="G231" s="56">
        <f t="shared" si="10"/>
        <v>270</v>
      </c>
    </row>
    <row r="232" spans="1:7" ht="17.25" customHeight="1" x14ac:dyDescent="0.25">
      <c r="A232" s="53">
        <v>219</v>
      </c>
      <c r="B232" s="54" t="s">
        <v>95</v>
      </c>
      <c r="C232" s="55">
        <f>1.65+3.064</f>
        <v>4.7140000000000004</v>
      </c>
      <c r="D232" s="55"/>
      <c r="E232" s="55">
        <f t="shared" si="9"/>
        <v>4.7140000000000004</v>
      </c>
      <c r="F232" s="56">
        <v>440</v>
      </c>
      <c r="G232" s="56">
        <f t="shared" si="10"/>
        <v>2074.1600000000003</v>
      </c>
    </row>
    <row r="233" spans="1:7" s="63" customFormat="1" ht="17.25" customHeight="1" x14ac:dyDescent="0.25">
      <c r="A233" s="53">
        <v>220</v>
      </c>
      <c r="B233" s="61" t="s">
        <v>27</v>
      </c>
      <c r="C233" s="60">
        <v>0</v>
      </c>
      <c r="D233" s="60"/>
      <c r="E233" s="55">
        <f t="shared" si="9"/>
        <v>0</v>
      </c>
      <c r="F233" s="62">
        <v>72</v>
      </c>
      <c r="G233" s="56">
        <f t="shared" si="10"/>
        <v>0</v>
      </c>
    </row>
    <row r="234" spans="1:7" s="63" customFormat="1" ht="17.25" customHeight="1" x14ac:dyDescent="0.25">
      <c r="A234" s="53">
        <v>221</v>
      </c>
      <c r="B234" s="75" t="s">
        <v>426</v>
      </c>
      <c r="C234" s="60">
        <f>19.2+4.678</f>
        <v>23.878</v>
      </c>
      <c r="D234" s="60"/>
      <c r="E234" s="55">
        <f t="shared" si="9"/>
        <v>23.878</v>
      </c>
      <c r="F234" s="62">
        <v>168</v>
      </c>
      <c r="G234" s="56">
        <f t="shared" si="10"/>
        <v>4011.5039999999999</v>
      </c>
    </row>
    <row r="235" spans="1:7" ht="17.25" customHeight="1" x14ac:dyDescent="0.25">
      <c r="A235" s="53">
        <v>222</v>
      </c>
      <c r="B235" s="54" t="s">
        <v>25</v>
      </c>
      <c r="C235" s="55">
        <f>9.545+18.23</f>
        <v>27.774999999999999</v>
      </c>
      <c r="D235" s="55"/>
      <c r="E235" s="55">
        <f t="shared" si="9"/>
        <v>27.774999999999999</v>
      </c>
      <c r="F235" s="56">
        <v>140</v>
      </c>
      <c r="G235" s="56">
        <f t="shared" si="10"/>
        <v>3888.5</v>
      </c>
    </row>
    <row r="236" spans="1:7" x14ac:dyDescent="0.25">
      <c r="A236" s="53">
        <v>223</v>
      </c>
      <c r="B236" s="54" t="s">
        <v>24</v>
      </c>
      <c r="C236" s="55">
        <f>3.482+0.812</f>
        <v>4.2940000000000005</v>
      </c>
      <c r="D236" s="55"/>
      <c r="E236" s="55">
        <f t="shared" si="9"/>
        <v>4.2940000000000005</v>
      </c>
      <c r="F236" s="56">
        <v>210</v>
      </c>
      <c r="G236" s="56">
        <f t="shared" si="10"/>
        <v>901.74000000000012</v>
      </c>
    </row>
    <row r="237" spans="1:7" x14ac:dyDescent="0.25">
      <c r="A237" s="53">
        <v>224</v>
      </c>
      <c r="B237" s="54" t="s">
        <v>185</v>
      </c>
      <c r="C237" s="55">
        <v>14.5</v>
      </c>
      <c r="D237" s="55">
        <v>1</v>
      </c>
      <c r="E237" s="55">
        <f t="shared" si="9"/>
        <v>12.3</v>
      </c>
      <c r="F237" s="56">
        <v>10</v>
      </c>
      <c r="G237" s="56">
        <f t="shared" si="10"/>
        <v>123</v>
      </c>
    </row>
    <row r="238" spans="1:7" x14ac:dyDescent="0.25">
      <c r="A238" s="53">
        <v>225</v>
      </c>
      <c r="B238" s="54" t="s">
        <v>186</v>
      </c>
      <c r="C238" s="55">
        <v>0</v>
      </c>
      <c r="D238" s="55"/>
      <c r="E238" s="55">
        <f t="shared" si="9"/>
        <v>0</v>
      </c>
      <c r="F238" s="56">
        <v>90</v>
      </c>
      <c r="G238" s="56">
        <f t="shared" si="10"/>
        <v>0</v>
      </c>
    </row>
    <row r="239" spans="1:7" x14ac:dyDescent="0.25">
      <c r="A239" s="53">
        <v>226</v>
      </c>
      <c r="B239" s="54" t="s">
        <v>187</v>
      </c>
      <c r="C239" s="55">
        <f>18.66-2.2</f>
        <v>16.46</v>
      </c>
      <c r="D239" s="55"/>
      <c r="E239" s="55">
        <f t="shared" si="9"/>
        <v>16.46</v>
      </c>
      <c r="F239" s="56">
        <v>350</v>
      </c>
      <c r="G239" s="56">
        <f t="shared" si="10"/>
        <v>5761</v>
      </c>
    </row>
    <row r="240" spans="1:7" x14ac:dyDescent="0.25">
      <c r="A240" s="53">
        <v>227</v>
      </c>
      <c r="B240" s="54" t="s">
        <v>188</v>
      </c>
      <c r="C240" s="55">
        <v>23</v>
      </c>
      <c r="D240" s="55">
        <v>2</v>
      </c>
      <c r="E240" s="55">
        <f t="shared" si="9"/>
        <v>18.600000000000001</v>
      </c>
      <c r="F240" s="56">
        <v>170</v>
      </c>
      <c r="G240" s="56">
        <f t="shared" si="10"/>
        <v>3162.0000000000005</v>
      </c>
    </row>
    <row r="241" spans="1:10" x14ac:dyDescent="0.25">
      <c r="A241" s="53">
        <v>228</v>
      </c>
      <c r="B241" s="54" t="s">
        <v>382</v>
      </c>
      <c r="C241" s="55">
        <f>4.04-0.34+4.91</f>
        <v>8.61</v>
      </c>
      <c r="D241" s="55"/>
      <c r="E241" s="55">
        <f t="shared" si="9"/>
        <v>8.61</v>
      </c>
      <c r="F241" s="56">
        <v>745</v>
      </c>
      <c r="G241" s="56">
        <f t="shared" si="10"/>
        <v>6414.45</v>
      </c>
    </row>
    <row r="242" spans="1:10" x14ac:dyDescent="0.25">
      <c r="A242" s="53">
        <v>229</v>
      </c>
      <c r="B242" s="54" t="s">
        <v>190</v>
      </c>
      <c r="C242" s="55">
        <v>7.76</v>
      </c>
      <c r="D242" s="55"/>
      <c r="E242" s="55">
        <f t="shared" si="9"/>
        <v>7.76</v>
      </c>
      <c r="F242" s="56">
        <v>180</v>
      </c>
      <c r="G242" s="56">
        <f t="shared" si="10"/>
        <v>1396.8</v>
      </c>
    </row>
    <row r="243" spans="1:10" x14ac:dyDescent="0.25">
      <c r="A243" s="53">
        <v>230</v>
      </c>
      <c r="B243" s="54" t="s">
        <v>191</v>
      </c>
      <c r="C243" s="55">
        <v>9.64</v>
      </c>
      <c r="D243" s="55"/>
      <c r="E243" s="55">
        <f t="shared" si="9"/>
        <v>9.64</v>
      </c>
      <c r="F243" s="56">
        <v>555</v>
      </c>
      <c r="G243" s="56">
        <f t="shared" si="10"/>
        <v>5350.2000000000007</v>
      </c>
    </row>
    <row r="244" spans="1:10" x14ac:dyDescent="0.25">
      <c r="A244" s="53">
        <v>231</v>
      </c>
      <c r="B244" s="54" t="s">
        <v>192</v>
      </c>
      <c r="C244" s="64">
        <f>4.62-0.39</f>
        <v>4.2300000000000004</v>
      </c>
      <c r="D244" s="64"/>
      <c r="E244" s="55">
        <f t="shared" si="9"/>
        <v>4.2300000000000004</v>
      </c>
      <c r="F244" s="56">
        <v>587</v>
      </c>
      <c r="G244" s="56">
        <f t="shared" si="10"/>
        <v>2483.0100000000002</v>
      </c>
    </row>
    <row r="245" spans="1:10" x14ac:dyDescent="0.25">
      <c r="A245" s="53">
        <v>232</v>
      </c>
      <c r="B245" s="54" t="s">
        <v>193</v>
      </c>
      <c r="C245" s="55">
        <f>5.3-0.39+5.04</f>
        <v>9.9499999999999993</v>
      </c>
      <c r="D245" s="55"/>
      <c r="E245" s="55">
        <f t="shared" si="9"/>
        <v>9.9499999999999993</v>
      </c>
      <c r="F245" s="56">
        <v>341</v>
      </c>
      <c r="G245" s="56">
        <f t="shared" si="10"/>
        <v>3392.95</v>
      </c>
    </row>
    <row r="246" spans="1:10" x14ac:dyDescent="0.25">
      <c r="A246" s="53">
        <v>233</v>
      </c>
      <c r="B246" s="54" t="s">
        <v>194</v>
      </c>
      <c r="C246" s="55">
        <v>0</v>
      </c>
      <c r="D246" s="55"/>
      <c r="E246" s="55">
        <f t="shared" si="9"/>
        <v>0</v>
      </c>
      <c r="F246" s="56">
        <v>659</v>
      </c>
      <c r="G246" s="56">
        <f t="shared" si="10"/>
        <v>0</v>
      </c>
    </row>
    <row r="247" spans="1:10" x14ac:dyDescent="0.25">
      <c r="A247" s="53">
        <v>234</v>
      </c>
      <c r="B247" s="54" t="s">
        <v>195</v>
      </c>
      <c r="C247" s="55">
        <f>2.84-0.34</f>
        <v>2.5</v>
      </c>
      <c r="D247" s="55"/>
      <c r="E247" s="55">
        <f t="shared" si="9"/>
        <v>2.5</v>
      </c>
      <c r="F247" s="56">
        <v>689</v>
      </c>
      <c r="G247" s="56">
        <f t="shared" si="10"/>
        <v>1722.5</v>
      </c>
    </row>
    <row r="248" spans="1:10" x14ac:dyDescent="0.25">
      <c r="A248" s="53">
        <v>235</v>
      </c>
      <c r="B248" s="54" t="s">
        <v>126</v>
      </c>
      <c r="C248" s="55">
        <v>3.4</v>
      </c>
      <c r="D248" s="55"/>
      <c r="E248" s="55">
        <f t="shared" si="9"/>
        <v>3.4</v>
      </c>
      <c r="F248" s="56">
        <v>810</v>
      </c>
      <c r="G248" s="56">
        <f t="shared" si="10"/>
        <v>2754</v>
      </c>
    </row>
    <row r="249" spans="1:10" x14ac:dyDescent="0.25">
      <c r="A249" s="53">
        <v>236</v>
      </c>
      <c r="B249" s="54" t="s">
        <v>125</v>
      </c>
      <c r="C249" s="55">
        <v>10.06</v>
      </c>
      <c r="D249" s="55"/>
      <c r="E249" s="55">
        <f t="shared" si="9"/>
        <v>10.06</v>
      </c>
      <c r="F249" s="56">
        <v>741</v>
      </c>
      <c r="G249" s="56">
        <f t="shared" si="10"/>
        <v>7454.46</v>
      </c>
    </row>
    <row r="250" spans="1:10" x14ac:dyDescent="0.25">
      <c r="A250" s="53">
        <v>237</v>
      </c>
      <c r="B250" s="54" t="s">
        <v>124</v>
      </c>
      <c r="C250" s="55">
        <f>6.5+14</f>
        <v>20.5</v>
      </c>
      <c r="D250" s="55">
        <v>2</v>
      </c>
      <c r="E250" s="55">
        <f t="shared" si="9"/>
        <v>16.100000000000001</v>
      </c>
      <c r="F250" s="56">
        <v>152</v>
      </c>
      <c r="G250" s="56">
        <f t="shared" si="10"/>
        <v>2447.2000000000003</v>
      </c>
    </row>
    <row r="251" spans="1:10" x14ac:dyDescent="0.25">
      <c r="A251" s="53">
        <v>238</v>
      </c>
      <c r="B251" s="54" t="s">
        <v>123</v>
      </c>
      <c r="C251" s="55">
        <v>0</v>
      </c>
      <c r="D251" s="55"/>
      <c r="E251" s="55">
        <f t="shared" si="9"/>
        <v>0</v>
      </c>
      <c r="F251" s="56">
        <v>174</v>
      </c>
      <c r="G251" s="56">
        <f t="shared" si="10"/>
        <v>0</v>
      </c>
    </row>
    <row r="252" spans="1:10" x14ac:dyDescent="0.25">
      <c r="A252" s="53">
        <v>239</v>
      </c>
      <c r="B252" s="54" t="s">
        <v>122</v>
      </c>
      <c r="C252" s="55">
        <v>136.4</v>
      </c>
      <c r="D252" s="55"/>
      <c r="E252" s="55">
        <f t="shared" si="9"/>
        <v>136.4</v>
      </c>
      <c r="F252" s="56">
        <v>350</v>
      </c>
      <c r="G252" s="56">
        <f t="shared" si="10"/>
        <v>47740</v>
      </c>
    </row>
    <row r="253" spans="1:10" x14ac:dyDescent="0.25">
      <c r="A253" s="53">
        <v>240</v>
      </c>
      <c r="B253" s="54" t="s">
        <v>121</v>
      </c>
      <c r="C253" s="55">
        <v>4.83</v>
      </c>
      <c r="D253" s="55"/>
      <c r="E253" s="55">
        <f t="shared" si="9"/>
        <v>4.83</v>
      </c>
      <c r="F253" s="56">
        <v>644</v>
      </c>
      <c r="G253" s="56">
        <f t="shared" si="10"/>
        <v>3110.52</v>
      </c>
    </row>
    <row r="254" spans="1:10" x14ac:dyDescent="0.25">
      <c r="A254" s="53">
        <v>241</v>
      </c>
      <c r="B254" s="54" t="s">
        <v>120</v>
      </c>
      <c r="C254" s="55">
        <v>20.239999999999998</v>
      </c>
      <c r="D254" s="55"/>
      <c r="E254" s="55">
        <f t="shared" si="9"/>
        <v>20.239999999999998</v>
      </c>
      <c r="F254" s="56">
        <v>435</v>
      </c>
      <c r="G254" s="56">
        <f t="shared" si="10"/>
        <v>8804.4</v>
      </c>
    </row>
    <row r="255" spans="1:10" x14ac:dyDescent="0.25">
      <c r="A255" s="53">
        <v>242</v>
      </c>
      <c r="B255" s="54" t="s">
        <v>119</v>
      </c>
      <c r="C255" s="55">
        <f>38+3.82</f>
        <v>41.82</v>
      </c>
      <c r="D255" s="55">
        <v>2</v>
      </c>
      <c r="E255" s="55">
        <f t="shared" si="9"/>
        <v>37.42</v>
      </c>
      <c r="F255" s="56">
        <v>95</v>
      </c>
      <c r="G255" s="56">
        <f t="shared" si="10"/>
        <v>3554.9</v>
      </c>
    </row>
    <row r="256" spans="1:10" x14ac:dyDescent="0.25">
      <c r="A256" s="53">
        <v>243</v>
      </c>
      <c r="B256" s="54" t="s">
        <v>286</v>
      </c>
      <c r="C256" s="55">
        <v>8</v>
      </c>
      <c r="D256" s="55"/>
      <c r="E256" s="55">
        <f t="shared" si="9"/>
        <v>8</v>
      </c>
      <c r="F256" s="56">
        <v>28</v>
      </c>
      <c r="G256" s="56">
        <f t="shared" si="10"/>
        <v>224</v>
      </c>
      <c r="J256" s="18" t="s">
        <v>425</v>
      </c>
    </row>
    <row r="257" spans="1:7" x14ac:dyDescent="0.25">
      <c r="A257" s="53">
        <v>244</v>
      </c>
      <c r="B257" s="54" t="s">
        <v>118</v>
      </c>
      <c r="C257" s="55">
        <v>0</v>
      </c>
      <c r="D257" s="55"/>
      <c r="E257" s="55">
        <f t="shared" si="9"/>
        <v>0</v>
      </c>
      <c r="F257" s="56">
        <v>442</v>
      </c>
      <c r="G257" s="56">
        <f t="shared" si="10"/>
        <v>0</v>
      </c>
    </row>
    <row r="258" spans="1:7" x14ac:dyDescent="0.25">
      <c r="A258" s="53">
        <v>245</v>
      </c>
      <c r="B258" s="54" t="s">
        <v>116</v>
      </c>
      <c r="C258" s="55">
        <v>78.3</v>
      </c>
      <c r="D258" s="55"/>
      <c r="E258" s="55">
        <f t="shared" si="9"/>
        <v>78.3</v>
      </c>
      <c r="F258" s="56">
        <v>144</v>
      </c>
      <c r="G258" s="56">
        <f t="shared" si="10"/>
        <v>11275.199999999999</v>
      </c>
    </row>
    <row r="259" spans="1:7" x14ac:dyDescent="0.25">
      <c r="A259" s="53">
        <v>246</v>
      </c>
      <c r="B259" s="45" t="s">
        <v>115</v>
      </c>
      <c r="C259" s="55">
        <v>0</v>
      </c>
      <c r="D259" s="55"/>
      <c r="E259" s="55">
        <f t="shared" si="9"/>
        <v>0</v>
      </c>
      <c r="F259" s="56">
        <v>600</v>
      </c>
      <c r="G259" s="56">
        <f t="shared" si="10"/>
        <v>0</v>
      </c>
    </row>
    <row r="260" spans="1:7" x14ac:dyDescent="0.25">
      <c r="A260" s="53">
        <v>247</v>
      </c>
      <c r="B260" s="45" t="s">
        <v>114</v>
      </c>
      <c r="C260" s="55">
        <v>0</v>
      </c>
      <c r="D260" s="55"/>
      <c r="E260" s="55">
        <f t="shared" si="9"/>
        <v>0</v>
      </c>
      <c r="F260" s="56">
        <v>900</v>
      </c>
      <c r="G260" s="56">
        <f t="shared" si="10"/>
        <v>0</v>
      </c>
    </row>
    <row r="261" spans="1:7" x14ac:dyDescent="0.25">
      <c r="A261" s="53">
        <v>248</v>
      </c>
      <c r="B261" s="45" t="s">
        <v>113</v>
      </c>
      <c r="C261" s="55">
        <v>0</v>
      </c>
      <c r="D261" s="55"/>
      <c r="E261" s="55">
        <f t="shared" si="9"/>
        <v>0</v>
      </c>
      <c r="F261" s="56">
        <v>400</v>
      </c>
      <c r="G261" s="56">
        <f t="shared" si="10"/>
        <v>0</v>
      </c>
    </row>
    <row r="262" spans="1:7" x14ac:dyDescent="0.25">
      <c r="A262" s="53">
        <v>249</v>
      </c>
      <c r="B262" s="54" t="s">
        <v>112</v>
      </c>
      <c r="C262" s="55">
        <v>0</v>
      </c>
      <c r="D262" s="55"/>
      <c r="E262" s="55">
        <f t="shared" si="9"/>
        <v>0</v>
      </c>
      <c r="F262" s="56">
        <v>79</v>
      </c>
      <c r="G262" s="56">
        <f t="shared" si="10"/>
        <v>0</v>
      </c>
    </row>
    <row r="263" spans="1:7" x14ac:dyDescent="0.25">
      <c r="A263" s="53">
        <v>250</v>
      </c>
      <c r="B263" s="54" t="s">
        <v>111</v>
      </c>
      <c r="C263" s="55">
        <v>0</v>
      </c>
      <c r="D263" s="55"/>
      <c r="E263" s="55">
        <f t="shared" si="9"/>
        <v>0</v>
      </c>
      <c r="F263" s="56">
        <v>67</v>
      </c>
      <c r="G263" s="56">
        <f t="shared" si="10"/>
        <v>0</v>
      </c>
    </row>
    <row r="264" spans="1:7" x14ac:dyDescent="0.25">
      <c r="A264" s="53">
        <v>251</v>
      </c>
      <c r="B264" s="54" t="s">
        <v>110</v>
      </c>
      <c r="C264" s="55">
        <v>0</v>
      </c>
      <c r="D264" s="55"/>
      <c r="E264" s="55">
        <f t="shared" si="9"/>
        <v>0</v>
      </c>
      <c r="F264" s="56">
        <v>125</v>
      </c>
      <c r="G264" s="56">
        <f t="shared" si="10"/>
        <v>0</v>
      </c>
    </row>
    <row r="265" spans="1:7" x14ac:dyDescent="0.25">
      <c r="A265" s="53">
        <v>252</v>
      </c>
      <c r="B265" s="54" t="s">
        <v>276</v>
      </c>
      <c r="C265" s="55">
        <f>1.44+3.982</f>
        <v>5.4220000000000006</v>
      </c>
      <c r="D265" s="55"/>
      <c r="E265" s="55">
        <f t="shared" si="9"/>
        <v>5.4220000000000006</v>
      </c>
      <c r="F265" s="56">
        <v>80</v>
      </c>
      <c r="G265" s="56">
        <f t="shared" si="10"/>
        <v>433.76000000000005</v>
      </c>
    </row>
    <row r="266" spans="1:7" x14ac:dyDescent="0.25">
      <c r="A266" s="53">
        <v>253</v>
      </c>
      <c r="B266" s="54" t="s">
        <v>350</v>
      </c>
      <c r="C266" s="55">
        <v>2</v>
      </c>
      <c r="D266" s="55"/>
      <c r="E266" s="55">
        <f t="shared" si="9"/>
        <v>2</v>
      </c>
      <c r="F266" s="56">
        <v>50</v>
      </c>
      <c r="G266" s="56">
        <f t="shared" si="10"/>
        <v>100</v>
      </c>
    </row>
    <row r="267" spans="1:7" ht="15.75" thickBot="1" x14ac:dyDescent="0.3">
      <c r="A267" s="53"/>
      <c r="B267" s="57" t="s">
        <v>17</v>
      </c>
      <c r="C267" s="15">
        <f>SUM(C225:C266)</f>
        <v>533.92299999999989</v>
      </c>
      <c r="D267" s="74" t="s">
        <v>402</v>
      </c>
      <c r="E267" s="15">
        <f>SUM(E225:E266)</f>
        <v>518.52300000000002</v>
      </c>
      <c r="F267" s="38"/>
      <c r="G267" s="36">
        <f>SUM(G225:G266)</f>
        <v>135142.25400000002</v>
      </c>
    </row>
    <row r="268" spans="1:7" ht="31.5" customHeight="1" thickBot="1" x14ac:dyDescent="0.3">
      <c r="A268" s="58"/>
      <c r="B268" s="50" t="s">
        <v>1</v>
      </c>
      <c r="C268" s="51" t="s">
        <v>2</v>
      </c>
      <c r="D268" s="51" t="s">
        <v>371</v>
      </c>
      <c r="E268" s="72" t="s">
        <v>372</v>
      </c>
      <c r="F268" s="51" t="s">
        <v>3</v>
      </c>
      <c r="G268" s="52" t="s">
        <v>4</v>
      </c>
    </row>
    <row r="269" spans="1:7" x14ac:dyDescent="0.25">
      <c r="A269" s="53">
        <v>254</v>
      </c>
      <c r="B269" s="54" t="s">
        <v>278</v>
      </c>
      <c r="C269" s="55">
        <v>15.11</v>
      </c>
      <c r="D269" s="55"/>
      <c r="E269" s="55">
        <f t="shared" si="9"/>
        <v>15.11</v>
      </c>
      <c r="F269" s="56">
        <v>120</v>
      </c>
      <c r="G269" s="56">
        <f>F269*E269</f>
        <v>1813.1999999999998</v>
      </c>
    </row>
    <row r="270" spans="1:7" x14ac:dyDescent="0.25">
      <c r="A270" s="53">
        <v>255</v>
      </c>
      <c r="B270" s="54" t="s">
        <v>280</v>
      </c>
      <c r="C270" s="55">
        <v>10</v>
      </c>
      <c r="D270" s="55"/>
      <c r="E270" s="55">
        <f t="shared" si="9"/>
        <v>10</v>
      </c>
      <c r="F270" s="56">
        <v>94</v>
      </c>
      <c r="G270" s="56">
        <f t="shared" ref="G270:G310" si="11">F270*E270</f>
        <v>940</v>
      </c>
    </row>
    <row r="271" spans="1:7" x14ac:dyDescent="0.25">
      <c r="A271" s="53">
        <v>256</v>
      </c>
      <c r="B271" s="54" t="s">
        <v>429</v>
      </c>
      <c r="C271" s="55">
        <v>115.5</v>
      </c>
      <c r="D271" s="55">
        <v>5</v>
      </c>
      <c r="E271" s="55">
        <f t="shared" si="9"/>
        <v>104.5</v>
      </c>
      <c r="F271" s="56">
        <v>195</v>
      </c>
      <c r="G271" s="56">
        <f t="shared" si="11"/>
        <v>20377.5</v>
      </c>
    </row>
    <row r="272" spans="1:7" x14ac:dyDescent="0.25">
      <c r="A272" s="53">
        <v>257</v>
      </c>
      <c r="B272" s="54" t="s">
        <v>430</v>
      </c>
      <c r="C272" s="55">
        <v>8</v>
      </c>
      <c r="D272" s="55">
        <v>1</v>
      </c>
      <c r="E272" s="55">
        <f t="shared" si="9"/>
        <v>5.8</v>
      </c>
      <c r="F272" s="56">
        <v>130</v>
      </c>
      <c r="G272" s="56">
        <f t="shared" si="11"/>
        <v>754</v>
      </c>
    </row>
    <row r="273" spans="1:7" x14ac:dyDescent="0.25">
      <c r="A273" s="53">
        <v>258</v>
      </c>
      <c r="B273" s="54" t="s">
        <v>284</v>
      </c>
      <c r="C273" s="55">
        <v>10</v>
      </c>
      <c r="D273" s="55"/>
      <c r="E273" s="55">
        <f t="shared" si="9"/>
        <v>10</v>
      </c>
      <c r="F273" s="56">
        <v>85</v>
      </c>
      <c r="G273" s="56">
        <f t="shared" si="11"/>
        <v>850</v>
      </c>
    </row>
    <row r="274" spans="1:7" x14ac:dyDescent="0.25">
      <c r="A274" s="53">
        <v>259</v>
      </c>
      <c r="B274" s="54" t="s">
        <v>285</v>
      </c>
      <c r="C274" s="55">
        <v>0</v>
      </c>
      <c r="D274" s="55"/>
      <c r="E274" s="55">
        <f t="shared" si="9"/>
        <v>0</v>
      </c>
      <c r="F274" s="56">
        <v>62</v>
      </c>
      <c r="G274" s="56">
        <f t="shared" si="11"/>
        <v>0</v>
      </c>
    </row>
    <row r="275" spans="1:7" x14ac:dyDescent="0.25">
      <c r="A275" s="53">
        <v>260</v>
      </c>
      <c r="B275" s="54" t="s">
        <v>361</v>
      </c>
      <c r="C275" s="55">
        <v>2</v>
      </c>
      <c r="D275" s="55"/>
      <c r="E275" s="55">
        <f t="shared" si="9"/>
        <v>2</v>
      </c>
      <c r="F275" s="56">
        <v>90</v>
      </c>
      <c r="G275" s="56">
        <f t="shared" si="11"/>
        <v>180</v>
      </c>
    </row>
    <row r="276" spans="1:7" x14ac:dyDescent="0.25">
      <c r="A276" s="53">
        <v>261</v>
      </c>
      <c r="B276" s="54" t="s">
        <v>288</v>
      </c>
      <c r="C276" s="55">
        <v>0</v>
      </c>
      <c r="D276" s="55"/>
      <c r="E276" s="55">
        <f t="shared" si="9"/>
        <v>0</v>
      </c>
      <c r="F276" s="56">
        <v>115</v>
      </c>
      <c r="G276" s="56">
        <f t="shared" si="11"/>
        <v>0</v>
      </c>
    </row>
    <row r="277" spans="1:7" x14ac:dyDescent="0.25">
      <c r="A277" s="53">
        <v>262</v>
      </c>
      <c r="B277" s="54" t="s">
        <v>330</v>
      </c>
      <c r="C277" s="55">
        <v>0</v>
      </c>
      <c r="D277" s="55"/>
      <c r="E277" s="55">
        <f t="shared" si="9"/>
        <v>0</v>
      </c>
      <c r="F277" s="56">
        <v>136</v>
      </c>
      <c r="G277" s="56">
        <f t="shared" si="11"/>
        <v>0</v>
      </c>
    </row>
    <row r="278" spans="1:7" x14ac:dyDescent="0.25">
      <c r="A278" s="53">
        <v>263</v>
      </c>
      <c r="B278" s="54" t="s">
        <v>291</v>
      </c>
      <c r="C278" s="55">
        <f>54.4+3.5+24.84-2.2-2.2+0.51+1.56</f>
        <v>80.41</v>
      </c>
      <c r="D278" s="55"/>
      <c r="E278" s="55">
        <f t="shared" si="9"/>
        <v>80.41</v>
      </c>
      <c r="F278" s="56">
        <v>83</v>
      </c>
      <c r="G278" s="56">
        <f t="shared" si="11"/>
        <v>6674.03</v>
      </c>
    </row>
    <row r="279" spans="1:7" x14ac:dyDescent="0.25">
      <c r="A279" s="53">
        <v>264</v>
      </c>
      <c r="B279" s="54" t="s">
        <v>292</v>
      </c>
      <c r="C279" s="55">
        <v>0</v>
      </c>
      <c r="D279" s="55"/>
      <c r="E279" s="55">
        <f t="shared" si="9"/>
        <v>0</v>
      </c>
      <c r="F279" s="56">
        <v>400</v>
      </c>
      <c r="G279" s="56">
        <f t="shared" si="11"/>
        <v>0</v>
      </c>
    </row>
    <row r="280" spans="1:7" x14ac:dyDescent="0.25">
      <c r="A280" s="53">
        <v>265</v>
      </c>
      <c r="B280" s="54" t="s">
        <v>293</v>
      </c>
      <c r="C280" s="55">
        <v>34</v>
      </c>
      <c r="D280" s="55"/>
      <c r="E280" s="55">
        <f t="shared" si="9"/>
        <v>34</v>
      </c>
      <c r="F280" s="56">
        <v>530</v>
      </c>
      <c r="G280" s="56">
        <f t="shared" si="11"/>
        <v>18020</v>
      </c>
    </row>
    <row r="281" spans="1:7" x14ac:dyDescent="0.25">
      <c r="A281" s="53">
        <v>266</v>
      </c>
      <c r="B281" s="54" t="s">
        <v>294</v>
      </c>
      <c r="C281" s="55">
        <v>24.97</v>
      </c>
      <c r="D281" s="55"/>
      <c r="E281" s="55">
        <f t="shared" si="9"/>
        <v>24.97</v>
      </c>
      <c r="F281" s="56">
        <v>565</v>
      </c>
      <c r="G281" s="56">
        <f t="shared" si="11"/>
        <v>14108.05</v>
      </c>
    </row>
    <row r="282" spans="1:7" x14ac:dyDescent="0.25">
      <c r="A282" s="53">
        <v>267</v>
      </c>
      <c r="B282" s="54" t="s">
        <v>295</v>
      </c>
      <c r="C282" s="55">
        <v>18.16</v>
      </c>
      <c r="D282" s="55"/>
      <c r="E282" s="55">
        <f t="shared" si="9"/>
        <v>18.16</v>
      </c>
      <c r="F282" s="56">
        <v>460</v>
      </c>
      <c r="G282" s="56">
        <f t="shared" si="11"/>
        <v>8353.6</v>
      </c>
    </row>
    <row r="283" spans="1:7" x14ac:dyDescent="0.25">
      <c r="A283" s="53">
        <v>268</v>
      </c>
      <c r="B283" s="54" t="s">
        <v>296</v>
      </c>
      <c r="C283" s="55">
        <v>24.97</v>
      </c>
      <c r="D283" s="55"/>
      <c r="E283" s="55">
        <f t="shared" si="9"/>
        <v>24.97</v>
      </c>
      <c r="F283" s="56">
        <v>490</v>
      </c>
      <c r="G283" s="56">
        <f t="shared" si="11"/>
        <v>12235.3</v>
      </c>
    </row>
    <row r="284" spans="1:7" x14ac:dyDescent="0.25">
      <c r="A284" s="53">
        <v>269</v>
      </c>
      <c r="B284" s="54" t="s">
        <v>378</v>
      </c>
      <c r="C284" s="55">
        <v>0</v>
      </c>
      <c r="D284" s="55"/>
      <c r="E284" s="55">
        <f t="shared" si="9"/>
        <v>0</v>
      </c>
      <c r="F284" s="56">
        <v>113</v>
      </c>
      <c r="G284" s="56">
        <f t="shared" si="11"/>
        <v>0</v>
      </c>
    </row>
    <row r="285" spans="1:7" x14ac:dyDescent="0.25">
      <c r="A285" s="53">
        <v>270</v>
      </c>
      <c r="B285" s="54" t="s">
        <v>298</v>
      </c>
      <c r="C285" s="55">
        <v>0</v>
      </c>
      <c r="D285" s="55"/>
      <c r="E285" s="55">
        <f t="shared" si="9"/>
        <v>0</v>
      </c>
      <c r="F285" s="56">
        <v>390</v>
      </c>
      <c r="G285" s="56">
        <f t="shared" si="11"/>
        <v>0</v>
      </c>
    </row>
    <row r="286" spans="1:7" x14ac:dyDescent="0.25">
      <c r="A286" s="53">
        <v>271</v>
      </c>
      <c r="B286" s="54" t="s">
        <v>299</v>
      </c>
      <c r="C286" s="55">
        <f>28.9+10.746+1.34</f>
        <v>40.986000000000004</v>
      </c>
      <c r="D286" s="55"/>
      <c r="E286" s="55">
        <f t="shared" si="9"/>
        <v>40.986000000000004</v>
      </c>
      <c r="F286" s="56">
        <v>162</v>
      </c>
      <c r="G286" s="56">
        <f t="shared" si="11"/>
        <v>6639.7320000000009</v>
      </c>
    </row>
    <row r="287" spans="1:7" x14ac:dyDescent="0.25">
      <c r="A287" s="53">
        <v>272</v>
      </c>
      <c r="B287" s="54" t="s">
        <v>369</v>
      </c>
      <c r="C287" s="55">
        <v>1887.5</v>
      </c>
      <c r="D287" s="55"/>
      <c r="E287" s="55">
        <f t="shared" si="9"/>
        <v>1887.5</v>
      </c>
      <c r="F287" s="56">
        <v>134</v>
      </c>
      <c r="G287" s="56">
        <f t="shared" si="11"/>
        <v>252925</v>
      </c>
    </row>
    <row r="288" spans="1:7" x14ac:dyDescent="0.25">
      <c r="A288" s="53">
        <v>273</v>
      </c>
      <c r="B288" s="54" t="s">
        <v>301</v>
      </c>
      <c r="C288" s="55">
        <v>449</v>
      </c>
      <c r="D288" s="55">
        <v>18</v>
      </c>
      <c r="E288" s="55">
        <f t="shared" si="9"/>
        <v>409.4</v>
      </c>
      <c r="F288" s="56">
        <v>140</v>
      </c>
      <c r="G288" s="56">
        <f t="shared" si="11"/>
        <v>57316</v>
      </c>
    </row>
    <row r="289" spans="1:7" x14ac:dyDescent="0.25">
      <c r="A289" s="53">
        <v>274</v>
      </c>
      <c r="B289" s="54" t="s">
        <v>302</v>
      </c>
      <c r="C289" s="55">
        <v>0</v>
      </c>
      <c r="D289" s="55"/>
      <c r="E289" s="55">
        <f t="shared" ref="E289:E354" si="12">C289-(D289*2.2)</f>
        <v>0</v>
      </c>
      <c r="F289" s="56">
        <v>210</v>
      </c>
      <c r="G289" s="56">
        <f t="shared" si="11"/>
        <v>0</v>
      </c>
    </row>
    <row r="290" spans="1:7" x14ac:dyDescent="0.25">
      <c r="A290" s="53">
        <v>275</v>
      </c>
      <c r="B290" s="54" t="s">
        <v>303</v>
      </c>
      <c r="C290" s="55">
        <v>0</v>
      </c>
      <c r="D290" s="55"/>
      <c r="E290" s="55">
        <f t="shared" si="12"/>
        <v>0</v>
      </c>
      <c r="F290" s="56">
        <v>76</v>
      </c>
      <c r="G290" s="56">
        <f t="shared" si="11"/>
        <v>0</v>
      </c>
    </row>
    <row r="291" spans="1:7" x14ac:dyDescent="0.25">
      <c r="A291" s="53">
        <v>276</v>
      </c>
      <c r="B291" s="54" t="s">
        <v>304</v>
      </c>
      <c r="C291" s="55">
        <v>60</v>
      </c>
      <c r="D291" s="55"/>
      <c r="E291" s="55">
        <f t="shared" si="12"/>
        <v>60</v>
      </c>
      <c r="F291" s="56">
        <v>145</v>
      </c>
      <c r="G291" s="56">
        <f t="shared" si="11"/>
        <v>8700</v>
      </c>
    </row>
    <row r="292" spans="1:7" x14ac:dyDescent="0.25">
      <c r="A292" s="53">
        <v>277</v>
      </c>
      <c r="B292" s="54" t="s">
        <v>306</v>
      </c>
      <c r="C292" s="55">
        <v>0</v>
      </c>
      <c r="D292" s="55"/>
      <c r="E292" s="55">
        <f t="shared" si="12"/>
        <v>0</v>
      </c>
      <c r="F292" s="56">
        <v>775</v>
      </c>
      <c r="G292" s="56">
        <f t="shared" si="11"/>
        <v>0</v>
      </c>
    </row>
    <row r="293" spans="1:7" x14ac:dyDescent="0.25">
      <c r="A293" s="53">
        <v>278</v>
      </c>
      <c r="B293" s="54" t="s">
        <v>307</v>
      </c>
      <c r="C293" s="55">
        <v>0</v>
      </c>
      <c r="D293" s="55"/>
      <c r="E293" s="55">
        <f t="shared" si="12"/>
        <v>0</v>
      </c>
      <c r="F293" s="56">
        <v>390</v>
      </c>
      <c r="G293" s="56">
        <f t="shared" si="11"/>
        <v>0</v>
      </c>
    </row>
    <row r="294" spans="1:7" x14ac:dyDescent="0.25">
      <c r="A294" s="53">
        <v>279</v>
      </c>
      <c r="B294" s="54" t="s">
        <v>308</v>
      </c>
      <c r="C294" s="55">
        <f>6.5+13.62+29.54-2.2-2.2+0.5</f>
        <v>45.759999999999991</v>
      </c>
      <c r="D294" s="55"/>
      <c r="E294" s="55">
        <f t="shared" si="12"/>
        <v>45.759999999999991</v>
      </c>
      <c r="F294" s="56">
        <v>70</v>
      </c>
      <c r="G294" s="56">
        <f t="shared" si="11"/>
        <v>3203.1999999999994</v>
      </c>
    </row>
    <row r="295" spans="1:7" x14ac:dyDescent="0.25">
      <c r="A295" s="53">
        <v>280</v>
      </c>
      <c r="B295" s="54" t="s">
        <v>309</v>
      </c>
      <c r="C295" s="55">
        <f>3.5+48+5.86-2.2+5.12+0.5</f>
        <v>60.779999999999994</v>
      </c>
      <c r="D295" s="55"/>
      <c r="E295" s="55">
        <f t="shared" si="12"/>
        <v>60.779999999999994</v>
      </c>
      <c r="F295" s="56">
        <v>125</v>
      </c>
      <c r="G295" s="56">
        <f t="shared" si="11"/>
        <v>7597.4999999999991</v>
      </c>
    </row>
    <row r="296" spans="1:7" x14ac:dyDescent="0.25">
      <c r="A296" s="53">
        <v>281</v>
      </c>
      <c r="B296" s="54" t="s">
        <v>310</v>
      </c>
      <c r="C296" s="55">
        <f>0.52+0.256</f>
        <v>0.77600000000000002</v>
      </c>
      <c r="D296" s="55"/>
      <c r="E296" s="55">
        <f t="shared" si="12"/>
        <v>0.77600000000000002</v>
      </c>
      <c r="F296" s="56">
        <v>170</v>
      </c>
      <c r="G296" s="56">
        <f t="shared" si="11"/>
        <v>131.92000000000002</v>
      </c>
    </row>
    <row r="297" spans="1:7" x14ac:dyDescent="0.25">
      <c r="A297" s="53">
        <v>282</v>
      </c>
      <c r="B297" s="54" t="s">
        <v>313</v>
      </c>
      <c r="C297" s="55">
        <f>1.33+1.45+1.33+2.282</f>
        <v>6.3920000000000003</v>
      </c>
      <c r="D297" s="55"/>
      <c r="E297" s="55">
        <f t="shared" si="12"/>
        <v>6.3920000000000003</v>
      </c>
      <c r="F297" s="56">
        <v>195</v>
      </c>
      <c r="G297" s="56">
        <f t="shared" si="11"/>
        <v>1246.44</v>
      </c>
    </row>
    <row r="298" spans="1:7" x14ac:dyDescent="0.25">
      <c r="A298" s="53">
        <v>283</v>
      </c>
      <c r="B298" s="54" t="s">
        <v>379</v>
      </c>
      <c r="C298" s="55">
        <v>0.35</v>
      </c>
      <c r="D298" s="55"/>
      <c r="E298" s="55">
        <f t="shared" si="12"/>
        <v>0.35</v>
      </c>
      <c r="F298" s="56">
        <v>600</v>
      </c>
      <c r="G298" s="56">
        <f t="shared" si="11"/>
        <v>210</v>
      </c>
    </row>
    <row r="299" spans="1:7" x14ac:dyDescent="0.25">
      <c r="A299" s="53">
        <v>284</v>
      </c>
      <c r="B299" s="54" t="s">
        <v>351</v>
      </c>
      <c r="C299" s="55">
        <v>0</v>
      </c>
      <c r="D299" s="55"/>
      <c r="E299" s="55">
        <f t="shared" si="12"/>
        <v>0</v>
      </c>
      <c r="F299" s="56">
        <v>106</v>
      </c>
      <c r="G299" s="56">
        <f t="shared" si="11"/>
        <v>0</v>
      </c>
    </row>
    <row r="300" spans="1:7" x14ac:dyDescent="0.25">
      <c r="A300" s="53">
        <v>285</v>
      </c>
      <c r="B300" s="54" t="s">
        <v>427</v>
      </c>
      <c r="C300" s="55">
        <v>1</v>
      </c>
      <c r="D300" s="55"/>
      <c r="E300" s="55">
        <f t="shared" si="12"/>
        <v>1</v>
      </c>
      <c r="F300" s="56">
        <v>193</v>
      </c>
      <c r="G300" s="56">
        <f t="shared" si="11"/>
        <v>193</v>
      </c>
    </row>
    <row r="301" spans="1:7" x14ac:dyDescent="0.25">
      <c r="A301" s="53">
        <v>286</v>
      </c>
      <c r="B301" s="54" t="s">
        <v>317</v>
      </c>
      <c r="C301" s="55">
        <v>24</v>
      </c>
      <c r="D301" s="55"/>
      <c r="E301" s="55">
        <f t="shared" si="12"/>
        <v>24</v>
      </c>
      <c r="F301" s="56">
        <v>40</v>
      </c>
      <c r="G301" s="56">
        <f t="shared" si="11"/>
        <v>960</v>
      </c>
    </row>
    <row r="302" spans="1:7" x14ac:dyDescent="0.25">
      <c r="A302" s="53">
        <v>287</v>
      </c>
      <c r="B302" s="54" t="s">
        <v>318</v>
      </c>
      <c r="C302" s="55">
        <v>28</v>
      </c>
      <c r="D302" s="55"/>
      <c r="E302" s="55">
        <f t="shared" si="12"/>
        <v>28</v>
      </c>
      <c r="F302" s="56">
        <v>70</v>
      </c>
      <c r="G302" s="56">
        <f t="shared" si="11"/>
        <v>1960</v>
      </c>
    </row>
    <row r="303" spans="1:7" ht="18" customHeight="1" x14ac:dyDescent="0.25">
      <c r="A303" s="53">
        <v>288</v>
      </c>
      <c r="B303" s="54" t="s">
        <v>319</v>
      </c>
      <c r="C303" s="55">
        <f>4.06-0.34</f>
        <v>3.7199999999999998</v>
      </c>
      <c r="D303" s="55"/>
      <c r="E303" s="55">
        <f t="shared" si="12"/>
        <v>3.7199999999999998</v>
      </c>
      <c r="F303" s="56">
        <v>400</v>
      </c>
      <c r="G303" s="56">
        <f t="shared" si="11"/>
        <v>1488</v>
      </c>
    </row>
    <row r="304" spans="1:7" ht="18" customHeight="1" x14ac:dyDescent="0.25">
      <c r="A304" s="53">
        <v>289</v>
      </c>
      <c r="B304" s="54" t="s">
        <v>320</v>
      </c>
      <c r="C304" s="55">
        <v>25</v>
      </c>
      <c r="D304" s="55"/>
      <c r="E304" s="55">
        <f t="shared" si="12"/>
        <v>25</v>
      </c>
      <c r="F304" s="56">
        <v>360</v>
      </c>
      <c r="G304" s="56">
        <f t="shared" si="11"/>
        <v>9000</v>
      </c>
    </row>
    <row r="305" spans="1:7" ht="18" customHeight="1" x14ac:dyDescent="0.25">
      <c r="A305" s="53">
        <v>290</v>
      </c>
      <c r="B305" s="54" t="s">
        <v>357</v>
      </c>
      <c r="C305" s="55">
        <f>3.96+3.57</f>
        <v>7.5299999999999994</v>
      </c>
      <c r="D305" s="55"/>
      <c r="E305" s="55">
        <f t="shared" si="12"/>
        <v>7.5299999999999994</v>
      </c>
      <c r="F305" s="56">
        <v>980</v>
      </c>
      <c r="G305" s="56">
        <f t="shared" si="11"/>
        <v>7379.4</v>
      </c>
    </row>
    <row r="306" spans="1:7" ht="18" customHeight="1" x14ac:dyDescent="0.25">
      <c r="A306" s="53">
        <v>291</v>
      </c>
      <c r="B306" s="54" t="s">
        <v>352</v>
      </c>
      <c r="C306" s="55">
        <v>3</v>
      </c>
      <c r="D306" s="55"/>
      <c r="E306" s="55">
        <f t="shared" si="12"/>
        <v>3</v>
      </c>
      <c r="F306" s="56">
        <v>103</v>
      </c>
      <c r="G306" s="56">
        <f t="shared" si="11"/>
        <v>309</v>
      </c>
    </row>
    <row r="307" spans="1:7" ht="18" customHeight="1" x14ac:dyDescent="0.25">
      <c r="A307" s="53">
        <v>292</v>
      </c>
      <c r="B307" s="54" t="s">
        <v>322</v>
      </c>
      <c r="C307" s="55">
        <f>193.9+649</f>
        <v>842.9</v>
      </c>
      <c r="D307" s="55">
        <v>33</v>
      </c>
      <c r="E307" s="55">
        <f t="shared" si="12"/>
        <v>770.3</v>
      </c>
      <c r="F307" s="56">
        <v>140</v>
      </c>
      <c r="G307" s="56">
        <f t="shared" si="11"/>
        <v>107842</v>
      </c>
    </row>
    <row r="308" spans="1:7" ht="18" customHeight="1" x14ac:dyDescent="0.25">
      <c r="A308" s="53">
        <v>293</v>
      </c>
      <c r="B308" s="54" t="s">
        <v>323</v>
      </c>
      <c r="C308" s="55">
        <f>3.29+3.55+3.615+3.56+5.24+5.29+16+13.5+7.6</f>
        <v>61.645000000000003</v>
      </c>
      <c r="D308" s="55">
        <v>1</v>
      </c>
      <c r="E308" s="55">
        <f t="shared" si="12"/>
        <v>59.445</v>
      </c>
      <c r="F308" s="56">
        <v>450</v>
      </c>
      <c r="G308" s="56">
        <f t="shared" si="11"/>
        <v>26750.25</v>
      </c>
    </row>
    <row r="309" spans="1:7" ht="18" customHeight="1" x14ac:dyDescent="0.25">
      <c r="A309" s="53">
        <v>294</v>
      </c>
      <c r="B309" s="54" t="s">
        <v>325</v>
      </c>
      <c r="C309" s="55">
        <v>0</v>
      </c>
      <c r="D309" s="55">
        <v>0</v>
      </c>
      <c r="E309" s="55">
        <f t="shared" si="12"/>
        <v>0</v>
      </c>
      <c r="F309" s="56">
        <v>140</v>
      </c>
      <c r="G309" s="56">
        <f t="shared" si="11"/>
        <v>0</v>
      </c>
    </row>
    <row r="310" spans="1:7" ht="18" customHeight="1" x14ac:dyDescent="0.25">
      <c r="A310" s="53">
        <v>295</v>
      </c>
      <c r="B310" s="54" t="s">
        <v>326</v>
      </c>
      <c r="C310" s="55">
        <v>0</v>
      </c>
      <c r="D310" s="55"/>
      <c r="E310" s="55">
        <f t="shared" si="12"/>
        <v>0</v>
      </c>
      <c r="F310" s="56">
        <v>3</v>
      </c>
      <c r="G310" s="56">
        <f t="shared" si="11"/>
        <v>0</v>
      </c>
    </row>
    <row r="311" spans="1:7" ht="15.75" thickBot="1" x14ac:dyDescent="0.3">
      <c r="A311" s="53"/>
      <c r="B311" s="57" t="s">
        <v>17</v>
      </c>
      <c r="C311" s="15">
        <f>SUM(C269:C310)</f>
        <v>3891.4589999999998</v>
      </c>
      <c r="D311" s="74" t="s">
        <v>402</v>
      </c>
      <c r="E311" s="15">
        <f>SUM(E269:E310)</f>
        <v>3763.8589999999999</v>
      </c>
      <c r="F311" s="38"/>
      <c r="G311" s="36">
        <f>SUM(G269:G310)</f>
        <v>578157.12199999997</v>
      </c>
    </row>
    <row r="312" spans="1:7" ht="31.5" customHeight="1" thickBot="1" x14ac:dyDescent="0.3">
      <c r="A312" s="58"/>
      <c r="B312" s="50" t="s">
        <v>1</v>
      </c>
      <c r="C312" s="51" t="s">
        <v>2</v>
      </c>
      <c r="D312" s="51" t="s">
        <v>371</v>
      </c>
      <c r="E312" s="72" t="s">
        <v>372</v>
      </c>
      <c r="F312" s="51" t="s">
        <v>3</v>
      </c>
      <c r="G312" s="52" t="s">
        <v>4</v>
      </c>
    </row>
    <row r="313" spans="1:7" ht="18" customHeight="1" x14ac:dyDescent="0.25">
      <c r="A313" s="53">
        <v>296</v>
      </c>
      <c r="B313" s="54" t="s">
        <v>398</v>
      </c>
      <c r="C313" s="55">
        <v>0</v>
      </c>
      <c r="D313" s="55"/>
      <c r="E313" s="55">
        <f t="shared" si="12"/>
        <v>0</v>
      </c>
      <c r="F313" s="56">
        <v>110</v>
      </c>
      <c r="G313" s="56">
        <f>F313*E313</f>
        <v>0</v>
      </c>
    </row>
    <row r="314" spans="1:7" ht="18" customHeight="1" x14ac:dyDescent="0.25">
      <c r="A314" s="53">
        <v>297</v>
      </c>
      <c r="B314" s="54" t="s">
        <v>397</v>
      </c>
      <c r="C314" s="55">
        <v>3.6</v>
      </c>
      <c r="D314" s="55"/>
      <c r="E314" s="55">
        <f t="shared" si="12"/>
        <v>3.6</v>
      </c>
      <c r="F314" s="56">
        <v>50</v>
      </c>
      <c r="G314" s="56">
        <f t="shared" ref="G314:G358" si="13">F314*E314</f>
        <v>180</v>
      </c>
    </row>
    <row r="315" spans="1:7" ht="18" customHeight="1" x14ac:dyDescent="0.25">
      <c r="A315" s="53">
        <v>298</v>
      </c>
      <c r="B315" s="54" t="s">
        <v>396</v>
      </c>
      <c r="C315" s="55">
        <f>4+1.05</f>
        <v>5.05</v>
      </c>
      <c r="D315" s="55"/>
      <c r="E315" s="55">
        <f t="shared" si="12"/>
        <v>5.05</v>
      </c>
      <c r="F315" s="56">
        <v>80</v>
      </c>
      <c r="G315" s="56">
        <f t="shared" si="13"/>
        <v>404</v>
      </c>
    </row>
    <row r="316" spans="1:7" ht="18" customHeight="1" x14ac:dyDescent="0.25">
      <c r="A316" s="53">
        <v>299</v>
      </c>
      <c r="B316" s="54" t="s">
        <v>237</v>
      </c>
      <c r="C316" s="55">
        <f>15.25-3.9</f>
        <v>11.35</v>
      </c>
      <c r="D316" s="55"/>
      <c r="E316" s="55">
        <f t="shared" si="12"/>
        <v>11.35</v>
      </c>
      <c r="F316" s="56">
        <v>130</v>
      </c>
      <c r="G316" s="56">
        <f t="shared" si="13"/>
        <v>1475.5</v>
      </c>
    </row>
    <row r="317" spans="1:7" ht="18" customHeight="1" x14ac:dyDescent="0.25">
      <c r="A317" s="53">
        <v>300</v>
      </c>
      <c r="B317" s="54" t="s">
        <v>395</v>
      </c>
      <c r="C317" s="55">
        <f>3.3</f>
        <v>3.3</v>
      </c>
      <c r="D317" s="55"/>
      <c r="E317" s="55">
        <f t="shared" si="12"/>
        <v>3.3</v>
      </c>
      <c r="F317" s="56">
        <v>143</v>
      </c>
      <c r="G317" s="56">
        <f t="shared" si="13"/>
        <v>471.9</v>
      </c>
    </row>
    <row r="318" spans="1:7" ht="18" customHeight="1" x14ac:dyDescent="0.25">
      <c r="A318" s="53">
        <v>301</v>
      </c>
      <c r="B318" s="54" t="s">
        <v>394</v>
      </c>
      <c r="C318" s="55">
        <v>0</v>
      </c>
      <c r="D318" s="55"/>
      <c r="E318" s="55">
        <f t="shared" si="12"/>
        <v>0</v>
      </c>
      <c r="F318" s="56">
        <v>75</v>
      </c>
      <c r="G318" s="56">
        <f t="shared" si="13"/>
        <v>0</v>
      </c>
    </row>
    <row r="319" spans="1:7" ht="18" customHeight="1" x14ac:dyDescent="0.25">
      <c r="A319" s="53">
        <v>302</v>
      </c>
      <c r="B319" s="54" t="s">
        <v>393</v>
      </c>
      <c r="C319" s="55">
        <v>0</v>
      </c>
      <c r="D319" s="55">
        <v>0</v>
      </c>
      <c r="E319" s="55">
        <f t="shared" si="12"/>
        <v>0</v>
      </c>
      <c r="F319" s="56">
        <v>132</v>
      </c>
      <c r="G319" s="56">
        <f t="shared" si="13"/>
        <v>0</v>
      </c>
    </row>
    <row r="320" spans="1:7" ht="18" customHeight="1" x14ac:dyDescent="0.25">
      <c r="A320" s="53">
        <v>303</v>
      </c>
      <c r="B320" s="54" t="s">
        <v>392</v>
      </c>
      <c r="C320" s="55">
        <v>6</v>
      </c>
      <c r="D320" s="55"/>
      <c r="E320" s="55">
        <f t="shared" si="12"/>
        <v>6</v>
      </c>
      <c r="F320" s="56">
        <v>115</v>
      </c>
      <c r="G320" s="56">
        <f t="shared" si="13"/>
        <v>690</v>
      </c>
    </row>
    <row r="321" spans="1:7" ht="18" customHeight="1" x14ac:dyDescent="0.25">
      <c r="A321" s="53">
        <v>304</v>
      </c>
      <c r="B321" s="54" t="s">
        <v>391</v>
      </c>
      <c r="C321" s="55">
        <v>0</v>
      </c>
      <c r="D321" s="55"/>
      <c r="E321" s="55">
        <f t="shared" si="12"/>
        <v>0</v>
      </c>
      <c r="F321" s="56">
        <v>190</v>
      </c>
      <c r="G321" s="56">
        <f t="shared" si="13"/>
        <v>0</v>
      </c>
    </row>
    <row r="322" spans="1:7" ht="18" customHeight="1" x14ac:dyDescent="0.25">
      <c r="A322" s="53">
        <v>305</v>
      </c>
      <c r="B322" s="54" t="s">
        <v>390</v>
      </c>
      <c r="C322" s="55">
        <f>47.4+1029.05</f>
        <v>1076.45</v>
      </c>
      <c r="D322" s="55"/>
      <c r="E322" s="55">
        <f t="shared" si="12"/>
        <v>1076.45</v>
      </c>
      <c r="F322" s="56">
        <v>80</v>
      </c>
      <c r="G322" s="56">
        <f t="shared" si="13"/>
        <v>86116</v>
      </c>
    </row>
    <row r="323" spans="1:7" ht="18" customHeight="1" x14ac:dyDescent="0.25">
      <c r="A323" s="53">
        <v>306</v>
      </c>
      <c r="B323" s="54" t="s">
        <v>389</v>
      </c>
      <c r="C323" s="55">
        <v>0</v>
      </c>
      <c r="D323" s="55">
        <v>0</v>
      </c>
      <c r="E323" s="55">
        <f t="shared" si="12"/>
        <v>0</v>
      </c>
      <c r="F323" s="56">
        <v>55</v>
      </c>
      <c r="G323" s="56">
        <f t="shared" si="13"/>
        <v>0</v>
      </c>
    </row>
    <row r="324" spans="1:7" ht="18" customHeight="1" x14ac:dyDescent="0.25">
      <c r="A324" s="53">
        <v>307</v>
      </c>
      <c r="B324" s="54" t="s">
        <v>388</v>
      </c>
      <c r="C324" s="55">
        <v>0</v>
      </c>
      <c r="D324" s="55">
        <v>0</v>
      </c>
      <c r="E324" s="55">
        <f t="shared" si="12"/>
        <v>0</v>
      </c>
      <c r="F324" s="56">
        <v>198</v>
      </c>
      <c r="G324" s="56">
        <f t="shared" si="13"/>
        <v>0</v>
      </c>
    </row>
    <row r="325" spans="1:7" ht="18" customHeight="1" x14ac:dyDescent="0.25">
      <c r="A325" s="53">
        <v>308</v>
      </c>
      <c r="B325" s="54" t="s">
        <v>387</v>
      </c>
      <c r="C325" s="55">
        <f>9+3.7</f>
        <v>12.7</v>
      </c>
      <c r="D325" s="55"/>
      <c r="E325" s="55">
        <f t="shared" si="12"/>
        <v>12.7</v>
      </c>
      <c r="F325" s="56">
        <v>134</v>
      </c>
      <c r="G325" s="56">
        <f t="shared" si="13"/>
        <v>1701.8</v>
      </c>
    </row>
    <row r="326" spans="1:7" ht="18" customHeight="1" x14ac:dyDescent="0.25">
      <c r="A326" s="53">
        <v>309</v>
      </c>
      <c r="B326" s="54" t="s">
        <v>386</v>
      </c>
      <c r="C326" s="55">
        <v>0</v>
      </c>
      <c r="D326" s="55"/>
      <c r="E326" s="55">
        <f t="shared" si="12"/>
        <v>0</v>
      </c>
      <c r="F326" s="56">
        <v>98</v>
      </c>
      <c r="G326" s="56">
        <f t="shared" si="13"/>
        <v>0</v>
      </c>
    </row>
    <row r="327" spans="1:7" ht="18" customHeight="1" x14ac:dyDescent="0.25">
      <c r="A327" s="53">
        <v>310</v>
      </c>
      <c r="B327" s="54" t="s">
        <v>385</v>
      </c>
      <c r="C327" s="55">
        <v>0</v>
      </c>
      <c r="D327" s="55"/>
      <c r="E327" s="55">
        <f t="shared" si="12"/>
        <v>0</v>
      </c>
      <c r="F327" s="56">
        <v>88</v>
      </c>
      <c r="G327" s="56">
        <f t="shared" si="13"/>
        <v>0</v>
      </c>
    </row>
    <row r="328" spans="1:7" ht="18" customHeight="1" x14ac:dyDescent="0.25">
      <c r="A328" s="53">
        <v>311</v>
      </c>
      <c r="B328" s="54" t="s">
        <v>384</v>
      </c>
      <c r="C328" s="55">
        <v>2</v>
      </c>
      <c r="D328" s="55"/>
      <c r="E328" s="55">
        <f t="shared" si="12"/>
        <v>2</v>
      </c>
      <c r="F328" s="56">
        <v>298</v>
      </c>
      <c r="G328" s="56">
        <f t="shared" si="13"/>
        <v>596</v>
      </c>
    </row>
    <row r="329" spans="1:7" ht="18" customHeight="1" x14ac:dyDescent="0.25">
      <c r="A329" s="53">
        <v>312</v>
      </c>
      <c r="B329" s="54" t="s">
        <v>383</v>
      </c>
      <c r="C329" s="55">
        <v>2</v>
      </c>
      <c r="D329" s="55"/>
      <c r="E329" s="55">
        <f t="shared" si="12"/>
        <v>2</v>
      </c>
      <c r="F329" s="56">
        <v>244</v>
      </c>
      <c r="G329" s="56">
        <f t="shared" si="13"/>
        <v>488</v>
      </c>
    </row>
    <row r="330" spans="1:7" ht="18" customHeight="1" x14ac:dyDescent="0.25">
      <c r="A330" s="53">
        <v>313</v>
      </c>
      <c r="B330" s="54" t="s">
        <v>399</v>
      </c>
      <c r="C330" s="55">
        <v>1</v>
      </c>
      <c r="D330" s="55"/>
      <c r="E330" s="55">
        <f t="shared" si="12"/>
        <v>1</v>
      </c>
      <c r="F330" s="56">
        <v>187</v>
      </c>
      <c r="G330" s="56">
        <f t="shared" si="13"/>
        <v>187</v>
      </c>
    </row>
    <row r="331" spans="1:7" ht="18" customHeight="1" x14ac:dyDescent="0.25">
      <c r="A331" s="53">
        <v>314</v>
      </c>
      <c r="B331" s="54" t="s">
        <v>400</v>
      </c>
      <c r="C331" s="55">
        <v>4</v>
      </c>
      <c r="D331" s="55"/>
      <c r="E331" s="55">
        <f t="shared" si="12"/>
        <v>4</v>
      </c>
      <c r="F331" s="56">
        <v>190</v>
      </c>
      <c r="G331" s="56">
        <f t="shared" si="13"/>
        <v>760</v>
      </c>
    </row>
    <row r="332" spans="1:7" ht="18" customHeight="1" x14ac:dyDescent="0.25">
      <c r="A332" s="53">
        <v>315</v>
      </c>
      <c r="B332" s="54" t="s">
        <v>401</v>
      </c>
      <c r="C332" s="55">
        <v>4</v>
      </c>
      <c r="D332" s="55"/>
      <c r="E332" s="55">
        <f t="shared" si="12"/>
        <v>4</v>
      </c>
      <c r="F332" s="56">
        <v>298</v>
      </c>
      <c r="G332" s="56">
        <f t="shared" si="13"/>
        <v>1192</v>
      </c>
    </row>
    <row r="333" spans="1:7" ht="18" customHeight="1" x14ac:dyDescent="0.25">
      <c r="A333" s="53">
        <v>316</v>
      </c>
      <c r="B333" s="54" t="s">
        <v>419</v>
      </c>
      <c r="C333" s="55">
        <v>2</v>
      </c>
      <c r="D333" s="55"/>
      <c r="E333" s="55">
        <f t="shared" si="12"/>
        <v>2</v>
      </c>
      <c r="F333" s="56">
        <v>111</v>
      </c>
      <c r="G333" s="56">
        <f t="shared" si="13"/>
        <v>222</v>
      </c>
    </row>
    <row r="334" spans="1:7" ht="18" customHeight="1" x14ac:dyDescent="0.25">
      <c r="A334" s="53">
        <v>317</v>
      </c>
      <c r="B334" s="54" t="s">
        <v>420</v>
      </c>
      <c r="C334" s="55">
        <v>2</v>
      </c>
      <c r="D334" s="55"/>
      <c r="E334" s="55">
        <f t="shared" si="12"/>
        <v>2</v>
      </c>
      <c r="F334" s="56">
        <v>247</v>
      </c>
      <c r="G334" s="56">
        <f t="shared" si="13"/>
        <v>494</v>
      </c>
    </row>
    <row r="335" spans="1:7" ht="18" customHeight="1" x14ac:dyDescent="0.25">
      <c r="A335" s="53">
        <v>318</v>
      </c>
      <c r="B335" s="54" t="s">
        <v>421</v>
      </c>
      <c r="C335" s="55">
        <v>1</v>
      </c>
      <c r="D335" s="55"/>
      <c r="E335" s="55">
        <f t="shared" si="12"/>
        <v>1</v>
      </c>
      <c r="F335" s="56">
        <v>298</v>
      </c>
      <c r="G335" s="56">
        <f t="shared" si="13"/>
        <v>298</v>
      </c>
    </row>
    <row r="336" spans="1:7" ht="18" customHeight="1" x14ac:dyDescent="0.25">
      <c r="A336" s="53">
        <v>319</v>
      </c>
      <c r="B336" s="54" t="s">
        <v>422</v>
      </c>
      <c r="C336" s="55">
        <v>0</v>
      </c>
      <c r="D336" s="55"/>
      <c r="E336" s="55">
        <f t="shared" si="12"/>
        <v>0</v>
      </c>
      <c r="F336" s="56">
        <v>54</v>
      </c>
      <c r="G336" s="56">
        <f t="shared" si="13"/>
        <v>0</v>
      </c>
    </row>
    <row r="337" spans="1:7" ht="18" customHeight="1" x14ac:dyDescent="0.25">
      <c r="A337" s="53">
        <v>320</v>
      </c>
      <c r="B337" s="54" t="s">
        <v>404</v>
      </c>
      <c r="C337" s="55">
        <v>0</v>
      </c>
      <c r="D337" s="55"/>
      <c r="E337" s="55">
        <f t="shared" si="12"/>
        <v>0</v>
      </c>
      <c r="F337" s="56">
        <v>75</v>
      </c>
      <c r="G337" s="56">
        <f t="shared" si="13"/>
        <v>0</v>
      </c>
    </row>
    <row r="338" spans="1:7" ht="18" customHeight="1" x14ac:dyDescent="0.25">
      <c r="A338" s="53">
        <v>321</v>
      </c>
      <c r="B338" s="54" t="s">
        <v>405</v>
      </c>
      <c r="C338" s="55">
        <v>1</v>
      </c>
      <c r="D338" s="55"/>
      <c r="E338" s="55">
        <f t="shared" si="12"/>
        <v>1</v>
      </c>
      <c r="F338" s="56">
        <v>88</v>
      </c>
      <c r="G338" s="56">
        <f t="shared" si="13"/>
        <v>88</v>
      </c>
    </row>
    <row r="339" spans="1:7" ht="18" customHeight="1" x14ac:dyDescent="0.25">
      <c r="A339" s="53">
        <v>322</v>
      </c>
      <c r="B339" s="54" t="s">
        <v>406</v>
      </c>
      <c r="C339" s="55">
        <v>4</v>
      </c>
      <c r="D339" s="55"/>
      <c r="E339" s="55">
        <f t="shared" si="12"/>
        <v>4</v>
      </c>
      <c r="F339" s="56">
        <v>60</v>
      </c>
      <c r="G339" s="56">
        <f t="shared" si="13"/>
        <v>240</v>
      </c>
    </row>
    <row r="340" spans="1:7" ht="18" customHeight="1" x14ac:dyDescent="0.25">
      <c r="A340" s="53">
        <v>323</v>
      </c>
      <c r="B340" s="54" t="s">
        <v>416</v>
      </c>
      <c r="C340" s="55">
        <v>1</v>
      </c>
      <c r="D340" s="55"/>
      <c r="E340" s="55">
        <f t="shared" si="12"/>
        <v>1</v>
      </c>
      <c r="F340" s="56">
        <v>55</v>
      </c>
      <c r="G340" s="56">
        <f t="shared" si="13"/>
        <v>55</v>
      </c>
    </row>
    <row r="341" spans="1:7" ht="18" customHeight="1" x14ac:dyDescent="0.25">
      <c r="A341" s="53">
        <v>324</v>
      </c>
      <c r="B341" s="54" t="s">
        <v>407</v>
      </c>
      <c r="C341" s="55">
        <v>4</v>
      </c>
      <c r="D341" s="55"/>
      <c r="E341" s="55">
        <f t="shared" si="12"/>
        <v>4</v>
      </c>
      <c r="F341" s="56">
        <v>28</v>
      </c>
      <c r="G341" s="56">
        <f t="shared" si="13"/>
        <v>112</v>
      </c>
    </row>
    <row r="342" spans="1:7" ht="18" customHeight="1" x14ac:dyDescent="0.25">
      <c r="A342" s="53">
        <v>325</v>
      </c>
      <c r="B342" s="54" t="s">
        <v>408</v>
      </c>
      <c r="C342" s="55">
        <v>4</v>
      </c>
      <c r="D342" s="55"/>
      <c r="E342" s="55">
        <f t="shared" si="12"/>
        <v>4</v>
      </c>
      <c r="F342" s="56">
        <v>55</v>
      </c>
      <c r="G342" s="56">
        <f t="shared" si="13"/>
        <v>220</v>
      </c>
    </row>
    <row r="343" spans="1:7" ht="18" customHeight="1" x14ac:dyDescent="0.25">
      <c r="A343" s="53">
        <v>326</v>
      </c>
      <c r="B343" s="54" t="s">
        <v>409</v>
      </c>
      <c r="C343" s="55">
        <v>3</v>
      </c>
      <c r="D343" s="55"/>
      <c r="E343" s="55">
        <f t="shared" si="12"/>
        <v>3</v>
      </c>
      <c r="F343" s="56">
        <v>56</v>
      </c>
      <c r="G343" s="56">
        <f t="shared" si="13"/>
        <v>168</v>
      </c>
    </row>
    <row r="344" spans="1:7" ht="18" customHeight="1" x14ac:dyDescent="0.25">
      <c r="A344" s="53">
        <v>327</v>
      </c>
      <c r="B344" s="54" t="s">
        <v>410</v>
      </c>
      <c r="C344" s="55">
        <v>4</v>
      </c>
      <c r="D344" s="55"/>
      <c r="E344" s="55">
        <f t="shared" si="12"/>
        <v>4</v>
      </c>
      <c r="F344" s="56">
        <v>45</v>
      </c>
      <c r="G344" s="56">
        <f t="shared" si="13"/>
        <v>180</v>
      </c>
    </row>
    <row r="345" spans="1:7" ht="18" customHeight="1" x14ac:dyDescent="0.25">
      <c r="A345" s="53">
        <v>328</v>
      </c>
      <c r="B345" s="54" t="s">
        <v>411</v>
      </c>
      <c r="C345" s="55">
        <v>3</v>
      </c>
      <c r="D345" s="55"/>
      <c r="E345" s="55">
        <f t="shared" si="12"/>
        <v>3</v>
      </c>
      <c r="F345" s="56">
        <v>56</v>
      </c>
      <c r="G345" s="56">
        <f t="shared" si="13"/>
        <v>168</v>
      </c>
    </row>
    <row r="346" spans="1:7" ht="18" customHeight="1" x14ac:dyDescent="0.25">
      <c r="A346" s="53">
        <v>329</v>
      </c>
      <c r="B346" s="54" t="s">
        <v>412</v>
      </c>
      <c r="C346" s="55">
        <v>4</v>
      </c>
      <c r="D346" s="55"/>
      <c r="E346" s="55">
        <f t="shared" si="12"/>
        <v>4</v>
      </c>
      <c r="F346" s="56">
        <v>96</v>
      </c>
      <c r="G346" s="56">
        <f t="shared" si="13"/>
        <v>384</v>
      </c>
    </row>
    <row r="347" spans="1:7" ht="18" customHeight="1" x14ac:dyDescent="0.25">
      <c r="A347" s="53">
        <v>330</v>
      </c>
      <c r="B347" s="54" t="s">
        <v>413</v>
      </c>
      <c r="C347" s="55">
        <v>4</v>
      </c>
      <c r="D347" s="55"/>
      <c r="E347" s="55">
        <f t="shared" si="12"/>
        <v>4</v>
      </c>
      <c r="F347" s="56">
        <v>66</v>
      </c>
      <c r="G347" s="56">
        <f t="shared" si="13"/>
        <v>264</v>
      </c>
    </row>
    <row r="348" spans="1:7" ht="18" customHeight="1" x14ac:dyDescent="0.25">
      <c r="A348" s="53">
        <v>331</v>
      </c>
      <c r="B348" s="54" t="s">
        <v>414</v>
      </c>
      <c r="C348" s="55">
        <v>3</v>
      </c>
      <c r="D348" s="55"/>
      <c r="E348" s="55">
        <f t="shared" si="12"/>
        <v>3</v>
      </c>
      <c r="F348" s="56">
        <v>66</v>
      </c>
      <c r="G348" s="56">
        <f t="shared" si="13"/>
        <v>198</v>
      </c>
    </row>
    <row r="349" spans="1:7" ht="15.75" thickBot="1" x14ac:dyDescent="0.3">
      <c r="A349" s="53"/>
      <c r="B349" s="57" t="s">
        <v>17</v>
      </c>
      <c r="C349" s="15">
        <f>SUM(C313:C348)</f>
        <v>1171.45</v>
      </c>
      <c r="D349" s="74" t="s">
        <v>402</v>
      </c>
      <c r="E349" s="15">
        <f>SUM(E313:E348)</f>
        <v>1171.45</v>
      </c>
      <c r="F349" s="38"/>
      <c r="G349" s="36">
        <f>SUM(G313:G348)</f>
        <v>97353.2</v>
      </c>
    </row>
    <row r="350" spans="1:7" ht="31.5" customHeight="1" thickBot="1" x14ac:dyDescent="0.3">
      <c r="A350" s="58"/>
      <c r="B350" s="50" t="s">
        <v>1</v>
      </c>
      <c r="C350" s="51" t="s">
        <v>2</v>
      </c>
      <c r="D350" s="51" t="s">
        <v>371</v>
      </c>
      <c r="E350" s="72" t="s">
        <v>372</v>
      </c>
      <c r="F350" s="51" t="s">
        <v>3</v>
      </c>
      <c r="G350" s="52" t="s">
        <v>4</v>
      </c>
    </row>
    <row r="351" spans="1:7" ht="18" customHeight="1" x14ac:dyDescent="0.25">
      <c r="A351" s="53">
        <v>334</v>
      </c>
      <c r="B351" s="54" t="s">
        <v>417</v>
      </c>
      <c r="C351" s="55">
        <v>6</v>
      </c>
      <c r="D351" s="55"/>
      <c r="E351" s="55">
        <f t="shared" si="12"/>
        <v>6</v>
      </c>
      <c r="F351" s="56">
        <v>32</v>
      </c>
      <c r="G351" s="56">
        <f t="shared" si="13"/>
        <v>192</v>
      </c>
    </row>
    <row r="352" spans="1:7" ht="18" customHeight="1" x14ac:dyDescent="0.25">
      <c r="A352" s="53">
        <v>335</v>
      </c>
      <c r="B352" s="54" t="s">
        <v>418</v>
      </c>
      <c r="C352" s="55">
        <v>0</v>
      </c>
      <c r="D352" s="55"/>
      <c r="E352" s="55">
        <f t="shared" si="12"/>
        <v>0</v>
      </c>
      <c r="F352" s="56">
        <v>65</v>
      </c>
      <c r="G352" s="56">
        <f t="shared" si="13"/>
        <v>0</v>
      </c>
    </row>
    <row r="353" spans="1:7" ht="18" customHeight="1" x14ac:dyDescent="0.25">
      <c r="A353" s="53">
        <v>332</v>
      </c>
      <c r="B353" s="54" t="s">
        <v>415</v>
      </c>
      <c r="C353" s="55">
        <v>0</v>
      </c>
      <c r="D353" s="55"/>
      <c r="E353" s="55">
        <f t="shared" si="12"/>
        <v>0</v>
      </c>
      <c r="F353" s="56">
        <v>65</v>
      </c>
      <c r="G353" s="56">
        <f t="shared" si="13"/>
        <v>0</v>
      </c>
    </row>
    <row r="354" spans="1:7" ht="18.75" customHeight="1" x14ac:dyDescent="0.25">
      <c r="A354" s="53">
        <v>329</v>
      </c>
      <c r="B354" s="54" t="s">
        <v>431</v>
      </c>
      <c r="C354" s="55">
        <v>59</v>
      </c>
      <c r="D354" s="55"/>
      <c r="E354" s="55">
        <f t="shared" si="12"/>
        <v>59</v>
      </c>
      <c r="F354" s="56">
        <v>45</v>
      </c>
      <c r="G354" s="56">
        <f t="shared" si="13"/>
        <v>2655</v>
      </c>
    </row>
    <row r="355" spans="1:7" ht="18.75" customHeight="1" x14ac:dyDescent="0.25">
      <c r="A355" s="53">
        <v>326</v>
      </c>
      <c r="B355" s="54" t="s">
        <v>432</v>
      </c>
      <c r="C355" s="55">
        <v>114</v>
      </c>
      <c r="D355" s="55"/>
      <c r="E355" s="55">
        <f t="shared" ref="E355:E358" si="14">C355-(D355*2.2)</f>
        <v>114</v>
      </c>
      <c r="F355" s="56">
        <v>28</v>
      </c>
      <c r="G355" s="56">
        <f t="shared" si="13"/>
        <v>3192</v>
      </c>
    </row>
    <row r="356" spans="1:7" ht="18.75" customHeight="1" x14ac:dyDescent="0.25">
      <c r="A356" s="53">
        <v>323</v>
      </c>
      <c r="B356" s="54" t="s">
        <v>433</v>
      </c>
      <c r="C356" s="55">
        <v>15</v>
      </c>
      <c r="D356" s="55"/>
      <c r="E356" s="55">
        <f t="shared" si="14"/>
        <v>15</v>
      </c>
      <c r="F356" s="56">
        <v>30</v>
      </c>
      <c r="G356" s="56">
        <f t="shared" si="13"/>
        <v>450</v>
      </c>
    </row>
    <row r="357" spans="1:7" ht="18.75" customHeight="1" x14ac:dyDescent="0.25">
      <c r="A357" s="53">
        <v>320</v>
      </c>
      <c r="B357" s="54" t="s">
        <v>434</v>
      </c>
      <c r="C357" s="55">
        <v>1</v>
      </c>
      <c r="D357" s="55"/>
      <c r="E357" s="55">
        <f t="shared" si="14"/>
        <v>1</v>
      </c>
      <c r="F357" s="56">
        <v>50</v>
      </c>
      <c r="G357" s="56">
        <f t="shared" si="13"/>
        <v>50</v>
      </c>
    </row>
    <row r="358" spans="1:7" ht="18.75" customHeight="1" x14ac:dyDescent="0.25">
      <c r="A358" s="53">
        <v>317</v>
      </c>
      <c r="B358" s="54" t="s">
        <v>435</v>
      </c>
      <c r="C358" s="55">
        <v>86</v>
      </c>
      <c r="D358" s="55"/>
      <c r="E358" s="55">
        <f t="shared" si="14"/>
        <v>86</v>
      </c>
      <c r="F358" s="56">
        <v>35</v>
      </c>
      <c r="G358" s="56">
        <f t="shared" si="13"/>
        <v>3010</v>
      </c>
    </row>
    <row r="359" spans="1:7" ht="17.25" customHeight="1" x14ac:dyDescent="0.3">
      <c r="A359" s="65"/>
      <c r="B359" s="57" t="s">
        <v>17</v>
      </c>
      <c r="C359" s="66">
        <f>SUM(C351:C358)</f>
        <v>281</v>
      </c>
      <c r="D359" s="73" t="s">
        <v>402</v>
      </c>
      <c r="E359" s="66">
        <f>SUM(E351:E358)</f>
        <v>281</v>
      </c>
      <c r="F359" s="67"/>
      <c r="G359" s="68">
        <f>SUM(G351:G358)</f>
        <v>9549</v>
      </c>
    </row>
    <row r="360" spans="1:7" x14ac:dyDescent="0.25">
      <c r="C360" s="55">
        <v>0</v>
      </c>
    </row>
    <row r="361" spans="1:7" ht="18.75" x14ac:dyDescent="0.3">
      <c r="B361" s="57" t="s">
        <v>270</v>
      </c>
      <c r="C361" s="42">
        <f>C359+C349+C311+C267+C223+C181+C89+C44+C135</f>
        <v>28054.174000000003</v>
      </c>
      <c r="D361" s="73" t="s">
        <v>403</v>
      </c>
      <c r="E361" s="42">
        <f>E359+E349+E311+E267+E223+E181+E135+E89+E44</f>
        <v>27132.574000000001</v>
      </c>
      <c r="F361" s="69" t="s">
        <v>271</v>
      </c>
      <c r="G361" s="67">
        <f>G359+G349+G311+G267+G223+G181+G135+G89+G44</f>
        <v>3773503.398</v>
      </c>
    </row>
    <row r="362" spans="1:7" x14ac:dyDescent="0.25">
      <c r="C362" s="55">
        <v>0</v>
      </c>
    </row>
    <row r="363" spans="1:7" x14ac:dyDescent="0.25">
      <c r="A363" s="18">
        <v>306</v>
      </c>
      <c r="B363" s="54" t="s">
        <v>117</v>
      </c>
      <c r="C363" s="55">
        <f>634+199</f>
        <v>833</v>
      </c>
      <c r="D363" s="55"/>
      <c r="E363" s="55"/>
      <c r="F363" s="55">
        <v>1E-3</v>
      </c>
      <c r="G363" s="55">
        <f t="shared" ref="G363" si="15">C363*F363</f>
        <v>0.83299999999999996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02</vt:lpstr>
      <vt:lpstr>ABRIL 31</vt:lpstr>
      <vt:lpstr>MAYO 29</vt:lpstr>
      <vt:lpstr>JULIO 3</vt:lpstr>
      <vt:lpstr>JULIO 31</vt:lpstr>
      <vt:lpstr>AGOSTO 28</vt:lpstr>
      <vt:lpstr>OCTUBRE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SERVIDOR</cp:lastModifiedBy>
  <cp:lastPrinted>2022-10-01T14:46:06Z</cp:lastPrinted>
  <dcterms:created xsi:type="dcterms:W3CDTF">2022-01-03T13:58:14Z</dcterms:created>
  <dcterms:modified xsi:type="dcterms:W3CDTF">2022-10-05T18:02:01Z</dcterms:modified>
</cp:coreProperties>
</file>