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1.xml" ContentType="application/vnd.openxmlformats-officedocument.spreadsheetml.comments+xml"/>
  <Override PartName="/xl/drawings/drawing15.xml" ContentType="application/vnd.openxmlformats-officedocument.drawing+xml"/>
  <Override PartName="/xl/comments12.xml" ContentType="application/vnd.openxmlformats-officedocument.spreadsheetml.comments+xml"/>
  <Override PartName="/xl/drawings/drawing16.xml" ContentType="application/vnd.openxmlformats-officedocument.drawing+xml"/>
  <Override PartName="/xl/comments13.xml" ContentType="application/vnd.openxmlformats-officedocument.spreadsheetml.comments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3690" yWindow="0" windowWidth="16605" windowHeight="10920" firstSheet="19" activeTab="20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   A G O S T O   2 0 2 2    " sheetId="24" r:id="rId22"/>
    <sheet name="  COMPRAS  AGOSTO    2022     " sheetId="25" r:id="rId23"/>
    <sheet name=" S E P T I E M B R E     2022  " sheetId="26" r:id="rId24"/>
    <sheet name="COMPRAS  SEPTIEMBRE  2022    " sheetId="28" r:id="rId25"/>
    <sheet name="   O C T U B R E     2 0 2 2   " sheetId="30" r:id="rId26"/>
    <sheet name=" COMPRAS  OCTUBRE   2022    " sheetId="27" r:id="rId27"/>
    <sheet name="Hoja4" sheetId="29" r:id="rId2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28" l="1"/>
  <c r="F31" i="28"/>
  <c r="F28" i="28"/>
  <c r="F22" i="28"/>
  <c r="F18" i="28"/>
  <c r="F3" i="28"/>
  <c r="D101" i="28"/>
  <c r="L37" i="30" l="1"/>
  <c r="P22" i="30"/>
  <c r="M29" i="30"/>
  <c r="M28" i="30"/>
  <c r="M26" i="30"/>
  <c r="D10" i="29"/>
  <c r="C9" i="29"/>
  <c r="N26" i="30" l="1"/>
  <c r="M25" i="30"/>
  <c r="M22" i="30"/>
  <c r="N22" i="30" l="1"/>
  <c r="M21" i="30"/>
  <c r="M20" i="30"/>
  <c r="M19" i="30" l="1"/>
  <c r="C19" i="30"/>
  <c r="M15" i="30" l="1"/>
  <c r="M14" i="30"/>
  <c r="M13" i="30" l="1"/>
  <c r="M12" i="30" l="1"/>
  <c r="M10" i="30"/>
  <c r="M9" i="30" l="1"/>
  <c r="M8" i="30" l="1"/>
  <c r="M7" i="30"/>
  <c r="M6" i="30" l="1"/>
  <c r="M5" i="30" l="1"/>
  <c r="Q39" i="30"/>
  <c r="N67" i="27"/>
  <c r="M67" i="27"/>
  <c r="K67" i="27"/>
  <c r="F67" i="27"/>
  <c r="D67" i="27"/>
  <c r="G65" i="27"/>
  <c r="G64" i="27"/>
  <c r="G63" i="27"/>
  <c r="G62" i="27"/>
  <c r="G61" i="27"/>
  <c r="G60" i="27"/>
  <c r="G59" i="27"/>
  <c r="G58" i="27"/>
  <c r="G57" i="27"/>
  <c r="G56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N3" i="27"/>
  <c r="N4" i="27" s="1"/>
  <c r="N5" i="27" s="1"/>
  <c r="N6" i="27" s="1"/>
  <c r="N7" i="27" s="1"/>
  <c r="N8" i="27" s="1"/>
  <c r="N9" i="27" s="1"/>
  <c r="N10" i="27" s="1"/>
  <c r="N11" i="27" s="1"/>
  <c r="N12" i="27" s="1"/>
  <c r="N13" i="27" s="1"/>
  <c r="N14" i="27" s="1"/>
  <c r="N15" i="27" s="1"/>
  <c r="N16" i="27" s="1"/>
  <c r="N17" i="27" s="1"/>
  <c r="N18" i="27" s="1"/>
  <c r="N19" i="27" s="1"/>
  <c r="N20" i="27" s="1"/>
  <c r="N21" i="27" s="1"/>
  <c r="N22" i="27" s="1"/>
  <c r="N23" i="27" s="1"/>
  <c r="N24" i="27" s="1"/>
  <c r="N25" i="27" s="1"/>
  <c r="N26" i="27" s="1"/>
  <c r="N27" i="27" s="1"/>
  <c r="N28" i="27" s="1"/>
  <c r="N29" i="27" s="1"/>
  <c r="N30" i="27" s="1"/>
  <c r="N31" i="27" s="1"/>
  <c r="N32" i="27" s="1"/>
  <c r="N33" i="27" s="1"/>
  <c r="N34" i="27" s="1"/>
  <c r="N35" i="27" s="1"/>
  <c r="N36" i="27" s="1"/>
  <c r="N37" i="27" s="1"/>
  <c r="N38" i="27" s="1"/>
  <c r="N39" i="27" s="1"/>
  <c r="N40" i="27" s="1"/>
  <c r="N41" i="27" s="1"/>
  <c r="N42" i="27" s="1"/>
  <c r="N43" i="27" s="1"/>
  <c r="N44" i="27" s="1"/>
  <c r="N45" i="27" s="1"/>
  <c r="N46" i="27" s="1"/>
  <c r="N47" i="27" s="1"/>
  <c r="N48" i="27" s="1"/>
  <c r="N49" i="27" s="1"/>
  <c r="N50" i="27" s="1"/>
  <c r="N51" i="27" s="1"/>
  <c r="N52" i="27" s="1"/>
  <c r="N53" i="27" s="1"/>
  <c r="N54" i="27" s="1"/>
  <c r="N55" i="27" s="1"/>
  <c r="N56" i="27" s="1"/>
  <c r="N57" i="27" s="1"/>
  <c r="N58" i="27" s="1"/>
  <c r="N59" i="27" s="1"/>
  <c r="N60" i="27" s="1"/>
  <c r="N61" i="27" s="1"/>
  <c r="N62" i="27" s="1"/>
  <c r="N63" i="27" s="1"/>
  <c r="N64" i="27" s="1"/>
  <c r="N65" i="27" s="1"/>
  <c r="G3" i="27"/>
  <c r="K73" i="30"/>
  <c r="L67" i="30"/>
  <c r="I67" i="30"/>
  <c r="F67" i="30"/>
  <c r="C67" i="30"/>
  <c r="R42" i="30"/>
  <c r="N41" i="30"/>
  <c r="Q40" i="30"/>
  <c r="Q38" i="30"/>
  <c r="Q37" i="30"/>
  <c r="Q36" i="30"/>
  <c r="Q35" i="30"/>
  <c r="Q34" i="30"/>
  <c r="P33" i="30"/>
  <c r="Q33" i="30" s="1"/>
  <c r="P32" i="30"/>
  <c r="Q32" i="30" s="1"/>
  <c r="P31" i="30"/>
  <c r="Q31" i="30" s="1"/>
  <c r="P30" i="30"/>
  <c r="Q30" i="30" s="1"/>
  <c r="P29" i="30"/>
  <c r="Q29" i="30" s="1"/>
  <c r="P28" i="30"/>
  <c r="Q28" i="30" s="1"/>
  <c r="P27" i="30"/>
  <c r="Q27" i="30" s="1"/>
  <c r="P26" i="30"/>
  <c r="Q26" i="30" s="1"/>
  <c r="P25" i="30"/>
  <c r="Q25" i="30" s="1"/>
  <c r="P24" i="30"/>
  <c r="Q24" i="30" s="1"/>
  <c r="P23" i="30"/>
  <c r="Q23" i="30" s="1"/>
  <c r="Q22" i="30"/>
  <c r="P21" i="30"/>
  <c r="Q21" i="30" s="1"/>
  <c r="P20" i="30"/>
  <c r="P19" i="30"/>
  <c r="P18" i="30"/>
  <c r="Q18" i="30" s="1"/>
  <c r="P17" i="30"/>
  <c r="Q17" i="30" s="1"/>
  <c r="P16" i="30"/>
  <c r="Q16" i="30" s="1"/>
  <c r="P15" i="30"/>
  <c r="Q15" i="30" s="1"/>
  <c r="P14" i="30"/>
  <c r="P13" i="30"/>
  <c r="Q13" i="30" s="1"/>
  <c r="P12" i="30"/>
  <c r="Q12" i="30" s="1"/>
  <c r="P11" i="30"/>
  <c r="Q11" i="30" s="1"/>
  <c r="P10" i="30"/>
  <c r="Q10" i="30" s="1"/>
  <c r="P9" i="30"/>
  <c r="Q9" i="30" s="1"/>
  <c r="P8" i="30"/>
  <c r="Q8" i="30" s="1"/>
  <c r="P7" i="30"/>
  <c r="P6" i="30"/>
  <c r="Q6" i="30" s="1"/>
  <c r="P5" i="30"/>
  <c r="K69" i="30" l="1"/>
  <c r="F70" i="30" s="1"/>
  <c r="F73" i="30" s="1"/>
  <c r="K71" i="30" s="1"/>
  <c r="K75" i="30" s="1"/>
  <c r="P41" i="30"/>
  <c r="G67" i="27"/>
  <c r="M41" i="30"/>
  <c r="M45" i="30" s="1"/>
  <c r="Q5" i="30"/>
  <c r="Q41" i="30" s="1"/>
  <c r="E25" i="25" l="1"/>
  <c r="E19" i="25" l="1"/>
  <c r="E14" i="25" l="1"/>
  <c r="F67" i="26" l="1"/>
  <c r="Q6" i="26"/>
  <c r="Q8" i="26"/>
  <c r="M45" i="26"/>
  <c r="P39" i="26"/>
  <c r="M36" i="26" l="1"/>
  <c r="M35" i="26"/>
  <c r="M34" i="26"/>
  <c r="M33" i="26" l="1"/>
  <c r="M32" i="26"/>
  <c r="P32" i="26" l="1"/>
  <c r="P33" i="26"/>
  <c r="P34" i="26"/>
  <c r="P35" i="26"/>
  <c r="Q35" i="26" s="1"/>
  <c r="P36" i="26"/>
  <c r="Q36" i="26" s="1"/>
  <c r="P37" i="26"/>
  <c r="P38" i="26"/>
  <c r="T23" i="26"/>
  <c r="T22" i="26"/>
  <c r="M29" i="26" l="1"/>
  <c r="M28" i="26" l="1"/>
  <c r="P28" i="26"/>
  <c r="P27" i="26"/>
  <c r="M24" i="26" l="1"/>
  <c r="M23" i="26"/>
  <c r="Q22" i="26" l="1"/>
  <c r="M22" i="26" l="1"/>
  <c r="M21" i="26" l="1"/>
  <c r="M20" i="26" l="1"/>
  <c r="M19" i="26" l="1"/>
  <c r="M18" i="26"/>
  <c r="P13" i="26" l="1"/>
  <c r="M13" i="26"/>
  <c r="M14" i="26"/>
  <c r="T16" i="26" l="1"/>
  <c r="M12" i="26"/>
  <c r="M10" i="26" l="1"/>
  <c r="M7" i="26"/>
  <c r="M6" i="26" l="1"/>
  <c r="N67" i="28" l="1"/>
  <c r="M67" i="28"/>
  <c r="K67" i="28"/>
  <c r="F67" i="28"/>
  <c r="D67" i="28"/>
  <c r="G65" i="28"/>
  <c r="G64" i="28"/>
  <c r="G63" i="28"/>
  <c r="G62" i="28"/>
  <c r="G61" i="28"/>
  <c r="G60" i="28"/>
  <c r="G59" i="28"/>
  <c r="G58" i="28"/>
  <c r="G57" i="28"/>
  <c r="G56" i="28"/>
  <c r="G55" i="28"/>
  <c r="G54" i="28"/>
  <c r="G53" i="28"/>
  <c r="G52" i="28"/>
  <c r="G51" i="28"/>
  <c r="G50" i="28"/>
  <c r="G49" i="28"/>
  <c r="G48" i="28"/>
  <c r="G47" i="28"/>
  <c r="G46" i="28"/>
  <c r="G45" i="28"/>
  <c r="G44" i="28"/>
  <c r="G43" i="28"/>
  <c r="G42" i="28"/>
  <c r="G41" i="28"/>
  <c r="G40" i="28"/>
  <c r="G39" i="28"/>
  <c r="G38" i="28"/>
  <c r="G37" i="28"/>
  <c r="G36" i="28"/>
  <c r="G35" i="28"/>
  <c r="G34" i="28"/>
  <c r="G33" i="28"/>
  <c r="G32" i="28"/>
  <c r="G31" i="28"/>
  <c r="G30" i="28"/>
  <c r="G29" i="28"/>
  <c r="G28" i="28"/>
  <c r="G27" i="28"/>
  <c r="G26" i="28"/>
  <c r="G25" i="28"/>
  <c r="G24" i="28"/>
  <c r="G23" i="28"/>
  <c r="G22" i="28"/>
  <c r="G21" i="28"/>
  <c r="G20" i="28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N3" i="28"/>
  <c r="N4" i="28" s="1"/>
  <c r="N5" i="28" s="1"/>
  <c r="N6" i="28" s="1"/>
  <c r="N7" i="28" s="1"/>
  <c r="N8" i="28" s="1"/>
  <c r="N9" i="28" s="1"/>
  <c r="N10" i="28" s="1"/>
  <c r="N11" i="28" s="1"/>
  <c r="N12" i="28" s="1"/>
  <c r="N13" i="28" s="1"/>
  <c r="N14" i="28" s="1"/>
  <c r="N15" i="28" s="1"/>
  <c r="N16" i="28" s="1"/>
  <c r="N17" i="28" s="1"/>
  <c r="N18" i="28" s="1"/>
  <c r="N19" i="28" s="1"/>
  <c r="N20" i="28" s="1"/>
  <c r="N21" i="28" s="1"/>
  <c r="N22" i="28" s="1"/>
  <c r="N23" i="28" s="1"/>
  <c r="N24" i="28" s="1"/>
  <c r="N25" i="28" s="1"/>
  <c r="N26" i="28" s="1"/>
  <c r="N27" i="28" s="1"/>
  <c r="N28" i="28" s="1"/>
  <c r="N29" i="28" s="1"/>
  <c r="N30" i="28" s="1"/>
  <c r="N31" i="28" s="1"/>
  <c r="N32" i="28" s="1"/>
  <c r="N33" i="28" s="1"/>
  <c r="N34" i="28" s="1"/>
  <c r="N35" i="28" s="1"/>
  <c r="N36" i="28" s="1"/>
  <c r="N37" i="28" s="1"/>
  <c r="N38" i="28" s="1"/>
  <c r="N39" i="28" s="1"/>
  <c r="N40" i="28" s="1"/>
  <c r="N41" i="28" s="1"/>
  <c r="N42" i="28" s="1"/>
  <c r="N43" i="28" s="1"/>
  <c r="N44" i="28" s="1"/>
  <c r="N45" i="28" s="1"/>
  <c r="N46" i="28" s="1"/>
  <c r="N47" i="28" s="1"/>
  <c r="N48" i="28" s="1"/>
  <c r="N49" i="28" s="1"/>
  <c r="N50" i="28" s="1"/>
  <c r="N51" i="28" s="1"/>
  <c r="N52" i="28" s="1"/>
  <c r="N53" i="28" s="1"/>
  <c r="N54" i="28" s="1"/>
  <c r="N55" i="28" s="1"/>
  <c r="N56" i="28" s="1"/>
  <c r="N57" i="28" s="1"/>
  <c r="N58" i="28" s="1"/>
  <c r="N59" i="28" s="1"/>
  <c r="N60" i="28" s="1"/>
  <c r="N61" i="28" s="1"/>
  <c r="N62" i="28" s="1"/>
  <c r="N63" i="28" s="1"/>
  <c r="N64" i="28" s="1"/>
  <c r="N65" i="28" s="1"/>
  <c r="G3" i="28"/>
  <c r="K73" i="26"/>
  <c r="I67" i="26"/>
  <c r="C67" i="26"/>
  <c r="L67" i="26"/>
  <c r="R42" i="26"/>
  <c r="R41" i="26"/>
  <c r="N41" i="26"/>
  <c r="Q40" i="26"/>
  <c r="Q39" i="26"/>
  <c r="Q38" i="26"/>
  <c r="Q34" i="26"/>
  <c r="P31" i="26"/>
  <c r="Q31" i="26" s="1"/>
  <c r="P30" i="26"/>
  <c r="Q30" i="26" s="1"/>
  <c r="P29" i="26"/>
  <c r="Q29" i="26" s="1"/>
  <c r="Q28" i="26"/>
  <c r="Q27" i="26"/>
  <c r="P26" i="26"/>
  <c r="Q26" i="26" s="1"/>
  <c r="P25" i="26"/>
  <c r="Q25" i="26" s="1"/>
  <c r="P24" i="26"/>
  <c r="Q24" i="26" s="1"/>
  <c r="P23" i="26"/>
  <c r="Q23" i="26" s="1"/>
  <c r="P22" i="26"/>
  <c r="P21" i="26"/>
  <c r="Q21" i="26" s="1"/>
  <c r="P20" i="26"/>
  <c r="P19" i="26"/>
  <c r="Q19" i="26" s="1"/>
  <c r="P18" i="26"/>
  <c r="Q18" i="26" s="1"/>
  <c r="P17" i="26"/>
  <c r="Q17" i="26" s="1"/>
  <c r="P16" i="26"/>
  <c r="Q16" i="26" s="1"/>
  <c r="P15" i="26"/>
  <c r="Q15" i="26" s="1"/>
  <c r="P14" i="26"/>
  <c r="Q14" i="26" s="1"/>
  <c r="Q13" i="26"/>
  <c r="P12" i="26"/>
  <c r="Q12" i="26" s="1"/>
  <c r="P11" i="26"/>
  <c r="Q11" i="26" s="1"/>
  <c r="P10" i="26"/>
  <c r="Q10" i="26" s="1"/>
  <c r="P9" i="26"/>
  <c r="Q9" i="26" s="1"/>
  <c r="M41" i="26"/>
  <c r="P8" i="26"/>
  <c r="P7" i="26"/>
  <c r="P6" i="26"/>
  <c r="P5" i="26"/>
  <c r="G67" i="28" l="1"/>
  <c r="P41" i="26"/>
  <c r="K69" i="26"/>
  <c r="F70" i="26" s="1"/>
  <c r="F73" i="26" s="1"/>
  <c r="K71" i="26" s="1"/>
  <c r="K75" i="26" s="1"/>
  <c r="Q5" i="26"/>
  <c r="Q41" i="26" s="1"/>
  <c r="R42" i="24" l="1"/>
  <c r="F67" i="24"/>
  <c r="R41" i="24"/>
  <c r="L50" i="24"/>
  <c r="L49" i="24"/>
  <c r="Q30" i="24" l="1"/>
  <c r="M28" i="24"/>
  <c r="M26" i="24" l="1"/>
  <c r="M20" i="24" l="1"/>
  <c r="M18" i="24"/>
  <c r="E34" i="19" l="1"/>
  <c r="M9" i="24" l="1"/>
  <c r="M67" i="25" l="1"/>
  <c r="L67" i="25"/>
  <c r="J67" i="25"/>
  <c r="E67" i="25"/>
  <c r="C67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M3" i="25"/>
  <c r="M4" i="25" s="1"/>
  <c r="M5" i="25" s="1"/>
  <c r="M6" i="25" s="1"/>
  <c r="M7" i="25" s="1"/>
  <c r="M8" i="25" s="1"/>
  <c r="M9" i="25" s="1"/>
  <c r="M10" i="25" s="1"/>
  <c r="M11" i="25" s="1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F3" i="25"/>
  <c r="K73" i="24"/>
  <c r="L67" i="24"/>
  <c r="I67" i="24"/>
  <c r="C67" i="24"/>
  <c r="N41" i="24"/>
  <c r="Q40" i="24"/>
  <c r="Q39" i="24"/>
  <c r="Q38" i="24"/>
  <c r="Q36" i="24"/>
  <c r="Q35" i="24"/>
  <c r="Q34" i="24"/>
  <c r="P32" i="24"/>
  <c r="Q32" i="24" s="1"/>
  <c r="P31" i="24"/>
  <c r="Q31" i="24" s="1"/>
  <c r="P30" i="24"/>
  <c r="P29" i="24"/>
  <c r="Q29" i="24" s="1"/>
  <c r="P28" i="24"/>
  <c r="Q28" i="24" s="1"/>
  <c r="P27" i="24"/>
  <c r="Q27" i="24" s="1"/>
  <c r="P26" i="24"/>
  <c r="Q26" i="24" s="1"/>
  <c r="P25" i="24"/>
  <c r="Q25" i="24" s="1"/>
  <c r="P24" i="24"/>
  <c r="P23" i="24"/>
  <c r="P22" i="24"/>
  <c r="Q22" i="24" s="1"/>
  <c r="P21" i="24"/>
  <c r="Q21" i="24" s="1"/>
  <c r="P20" i="24"/>
  <c r="P19" i="24"/>
  <c r="Q19" i="24" s="1"/>
  <c r="P18" i="24"/>
  <c r="Q18" i="24" s="1"/>
  <c r="P17" i="24"/>
  <c r="Q17" i="24" s="1"/>
  <c r="P16" i="24"/>
  <c r="Q16" i="24" s="1"/>
  <c r="P15" i="24"/>
  <c r="Q15" i="24" s="1"/>
  <c r="P14" i="24"/>
  <c r="Q14" i="24" s="1"/>
  <c r="P13" i="24"/>
  <c r="Q13" i="24" s="1"/>
  <c r="P12" i="24"/>
  <c r="Q12" i="24" s="1"/>
  <c r="P11" i="24"/>
  <c r="Q11" i="24" s="1"/>
  <c r="P10" i="24"/>
  <c r="Q10" i="24" s="1"/>
  <c r="M41" i="24"/>
  <c r="P9" i="24"/>
  <c r="Q9" i="24" s="1"/>
  <c r="P8" i="24"/>
  <c r="P7" i="24"/>
  <c r="P6" i="24"/>
  <c r="Q6" i="24" s="1"/>
  <c r="P5" i="24"/>
  <c r="F67" i="25" l="1"/>
  <c r="M45" i="24"/>
  <c r="K69" i="24"/>
  <c r="F70" i="24" s="1"/>
  <c r="F73" i="24" s="1"/>
  <c r="K71" i="24" s="1"/>
  <c r="K75" i="24" s="1"/>
  <c r="P41" i="24"/>
  <c r="Q5" i="24"/>
  <c r="Q41" i="24" s="1"/>
  <c r="L67" i="20"/>
  <c r="M13" i="21" l="1"/>
  <c r="L67" i="23" l="1"/>
  <c r="M26" i="23"/>
  <c r="P26" i="23" l="1"/>
  <c r="P27" i="23"/>
  <c r="P28" i="23"/>
  <c r="P29" i="23"/>
  <c r="P30" i="23"/>
  <c r="M21" i="23" l="1"/>
  <c r="Q34" i="23"/>
  <c r="Q35" i="23"/>
  <c r="M17" i="23" l="1"/>
  <c r="M16" i="23"/>
  <c r="M13" i="23"/>
  <c r="M12" i="23"/>
  <c r="M10" i="23" l="1"/>
  <c r="Q5" i="23" l="1"/>
  <c r="M67" i="20" l="1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N41" i="23"/>
  <c r="Q40" i="23"/>
  <c r="Q39" i="23"/>
  <c r="Q38" i="23"/>
  <c r="Q36" i="23"/>
  <c r="P33" i="23"/>
  <c r="Q33" i="23" s="1"/>
  <c r="P32" i="23"/>
  <c r="Q32" i="23" s="1"/>
  <c r="P31" i="23"/>
  <c r="Q31" i="23" s="1"/>
  <c r="Q29" i="23"/>
  <c r="Q28" i="23"/>
  <c r="Q27" i="23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F3" i="21"/>
  <c r="K67" i="18"/>
  <c r="I61" i="18"/>
  <c r="F61" i="18"/>
  <c r="C61" i="18"/>
  <c r="N41" i="18"/>
  <c r="Q40" i="18"/>
  <c r="Q39" i="18"/>
  <c r="Q38" i="18"/>
  <c r="Q37" i="18"/>
  <c r="Q36" i="18"/>
  <c r="Q35" i="18"/>
  <c r="Q34" i="18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N35" i="21" l="1"/>
  <c r="N36" i="21" s="1"/>
  <c r="N37" i="21" s="1"/>
  <c r="N38" i="21" s="1"/>
  <c r="N39" i="21" s="1"/>
  <c r="N40" i="21" s="1"/>
  <c r="N41" i="21" s="1"/>
  <c r="F70" i="2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<sst xmlns="http://schemas.openxmlformats.org/spreadsheetml/2006/main" count="2719" uniqueCount="1482">
  <si>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</si>
  <si>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</si>
  <si>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</si>
  <si>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</si>
  <si>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</si>
  <si>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</si>
  <si>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</si>
  <si>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</si>
  <si>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</si>
  <si>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</si>
  <si>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</si>
  <si>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</si>
  <si>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</si>
  <si>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</si>
  <si>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</si>
  <si>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</si>
  <si>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</si>
  <si>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</si>
  <si>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</si>
  <si>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</si>
  <si>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</si>
  <si>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</si>
  <si>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</si>
  <si>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</si>
  <si>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</si>
  <si>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</si>
  <si>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</si>
  <si>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</si>
  <si>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</si>
  <si>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</si>
  <si>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</si>
  <si>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</si>
  <si>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</si>
  <si>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</si>
  <si>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</si>
  <si>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</si>
  <si>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</si>
  <si>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</si>
  <si>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</si>
  <si>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</si>
  <si>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</si>
  <si>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</si>
  <si>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</si>
  <si>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</si>
  <si>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</si>
  <si>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</si>
  <si>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</si>
  <si>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</si>
  <si>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</si>
  <si>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</si>
  <si>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</si>
  <si>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</si>
  <si>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</si>
  <si>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</si>
  <si>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</si>
  <si>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</si>
  <si>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</si>
  <si>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</si>
  <si>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</si>
  <si>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</si>
  <si>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</si>
  <si>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</si>
  <si>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</si>
  <si>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</si>
  <si>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</si>
  <si>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</si>
  <si>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</si>
  <si>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</si>
  <si>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</si>
  <si>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</si>
  <si>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</si>
  <si>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</si>
  <si>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</si>
  <si>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</si>
  <si>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</si>
  <si>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</si>
  <si>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</si>
  <si>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</si>
  <si>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</si>
  <si>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</si>
  <si>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</si>
  <si>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</si>
  <si>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</si>
  <si>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</si>
  <si>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</si>
  <si>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</si>
  <si>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</si>
  <si>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</si>
  <si>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</si>
  <si>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</si>
  <si>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</si>
  <si>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</si>
  <si>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</si>
  <si>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</si>
  <si>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</si>
  <si>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</si>
  <si>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</si>
  <si>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</si>
  <si>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</si>
  <si>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</si>
  <si>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</si>
  <si>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</si>
  <si>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</si>
  <si>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</si>
  <si>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</si>
  <si>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</si>
  <si>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</si>
  <si>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</si>
  <si>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</si>
  <si>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</si>
  <si>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</si>
  <si>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</si>
  <si>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</si>
  <si>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</si>
  <si>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</si>
  <si>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</si>
  <si>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</si>
  <si>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</si>
  <si>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</si>
  <si>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</si>
  <si>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</si>
  <si>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</si>
  <si>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</si>
  <si>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</si>
  <si>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</si>
  <si>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</si>
  <si>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</si>
  <si>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</si>
  <si>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</si>
  <si>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</si>
  <si>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</si>
  <si>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</si>
  <si>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</si>
  <si>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</si>
  <si>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</si>
  <si>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</si>
  <si>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</si>
  <si>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</si>
  <si>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</si>
  <si>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</si>
  <si>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</si>
  <si>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</si>
  <si>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</si>
  <si>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</si>
  <si>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</si>
  <si>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</si>
  <si>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</si>
  <si>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</si>
  <si>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</si>
  <si>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</si>
  <si>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</si>
  <si>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</si>
  <si>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</si>
  <si>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</si>
  <si>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</si>
  <si>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</si>
  <si>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</si>
  <si>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</si>
  <si>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</si>
  <si>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</si>
  <si>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</si>
  <si>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</si>
  <si>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</si>
  <si>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</si>
  <si>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</si>
  <si>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</si>
  <si>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</si>
  <si>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</si>
  <si>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</si>
  <si>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</si>
  <si>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</si>
  <si>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</si>
  <si>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</si>
  <si>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</si>
  <si>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</si>
  <si>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</si>
  <si>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</si>
  <si>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</si>
  <si>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</si>
  <si>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</si>
  <si>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</si>
  <si>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</si>
  <si>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</si>
  <si>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</si>
  <si>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</si>
  <si>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</si>
  <si>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</si>
  <si>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</si>
  <si>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</si>
  <si>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</si>
  <si>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</si>
  <si>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</si>
  <si>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</si>
  <si>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</si>
  <si>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</si>
  <si>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</si>
  <si>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</si>
  <si>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</si>
  <si>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</si>
  <si>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</si>
  <si>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</si>
  <si>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</si>
  <si>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</si>
  <si>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</si>
  <si>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</si>
  <si>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</si>
  <si>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</si>
  <si>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</si>
  <si>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</si>
  <si>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</si>
  <si>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</si>
  <si>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</si>
  <si>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</si>
  <si>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</si>
  <si>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</si>
  <si>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</si>
  <si>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</si>
  <si>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</si>
  <si>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</si>
  <si>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</si>
  <si>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</si>
  <si>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</si>
  <si>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</si>
  <si>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</si>
  <si>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</si>
  <si>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</si>
  <si>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</si>
  <si>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</si>
  <si>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</si>
  <si>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</si>
  <si>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</si>
  <si>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</si>
  <si>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</si>
  <si>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</si>
  <si>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</si>
  <si>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</si>
  <si>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</si>
  <si>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</si>
  <si>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</si>
  <si>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</si>
  <si>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</si>
  <si>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</si>
  <si>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</si>
  <si>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</si>
  <si>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</si>
  <si>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</si>
  <si>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</si>
  <si>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</si>
  <si>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</si>
  <si>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</si>
  <si>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</si>
  <si>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</si>
  <si>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</si>
  <si>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</si>
  <si>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</si>
  <si>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</si>
  <si>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</si>
  <si>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</si>
  <si>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</si>
  <si>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</si>
  <si>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</si>
  <si>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</si>
  <si>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</si>
  <si>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</si>
  <si>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</si>
  <si>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</si>
  <si>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</si>
  <si>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</si>
  <si>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</si>
  <si>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</si>
  <si>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</si>
  <si>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</si>
  <si>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</si>
  <si>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</si>
  <si>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</si>
  <si>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</si>
  <si>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</si>
  <si>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</si>
  <si>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</si>
  <si>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</si>
  <si>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</si>
  <si>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</si>
  <si>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</si>
  <si>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</si>
  <si>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</si>
  <si>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</si>
  <si>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</si>
  <si>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</si>
  <si>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</si>
  <si>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</si>
  <si>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</si>
  <si>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</si>
  <si>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</si>
  <si>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</si>
  <si>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</si>
  <si>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</si>
  <si>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</si>
  <si>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</si>
  <si>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</si>
  <si>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</si>
  <si>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</si>
  <si>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</si>
  <si>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</si>
  <si>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</si>
  <si>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</si>
  <si>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</si>
  <si>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</si>
  <si>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</si>
  <si>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</si>
  <si>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</si>
  <si>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</si>
  <si>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</si>
  <si>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</si>
  <si>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</si>
  <si>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</si>
  <si>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</si>
  <si>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</si>
  <si>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</si>
  <si>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</si>
  <si>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</si>
  <si>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</si>
  <si>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</si>
  <si>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</si>
  <si>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</si>
  <si>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</si>
  <si>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</si>
  <si>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</si>
  <si>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</si>
  <si>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</si>
  <si>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</si>
  <si>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</si>
  <si>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</si>
  <si>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</si>
  <si>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</si>
  <si>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</si>
  <si>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</si>
  <si>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</si>
  <si>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</si>
  <si>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</si>
  <si>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</si>
  <si>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</si>
  <si>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</si>
  <si>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</si>
  <si>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</si>
  <si>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</si>
  <si>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</si>
  <si>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</si>
  <si>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</si>
  <si>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</si>
  <si>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</si>
  <si>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</si>
  <si>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</si>
  <si>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</si>
  <si>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</si>
  <si>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</si>
  <si>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</si>
  <si>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</si>
  <si>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</si>
  <si>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</si>
  <si>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</si>
  <si>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</si>
  <si>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</si>
  <si>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</si>
  <si>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</si>
  <si>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</si>
  <si>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</si>
  <si>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</si>
  <si>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</si>
  <si>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</si>
  <si>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</si>
  <si>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</si>
  <si>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</si>
  <si>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</si>
  <si>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</si>
  <si>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</si>
  <si>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</si>
  <si>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</si>
  <si>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</si>
  <si>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</si>
  <si>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</si>
  <si>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</si>
  <si>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</si>
  <si>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</si>
  <si>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</si>
  <si>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</si>
  <si>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</si>
  <si>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</si>
  <si>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</si>
  <si>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</si>
  <si>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</si>
  <si>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</si>
  <si>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</si>
  <si>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</si>
  <si>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</si>
  <si>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</si>
  <si>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</si>
  <si>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</si>
  <si>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</si>
  <si>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</si>
  <si>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</si>
  <si>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</si>
  <si>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</si>
  <si>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</si>
  <si>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</si>
  <si>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</si>
  <si>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</si>
  <si>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</si>
  <si>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</si>
  <si>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</si>
  <si>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</si>
  <si>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</si>
  <si>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</si>
  <si>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</si>
  <si>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</si>
  <si>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</si>
  <si>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</si>
  <si>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</si>
  <si>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</si>
  <si>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</si>
  <si>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</si>
  <si>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</si>
  <si>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</si>
  <si>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</si>
  <si>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</si>
  <si>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</si>
  <si>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</si>
  <si>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</si>
  <si>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</si>
  <si>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</si>
  <si>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</si>
  <si>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</si>
  <si>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</si>
  <si>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</si>
  <si>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</si>
  <si>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</si>
  <si>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</si>
  <si>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</si>
  <si>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</si>
  <si>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</si>
  <si>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</si>
  <si>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</si>
  <si>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</si>
  <si>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</si>
  <si>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</si>
  <si>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</si>
  <si>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</si>
  <si>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</si>
  <si>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</si>
  <si>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</si>
  <si>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</si>
  <si>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</si>
  <si>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</si>
  <si>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</si>
  <si>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</si>
  <si>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</si>
  <si>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</si>
  <si>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</si>
  <si>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</si>
  <si>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</si>
  <si>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</si>
  <si>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</si>
  <si>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</si>
  <si>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</si>
  <si>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</si>
  <si>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</si>
  <si>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</si>
  <si>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</si>
  <si>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</si>
  <si>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</si>
  <si>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</si>
  <si>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</si>
  <si>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</si>
  <si>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</si>
  <si>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</si>
  <si>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</si>
  <si>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</si>
  <si>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</si>
  <si>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</si>
  <si>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</si>
  <si>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</si>
  <si>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</si>
  <si>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</si>
  <si>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</si>
  <si>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</si>
  <si>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</si>
  <si>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</si>
  <si>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</si>
  <si>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</si>
  <si>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</si>
  <si>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</si>
  <si>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</si>
  <si>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</si>
  <si>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</si>
  <si>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</si>
  <si>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</si>
  <si>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</si>
  <si>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</si>
  <si>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</si>
  <si>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</si>
  <si>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</si>
  <si>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</si>
  <si>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</si>
  <si>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</si>
  <si>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</si>
  <si>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</si>
  <si>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</si>
  <si>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</si>
  <si>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</si>
  <si>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</si>
  <si>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</si>
  <si>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</si>
  <si>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</si>
  <si>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</si>
  <si>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</si>
  <si>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</si>
  <si>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</si>
  <si>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</si>
  <si>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</si>
  <si>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</si>
  <si>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</si>
  <si>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</si>
  <si>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</si>
  <si>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</si>
  <si>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</si>
  <si>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</si>
  <si>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</si>
  <si>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</si>
  <si>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</si>
  <si>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</si>
  <si>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</si>
  <si>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</si>
  <si>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</si>
  <si>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</si>
  <si>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</si>
  <si>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</si>
  <si>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</si>
  <si>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</si>
  <si>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</si>
  <si>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</si>
  <si>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</si>
  <si>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</si>
  <si>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</si>
  <si>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</si>
  <si>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</si>
  <si>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</si>
  <si>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</si>
  <si>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</si>
  <si>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</si>
  <si>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</si>
  <si>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</si>
  <si>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</si>
  <si>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</si>
  <si>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</si>
  <si>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</si>
  <si>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</si>
  <si>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</si>
  <si>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</si>
  <si>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</si>
  <si>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</si>
  <si>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</si>
  <si>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</si>
  <si>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</si>
  <si>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</si>
  <si>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</si>
  <si>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</si>
  <si>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</si>
  <si>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</si>
  <si>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</si>
  <si>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</si>
  <si>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</si>
  <si>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</si>
  <si>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</si>
  <si>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</si>
  <si>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</si>
  <si>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</si>
  <si>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</si>
  <si>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</si>
  <si>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</si>
  <si>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</si>
  <si>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</si>
  <si>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</si>
  <si>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</si>
  <si>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</si>
  <si>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</si>
  <si>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</si>
  <si>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</si>
  <si>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</si>
  <si>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</si>
  <si>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</si>
  <si>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</si>
  <si>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</si>
  <si>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</si>
  <si>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</si>
  <si>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</si>
  <si>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</si>
  <si>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</si>
  <si>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</si>
  <si>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</si>
  <si>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</si>
  <si>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</si>
  <si>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</si>
  <si>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</si>
  <si>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</si>
  <si>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</si>
  <si>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</si>
  <si>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</si>
  <si>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</si>
  <si>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</si>
  <si>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</si>
  <si>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</si>
  <si>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</si>
  <si>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</si>
  <si>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</si>
  <si>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</si>
  <si>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</si>
  <si>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</si>
  <si>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</si>
  <si>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</si>
  <si>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</si>
  <si>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</si>
  <si>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</si>
  <si>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</si>
  <si>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</si>
  <si>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</si>
  <si>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</si>
  <si>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</si>
  <si>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</si>
  <si>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</si>
  <si>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</si>
  <si>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</si>
  <si>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</si>
  <si>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</si>
  <si>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</si>
  <si>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</si>
  <si>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</si>
  <si>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</si>
  <si>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</si>
  <si>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</si>
  <si>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</si>
  <si>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</si>
  <si>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</si>
  <si>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</si>
  <si>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</si>
  <si>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</si>
  <si>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</si>
  <si>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</si>
  <si>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</si>
  <si>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</si>
  <si>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</si>
  <si>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</si>
  <si>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</si>
  <si>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</si>
  <si>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</si>
  <si>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</si>
  <si>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</si>
  <si>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</si>
  <si>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</si>
  <si>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</si>
  <si>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</si>
  <si>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</si>
  <si>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</si>
  <si>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</si>
  <si>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</si>
  <si>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</si>
  <si>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</si>
  <si>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</si>
  <si>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</si>
  <si>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</si>
  <si>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</si>
  <si>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</si>
  <si>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</si>
  <si>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</si>
  <si>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</si>
  <si>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</si>
  <si>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</si>
  <si>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</si>
  <si>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</si>
  <si>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</si>
  <si>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</si>
  <si>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</si>
  <si>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</si>
  <si>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</si>
  <si>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</si>
  <si>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</si>
  <si>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</si>
  <si>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</si>
  <si>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</si>
  <si>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</si>
  <si>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</si>
  <si>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</si>
  <si>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</si>
  <si>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</si>
  <si>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</si>
  <si>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</si>
  <si>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</si>
  <si>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</si>
  <si>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</si>
  <si>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</si>
  <si>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</si>
  <si>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</si>
  <si>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</si>
  <si>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</si>
  <si>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</si>
  <si>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</si>
  <si>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</si>
  <si>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</si>
  <si>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</si>
  <si>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</si>
  <si>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</si>
  <si>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</si>
  <si>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</si>
  <si>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</si>
  <si>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</si>
  <si>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</si>
  <si>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</si>
  <si>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</si>
  <si>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</si>
  <si>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</si>
  <si>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</si>
  <si>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</si>
  <si>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</si>
  <si>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</si>
  <si>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</si>
  <si>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</si>
  <si>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</si>
  <si>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</si>
  <si>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</si>
  <si>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</si>
  <si>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</si>
  <si>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</si>
  <si>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</si>
  <si>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</si>
  <si>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</si>
  <si>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</si>
  <si>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</si>
  <si>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</si>
  <si>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</si>
  <si>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</si>
  <si>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</si>
  <si>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</si>
  <si>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</si>
  <si>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</si>
  <si>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</si>
  <si>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</si>
  <si>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</si>
  <si>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</si>
  <si>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</si>
  <si>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</si>
  <si>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CUENTA BBVA  NLP</t>
  </si>
  <si>
    <t xml:space="preserve">DIFERENCIA </t>
  </si>
  <si>
    <t>FICHA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</si>
  <si>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</si>
  <si>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</si>
  <si>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</si>
  <si>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</si>
  <si>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</si>
  <si>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</si>
  <si>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</si>
  <si>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</si>
  <si>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</si>
  <si>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</si>
  <si>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</si>
  <si>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</si>
  <si>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</si>
  <si>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</si>
  <si>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</si>
  <si>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</si>
  <si>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</si>
  <si>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</si>
  <si>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</si>
  <si>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</si>
  <si>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</si>
  <si>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</si>
  <si>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</si>
  <si>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</si>
  <si>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</si>
  <si>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</si>
  <si>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</si>
  <si>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</si>
  <si>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</si>
  <si>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</si>
  <si>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</si>
  <si>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</si>
  <si>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</si>
  <si>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</si>
  <si>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</si>
  <si>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</si>
  <si>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</si>
  <si>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</si>
  <si>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</si>
  <si>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</si>
  <si>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</si>
  <si>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</si>
  <si>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</si>
  <si>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</si>
  <si>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</si>
  <si>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</si>
  <si>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</si>
  <si>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</si>
  <si>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</si>
  <si>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</si>
  <si>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</si>
  <si>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</si>
  <si>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</si>
  <si>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</si>
  <si>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</si>
  <si>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</si>
  <si>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</si>
  <si>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</si>
  <si>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</si>
  <si>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</si>
  <si>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</si>
  <si>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</si>
  <si>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</si>
  <si>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</si>
  <si>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</si>
  <si>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</si>
  <si>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</si>
  <si>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</si>
  <si>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</si>
  <si>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</si>
  <si>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</si>
  <si>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</si>
  <si>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</si>
  <si>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</si>
  <si>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</si>
  <si>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</si>
  <si>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</si>
  <si>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</si>
  <si>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</si>
  <si>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</si>
  <si>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</si>
  <si>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</si>
  <si>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</si>
  <si>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</si>
  <si>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</si>
  <si>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</si>
  <si>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</si>
  <si>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</si>
  <si>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</si>
  <si>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</si>
  <si>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</si>
  <si>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</si>
  <si>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</si>
  <si>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</si>
  <si>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</si>
  <si>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</si>
  <si>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</si>
  <si>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</si>
  <si>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</si>
  <si>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</si>
  <si>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</si>
  <si>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</si>
  <si>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</si>
  <si>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</si>
  <si>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</si>
  <si>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</si>
  <si>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</si>
  <si>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</si>
  <si>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</si>
  <si>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</si>
  <si>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</si>
  <si>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</si>
  <si>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</si>
  <si>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</si>
  <si>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</si>
  <si>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</si>
  <si>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</si>
  <si>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</si>
  <si>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</si>
  <si>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</si>
  <si>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</si>
  <si>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</si>
  <si>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</si>
  <si>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</si>
  <si>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</si>
  <si>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</si>
  <si>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</si>
  <si>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</si>
  <si>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</si>
  <si>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</si>
  <si>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</si>
  <si>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</si>
  <si>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</si>
  <si>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</si>
  <si>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</si>
  <si>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</si>
  <si>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</si>
  <si>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</si>
  <si>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</si>
  <si>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</si>
  <si>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</si>
  <si>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</si>
  <si>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</si>
  <si>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</si>
  <si>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</si>
  <si>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</si>
  <si>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</si>
  <si>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</si>
  <si>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</si>
  <si>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</si>
  <si>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</si>
  <si>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</si>
  <si>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</si>
  <si>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</si>
  <si>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</si>
  <si>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</si>
  <si>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</si>
  <si>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</si>
  <si>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</si>
  <si>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</si>
  <si>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</si>
  <si>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</si>
  <si>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</si>
  <si>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</si>
  <si>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</si>
  <si>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</si>
  <si>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</si>
  <si>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</si>
  <si>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</si>
  <si>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</si>
  <si>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</si>
  <si>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</si>
  <si>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</si>
  <si>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</si>
  <si>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</si>
  <si>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</si>
  <si>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</si>
  <si>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</si>
  <si>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</si>
  <si>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</si>
  <si>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</si>
  <si>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</si>
  <si>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</si>
  <si>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</si>
  <si>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</si>
  <si>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</si>
  <si>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</si>
  <si>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</si>
  <si>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</si>
  <si>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</si>
  <si>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</si>
  <si>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</si>
  <si>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</si>
  <si>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</si>
  <si>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</si>
  <si>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</si>
  <si>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</si>
  <si>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</si>
  <si>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</si>
  <si>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</si>
  <si>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</si>
  <si>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</si>
  <si>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</si>
  <si>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</si>
  <si>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</si>
  <si>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</si>
  <si>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</si>
  <si>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</si>
  <si>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</si>
  <si>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</si>
  <si>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</si>
  <si>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</si>
  <si>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</si>
  <si>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</si>
  <si>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</si>
  <si>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</si>
  <si>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</si>
  <si>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</si>
  <si>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</si>
  <si>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</si>
  <si>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</si>
  <si>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</si>
  <si>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</si>
  <si>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</si>
  <si>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</si>
  <si>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</si>
  <si>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</si>
  <si>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</si>
  <si>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</si>
  <si>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</si>
  <si>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</si>
  <si>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</si>
  <si>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</si>
  <si>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</si>
  <si>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</si>
  <si>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</si>
  <si>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</si>
  <si>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</si>
  <si>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</si>
  <si>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</si>
  <si>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</si>
  <si>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</si>
  <si>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</si>
  <si>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</si>
  <si>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</si>
  <si>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</si>
  <si>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</si>
  <si>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</si>
  <si>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</si>
  <si>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</si>
  <si>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</si>
  <si>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</si>
  <si>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</si>
  <si>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</si>
  <si>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</si>
  <si>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</si>
  <si>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</si>
  <si>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</si>
  <si>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</si>
  <si>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</si>
  <si>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</si>
  <si>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</si>
  <si>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</si>
  <si>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</si>
  <si>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</si>
  <si>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</si>
  <si>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</si>
  <si>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</si>
  <si>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</si>
  <si>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</si>
  <si>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</si>
  <si>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</si>
  <si>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</si>
  <si>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</si>
  <si>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</si>
  <si>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</si>
  <si>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</si>
  <si>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</si>
  <si>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</si>
  <si>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</si>
  <si>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</si>
  <si>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</si>
  <si>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</si>
  <si>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</si>
  <si>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</si>
  <si>
    <t>LONGANIZA-POLLO-SALSAS-JAMON-SALCHICHONERIA</t>
  </si>
  <si>
    <t>QUESILLO,POLLO-JAMON-CHISTORRA-CHICHARRON</t>
  </si>
  <si>
    <t>POLLO-QUESOS-JAMONES-LONGANIZA</t>
  </si>
  <si>
    <t>SALCHICHONERIA--QUESO-POLLO-ENCHILADA-LONGANIZA</t>
  </si>
  <si>
    <t>CHISTORRA-SALCHICHONERIA-POLLO-QUESO</t>
  </si>
  <si>
    <t>LONGANIZA-POLLO-QUESOS-CREMA</t>
  </si>
  <si>
    <t>NOMINA # 29</t>
  </si>
  <si>
    <t>Nomina # 29</t>
  </si>
  <si>
    <t>CHORIZO-ENCHILADA-QUESOS-MIXIOTE</t>
  </si>
  <si>
    <t>ABASTOS</t>
  </si>
  <si>
    <t>QUESOS-POLLO-CHORIZO-PATA</t>
  </si>
  <si>
    <t>QUESOS-POLLO-ARABE-SALCHICHA-CHISTORRA</t>
  </si>
  <si>
    <t>LONGANIZA-POLLO-QUESOS-JAMON-CHORIZO</t>
  </si>
  <si>
    <t>PRESTAMO</t>
  </si>
  <si>
    <t>SALCHICHONERIA-QUESOS -POLLO-PASTOR</t>
  </si>
  <si>
    <t>AL PASTOR-QUESOS-POLLO-JAMON-PATA</t>
  </si>
  <si>
    <t>SALSAS-JAMON-QUESO-POLLO</t>
  </si>
  <si>
    <t>NOMINA # 30</t>
  </si>
  <si>
    <t>Nomina #30</t>
  </si>
  <si>
    <t>QUESOS-POLLO-TOCINETA-PEPERONI</t>
  </si>
  <si>
    <t>POLLO-QUESOS-CHISTORRA-LONGANIZA-PATA-PICAÑA</t>
  </si>
  <si>
    <r>
      <rPr>
        <b/>
        <sz val="12"/>
        <color rgb="FF0000FF"/>
        <rFont val="Calibri"/>
        <family val="2"/>
        <scheme val="minor"/>
      </rPr>
      <t>Docto</t>
    </r>
    <r>
      <rPr>
        <b/>
        <sz val="12"/>
        <color theme="1"/>
        <rFont val="Calibri"/>
        <family val="2"/>
        <scheme val="minor"/>
      </rPr>
      <t>. NOTAS</t>
    </r>
  </si>
  <si>
    <t>QUESOS-SALCHICHA</t>
  </si>
  <si>
    <t>POLLO-QUESO-JAMON-PATA-CHULETA-SALCHICHONERIA</t>
  </si>
  <si>
    <t>QUESOS-CREMA-POLLO-PAVO-LONGANIZA</t>
  </si>
  <si>
    <t>QUESOS-SALSAS-POLLO</t>
  </si>
  <si>
    <t xml:space="preserve">  </t>
  </si>
  <si>
    <t>POLLO-QUESOS-PATA</t>
  </si>
  <si>
    <t>Nomina # 31 y Vacaciones</t>
  </si>
  <si>
    <t>Nomina #31</t>
  </si>
  <si>
    <t>ENCHILADA-LONGANIZA-POLLO</t>
  </si>
  <si>
    <t>Abastos/NLP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</si>
  <si>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</si>
  <si>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</si>
  <si>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</si>
  <si>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</si>
  <si>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</si>
  <si>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</si>
  <si>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</si>
  <si>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</si>
  <si>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</si>
  <si>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</si>
  <si>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</si>
  <si>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</si>
  <si>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</si>
  <si>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</si>
  <si>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</si>
  <si>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</si>
  <si>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</si>
  <si>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</si>
  <si>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</si>
  <si>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</si>
  <si>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</si>
  <si>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</si>
  <si>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05088 D</t>
  </si>
  <si>
    <t>05103 D</t>
  </si>
  <si>
    <t>05201 D</t>
  </si>
  <si>
    <t>05305 D</t>
  </si>
  <si>
    <t>05373 D</t>
  </si>
  <si>
    <t>05493 D</t>
  </si>
  <si>
    <t>05530 D</t>
  </si>
  <si>
    <t>05614 D</t>
  </si>
  <si>
    <t>desechables</t>
  </si>
  <si>
    <t>Publicidad</t>
  </si>
  <si>
    <t>Fumigacion</t>
  </si>
  <si>
    <t>delantales</t>
  </si>
  <si>
    <t>Flete</t>
  </si>
  <si>
    <t>compras</t>
  </si>
  <si>
    <t>bolsa</t>
  </si>
  <si>
    <t>poliestrech</t>
  </si>
  <si>
    <t>carbon</t>
  </si>
  <si>
    <t>telmex</t>
  </si>
  <si>
    <t>Tramontina</t>
  </si>
  <si>
    <t>CORTES RES</t>
  </si>
  <si>
    <t>Basura</t>
  </si>
  <si>
    <t>Vidrios</t>
  </si>
  <si>
    <t>INNOVA prod</t>
  </si>
  <si>
    <t>Seguro carga</t>
  </si>
  <si>
    <t>CULATELLO</t>
  </si>
  <si>
    <t>SALMON-SURIMI</t>
  </si>
  <si>
    <t>Comisin Banco</t>
  </si>
  <si>
    <t>4-jul-2022</t>
  </si>
  <si>
    <t>6-jul-2022</t>
  </si>
  <si>
    <t>7-jul-2022</t>
  </si>
  <si>
    <t>8-jul-2022</t>
  </si>
  <si>
    <t>9-jul-2022</t>
  </si>
  <si>
    <t>11-jul-2022</t>
  </si>
  <si>
    <t>12-jul-2022</t>
  </si>
  <si>
    <t>13-jul-2022</t>
  </si>
  <si>
    <t>14-jul-2022</t>
  </si>
  <si>
    <t>16-jul-2022</t>
  </si>
  <si>
    <t>17-jul-2022</t>
  </si>
  <si>
    <t>18-jul-2022</t>
  </si>
  <si>
    <t>19-jul-2022</t>
  </si>
  <si>
    <t>20-jul-2022</t>
  </si>
  <si>
    <t>21-jul-2022</t>
  </si>
  <si>
    <t>22-jul-2022</t>
  </si>
  <si>
    <t>23-jul-2022</t>
  </si>
  <si>
    <t>24-jul-2022</t>
  </si>
  <si>
    <t>25-jul-2022</t>
  </si>
  <si>
    <t>26-jul-2022</t>
  </si>
  <si>
    <t>27-jul-2022</t>
  </si>
  <si>
    <t>28-jul-2022</t>
  </si>
  <si>
    <t>29-jul-2022</t>
  </si>
  <si>
    <t>30-jul-2022</t>
  </si>
  <si>
    <t>2-Jul-22---24-Jul-22</t>
  </si>
  <si>
    <t>BALANCE      ABASTO 4 CARNES    Z A V A L E T A      A G O S T O             2 0 2 2</t>
  </si>
  <si>
    <t>PAPA-CHISTORRA-SALCHICHONERIA-QUESOS-</t>
  </si>
  <si>
    <t>lengua-pollo-jamon-quesos-chorizo-arabe</t>
  </si>
  <si>
    <t>QUESOS-POLLO-LONGANIZA-ARABE-Chorizo</t>
  </si>
  <si>
    <t>Angelica Jimenez</t>
  </si>
  <si>
    <t xml:space="preserve">QUESOS-POLLO  </t>
  </si>
  <si>
    <t>junio</t>
  </si>
  <si>
    <t>PAPAS-QUESOS-´POLLO-Chul Ahum,</t>
  </si>
  <si>
    <t>QUESOS-PEPERONI-SALAMI-CHISTORRA</t>
  </si>
  <si>
    <t>QUESOS-LOMO-SALCHICHONERIA-POLLO-ARABE-PATA-JAMON</t>
  </si>
  <si>
    <t>QUESOS-CHORIZO-SALCHICAH-GELATINA-</t>
  </si>
  <si>
    <t>POLLO-SALCHICHONERIA-LONGANIZA</t>
  </si>
  <si>
    <t>QUESOS-PASTOR</t>
  </si>
  <si>
    <t>PAPA-QUESOS-POLLO-MIXIOTES-CHIMICHURRI-CHORIZO-JAMON</t>
  </si>
  <si>
    <t>NOMINA # 33</t>
  </si>
  <si>
    <t>NOMINA # 32</t>
  </si>
  <si>
    <t>NOMINA# 33</t>
  </si>
  <si>
    <t>QUESOS-ENCHILADA-LONGANIZA-TOCINETA</t>
  </si>
  <si>
    <t>QUESOS-CHISTORRA-SALCHICHA-PATE-PATA-PIERNA AHUM</t>
  </si>
  <si>
    <t>PULPA RES-CHISTORRA-ROASBEEF-QUESOS-RIBEYE-SALCHICHA</t>
  </si>
  <si>
    <t>05732 D</t>
  </si>
  <si>
    <t>05838 D</t>
  </si>
  <si>
    <t>06050 D</t>
  </si>
  <si>
    <t>06125 D</t>
  </si>
  <si>
    <t>06247 D</t>
  </si>
  <si>
    <t>06405 D</t>
  </si>
  <si>
    <t>06555 D</t>
  </si>
  <si>
    <t>06659 D</t>
  </si>
  <si>
    <t>06756 D</t>
  </si>
  <si>
    <t>06853 D</t>
  </si>
  <si>
    <t>06967 D</t>
  </si>
  <si>
    <t>07153 D</t>
  </si>
  <si>
    <t>07286 D</t>
  </si>
  <si>
    <t>07347 D</t>
  </si>
  <si>
    <t>07448 D</t>
  </si>
  <si>
    <t>07454 D</t>
  </si>
  <si>
    <t>07613 D</t>
  </si>
  <si>
    <t>07701 D</t>
  </si>
  <si>
    <t>07764 D</t>
  </si>
  <si>
    <t>07874 D</t>
  </si>
  <si>
    <t>27-Jul-22--26-Agos-22</t>
  </si>
  <si>
    <t>QUESOS-LONGANIZA-CHORIZO-AL PASTOR</t>
  </si>
  <si>
    <t>JAMON-CREMA-CHORIZO-POLLO-QUESOS</t>
  </si>
  <si>
    <t>POLLO-QUESOS-JAMONES</t>
  </si>
  <si>
    <t>POLLO-QUESOS-CHORIZO-AL PASTOR-PATA</t>
  </si>
  <si>
    <t>NOMINA # 34</t>
  </si>
  <si>
    <t>QUESO-TOCINETA-  CHISTORRA-</t>
  </si>
  <si>
    <t>QUESOS-CHISTORRA-PATE-JAMON-PATA-CHORITZO</t>
  </si>
  <si>
    <t>POLLO-QUESO-CREMA-</t>
  </si>
  <si>
    <t>POLLO-QUESO-LONGANIZA-ARABE-PASTOR-</t>
  </si>
  <si>
    <t>08009 D</t>
  </si>
  <si>
    <t>08114 D</t>
  </si>
  <si>
    <t>08149 D</t>
  </si>
  <si>
    <t>08203 D</t>
  </si>
  <si>
    <t>08345 D</t>
  </si>
  <si>
    <t>SALCHICHONERIA-QUESO-POLLO-TOCINO</t>
  </si>
  <si>
    <t>QUESOS-POLLO-CHORIZO-</t>
  </si>
  <si>
    <t>POLLO-LONGANIZA-TOCINO</t>
  </si>
  <si>
    <t>NOMINA # 35</t>
  </si>
  <si>
    <t>SALSAS  Oaxaca</t>
  </si>
  <si>
    <t>Desechables</t>
  </si>
  <si>
    <t>basura</t>
  </si>
  <si>
    <t>Publicidad eurodanceer</t>
  </si>
  <si>
    <t>SALMON-ATUN-SURIMI</t>
  </si>
  <si>
    <t>VARIEDAD QUESOS</t>
  </si>
  <si>
    <t>Permiso SOAPAP</t>
  </si>
  <si>
    <t>RES CIEN</t>
  </si>
  <si>
    <t>Seguro Res</t>
  </si>
  <si>
    <t>Vitrinas</t>
  </si>
  <si>
    <t>SOAPAP Multas</t>
  </si>
  <si>
    <t>bolsas</t>
  </si>
  <si>
    <t>Flete Res</t>
  </si>
  <si>
    <t>Seguro Camioneta</t>
  </si>
  <si>
    <t>Videocamaras Hansel</t>
  </si>
  <si>
    <t>Comisiones Banco</t>
  </si>
  <si>
    <t>1-ago-2022</t>
  </si>
  <si>
    <t>2-ago-2022</t>
  </si>
  <si>
    <t>4-ago-2022</t>
  </si>
  <si>
    <t>5-ago-2022</t>
  </si>
  <si>
    <t>6-ago-2022</t>
  </si>
  <si>
    <t>8-ago-2022</t>
  </si>
  <si>
    <t>9-ago-2022</t>
  </si>
  <si>
    <t>10-ago-2022</t>
  </si>
  <si>
    <t>11-ago-2022</t>
  </si>
  <si>
    <t>12-ago-2022</t>
  </si>
  <si>
    <t>13-ago-2022</t>
  </si>
  <si>
    <t>14-ago-2022</t>
  </si>
  <si>
    <t>15-ago-2022</t>
  </si>
  <si>
    <t>16-ago-2022</t>
  </si>
  <si>
    <t>17-ago-2022</t>
  </si>
  <si>
    <t>18-ago-2022</t>
  </si>
  <si>
    <t>19-ago-2022</t>
  </si>
  <si>
    <t>20-ago-2022</t>
  </si>
  <si>
    <t>22-ago-2022</t>
  </si>
  <si>
    <t>23-ago-2022</t>
  </si>
  <si>
    <t>24-ago-2022</t>
  </si>
  <si>
    <t>25-ago-2022</t>
  </si>
  <si>
    <t>27-ago-2022</t>
  </si>
  <si>
    <t>28-ago-2022</t>
  </si>
  <si>
    <r>
      <t xml:space="preserve">DEPOSITOS PRESTAMO DE CENTRAL A </t>
    </r>
    <r>
      <rPr>
        <b/>
        <sz val="16"/>
        <color theme="5" tint="-0.499984740745262"/>
        <rFont val="Calibri"/>
        <family val="2"/>
        <scheme val="minor"/>
      </rPr>
      <t xml:space="preserve"> ZAVALETA </t>
    </r>
  </si>
  <si>
    <t xml:space="preserve">VENTAS ZAVALETA DEV. DE PRESTAMO A CENTRAL </t>
  </si>
  <si>
    <t xml:space="preserve">DEPOSITAR  A NORMA LEDO PARRA </t>
  </si>
  <si>
    <t>BALANCE      ABASTO 4 CARNES    Z A V A L E T A      SEPTIEMBRE            2 0 2 2</t>
  </si>
  <si>
    <t>POLLO-QUESOS-PATE-SALCHICHAS</t>
  </si>
  <si>
    <t>QUESOS-POLLO-SALCHICHONERIA-CREMA-PAPAS</t>
  </si>
  <si>
    <t>Zavaleta</t>
  </si>
  <si>
    <t>POLLO-AL PASTOR-QUESOS-LONGANIZA-MIXIOTES</t>
  </si>
  <si>
    <t>NOMINA # 36</t>
  </si>
  <si>
    <t>NOMINA #36</t>
  </si>
  <si>
    <t>CREMA-JAMON-POLLO-CHISTORRA-QUESOS-SALCHICHONERIA</t>
  </si>
  <si>
    <t>CHORIZO-ALPASTOR-POLLO-QUESOS-PAPA-SALCHICA</t>
  </si>
  <si>
    <t>QUESOS-POLLO-AL PASTOR-CHORIZO</t>
  </si>
  <si>
    <t>JAMON-QUESOS-´POLLO-CHORIZO</t>
  </si>
  <si>
    <t>NOMINA #37</t>
  </si>
  <si>
    <t>NOMINA # 37</t>
  </si>
  <si>
    <t>QUESOS-CHISTORRA-POLLO-JAMON</t>
  </si>
  <si>
    <t>QUESOS-POLLO-SALCHIICHONERIA-ARABE-PASTOR</t>
  </si>
  <si>
    <t>SALCHICHONERIA-MOLE-POLLO-LONGANIZA-CHISTORRA-QUESOS</t>
  </si>
  <si>
    <t>POLLO-QUESOS--ARABE-PASTOR</t>
  </si>
  <si>
    <t xml:space="preserve">                                                                                                                                                                                 </t>
  </si>
  <si>
    <t>PROTECCION CIVIL</t>
  </si>
  <si>
    <t>LONGANIZA-CHORIZO</t>
  </si>
  <si>
    <t>QUESOS-JAMON-CREMA-COSTCO</t>
  </si>
  <si>
    <t>NOMINA # 38</t>
  </si>
  <si>
    <t>SALCHICHONERIA-QUESOS-MIXIOTE-POLLO-PASTOR-LONGANIZAS</t>
  </si>
  <si>
    <t>QUESOS-POLLO-JAMON-SALCHICHA-TOSTADAS</t>
  </si>
  <si>
    <t>POLLO-SALSAS-QUESO-ENCHILADA-SALCHICHA</t>
  </si>
  <si>
    <t>POLLO-QUESOS-FLETE BOTANAS-YGURT-NATA</t>
  </si>
  <si>
    <t>USO DE SUELO</t>
  </si>
  <si>
    <t>POLLO-PASTOR--ARABE</t>
  </si>
  <si>
    <t>Pagado</t>
  </si>
  <si>
    <t>QUESO-POLLO-MAIZ-LONGANIZA-PAPAS</t>
  </si>
  <si>
    <t>NOMINA # 39</t>
  </si>
  <si>
    <t>QUESOS--TOCINETA-SALAMI-PEPERONI</t>
  </si>
  <si>
    <t>|</t>
  </si>
  <si>
    <t>TOCINO-POLLO-QUESOS-SALCHICHA</t>
  </si>
  <si>
    <t>POLLO-QUESOS-LONGANIZAS-PASTOR-JAMON-CARBON</t>
  </si>
  <si>
    <t>QUESOS-POLLO-LONGANIZA-ENCHILADA-JAMON-CREMA</t>
  </si>
  <si>
    <t>POLLO-QUESOS-PASTOR</t>
  </si>
  <si>
    <t>NOMINA # 40</t>
  </si>
  <si>
    <t>QUESOS</t>
  </si>
  <si>
    <t>2-sep-2022</t>
  </si>
  <si>
    <t>3-sep-2022</t>
  </si>
  <si>
    <t>5-sep-2022</t>
  </si>
  <si>
    <t>6-sep-2022</t>
  </si>
  <si>
    <t>7-sep-2022</t>
  </si>
  <si>
    <t>8-sep-2022</t>
  </si>
  <si>
    <t>10-sep-2022</t>
  </si>
  <si>
    <t>11-sep-2022</t>
  </si>
  <si>
    <t>12-sep-2022</t>
  </si>
  <si>
    <t>13-sep-2022</t>
  </si>
  <si>
    <t>14-sep-2022</t>
  </si>
  <si>
    <t>15-sep-2022</t>
  </si>
  <si>
    <t>16-sep-2022</t>
  </si>
  <si>
    <t>17-sep-2022</t>
  </si>
  <si>
    <t>19-sep-2022</t>
  </si>
  <si>
    <t>20-sep-2022</t>
  </si>
  <si>
    <t>21-sep-2022</t>
  </si>
  <si>
    <t>22-sep-2022</t>
  </si>
  <si>
    <t>23-sep-2022</t>
  </si>
  <si>
    <t>24-sep-2022</t>
  </si>
  <si>
    <t>26-sep-2022</t>
  </si>
  <si>
    <t>27-sep-2022</t>
  </si>
  <si>
    <t>28-sep-2022</t>
  </si>
  <si>
    <t>30-sep-2022</t>
  </si>
  <si>
    <t>1-oct-2022</t>
  </si>
  <si>
    <t>2-oct-2022</t>
  </si>
  <si>
    <t>29-ago-2022</t>
  </si>
  <si>
    <t>30-ago-2022</t>
  </si>
  <si>
    <t>31-ago-2022</t>
  </si>
  <si>
    <t>08653 D</t>
  </si>
  <si>
    <t>08667 D</t>
  </si>
  <si>
    <t>08788 D</t>
  </si>
  <si>
    <t>08892 D</t>
  </si>
  <si>
    <t>D-12322</t>
  </si>
  <si>
    <t>D-12384</t>
  </si>
  <si>
    <t>08961 D</t>
  </si>
  <si>
    <t>0927 D</t>
  </si>
  <si>
    <t>09079 D</t>
  </si>
  <si>
    <t>09227 D</t>
  </si>
  <si>
    <t>09430 D</t>
  </si>
  <si>
    <t>09539 D</t>
  </si>
  <si>
    <t>09656 D</t>
  </si>
  <si>
    <t>09809 D</t>
  </si>
  <si>
    <t>9942 D</t>
  </si>
  <si>
    <t>10019 D</t>
  </si>
  <si>
    <t>10048 D</t>
  </si>
  <si>
    <t>10236 D</t>
  </si>
  <si>
    <t>10258 D</t>
  </si>
  <si>
    <t>10429 D</t>
  </si>
  <si>
    <t>10544 D</t>
  </si>
  <si>
    <t>10662 D</t>
  </si>
  <si>
    <t>10732 D</t>
  </si>
  <si>
    <t>10801 D</t>
  </si>
  <si>
    <t>10805 D</t>
  </si>
  <si>
    <t>10902 D</t>
  </si>
  <si>
    <t>11101 D</t>
  </si>
  <si>
    <t>11193 D</t>
  </si>
  <si>
    <t>11322 D</t>
  </si>
  <si>
    <t>11387 D</t>
  </si>
  <si>
    <t>11494 D</t>
  </si>
  <si>
    <t>11649 D</t>
  </si>
  <si>
    <t>11651 D</t>
  </si>
  <si>
    <t>11783 D</t>
  </si>
  <si>
    <t>11903 D</t>
  </si>
  <si>
    <t>12009 D</t>
  </si>
  <si>
    <t>12131 D</t>
  </si>
  <si>
    <t>12236 D</t>
  </si>
  <si>
    <t>salchicha</t>
  </si>
  <si>
    <t>Chorizo</t>
  </si>
  <si>
    <t>PULPA RES cien</t>
  </si>
  <si>
    <t xml:space="preserve">BASURA </t>
  </si>
  <si>
    <t>FLETE RES</t>
  </si>
  <si>
    <t>Tocino-Jamon-Chorizo-pata res-Salchichoneria</t>
  </si>
  <si>
    <t>Surimi-Salmon-Atun</t>
  </si>
  <si>
    <t>CORTES caña-pulpa</t>
  </si>
  <si>
    <t>Tostitostadas</t>
  </si>
  <si>
    <t>Encontrack</t>
  </si>
  <si>
    <t>Seguro Resp Civil</t>
  </si>
  <si>
    <t>bordados</t>
  </si>
  <si>
    <t>SALSAS FMTS</t>
  </si>
  <si>
    <t>ADT SECURITY</t>
  </si>
  <si>
    <t>Seguros cargas</t>
  </si>
  <si>
    <t>Camara Comercio</t>
  </si>
  <si>
    <t>Jamon americano-pata res-chorizo blanco-Longaniza</t>
  </si>
  <si>
    <t>quesos gouda</t>
  </si>
  <si>
    <t>Albicia productos</t>
  </si>
  <si>
    <t>29-Ago--al 2-Oct</t>
  </si>
  <si>
    <t>comision banco</t>
  </si>
  <si>
    <t>3-Oct-22---7-Oct-22</t>
  </si>
  <si>
    <t>ok</t>
  </si>
  <si>
    <t>7-Oct-22--8-Oct-22</t>
  </si>
  <si>
    <t>8-Oct-22--11-Oct-22</t>
  </si>
  <si>
    <t xml:space="preserve">ZAVALETA DEBE A   CENTRAL </t>
  </si>
  <si>
    <t xml:space="preserve">CENTRAL DEBE A ZAVALETA </t>
  </si>
  <si>
    <t>AL DIA  17 DE OCTUBRE 2022</t>
  </si>
  <si>
    <t>BALANCE      ABASTO 4 CARNES    Z A V A L E T A      OCTUBRE           2 0 2 2</t>
  </si>
  <si>
    <t>quesos-chistorra-pollo-jamon-</t>
  </si>
  <si>
    <t xml:space="preserve">TURNOS </t>
  </si>
  <si>
    <t>SALCHICHA-MOLE-CHORIZO-POLLO-JAMON-PASTOR</t>
  </si>
  <si>
    <t>CHORIZO-LONGANIZA-QUESOS-POLLO-PATEW</t>
  </si>
  <si>
    <t>POLLO-JAMON-LOMOS-QUESO-CONDIMENTOS</t>
  </si>
  <si>
    <t>POLLO-QUESOS-LONGANIZA-PASTOR</t>
  </si>
  <si>
    <t xml:space="preserve">POLLO-QUESO </t>
  </si>
  <si>
    <t>NOMINA #  41</t>
  </si>
  <si>
    <t>QUESOS-TOCINETA-JAMON</t>
  </si>
  <si>
    <t>PAVO-QUESOS-CHISTORRA-POLLO-PASTOR</t>
  </si>
  <si>
    <t>LONGANIZA-CHORIZO-POLLO-SALCHICHA</t>
  </si>
  <si>
    <t>PICAÑA-QUESOS-POLLO-LONGANIZA-CHORIZO-PAPAS-NUGGUETS</t>
  </si>
  <si>
    <t>POLLO-MIXIOTES-QUESOS</t>
  </si>
  <si>
    <t>QUESOS-POLLO-PASTOR</t>
  </si>
  <si>
    <t>POLLO-CREMA-QUESOS</t>
  </si>
  <si>
    <t>NOMINA #  42</t>
  </si>
  <si>
    <t>NOMINA # 41</t>
  </si>
  <si>
    <t>CENTRAL--SALCHICHONERIA -POLLO-QUESOS-PASTOR-ARABE</t>
  </si>
  <si>
    <t>DOC NOTAS CENTRAL</t>
  </si>
  <si>
    <t>ENCHILADA-LONGANIZA-CHORIZO-QUESOS-SALCHICHA</t>
  </si>
  <si>
    <t>CREMA-QUESOS-POLLO-CHORIZO-LONGANIA</t>
  </si>
  <si>
    <t>QUESOS-POLLO-CHORIZO-LONGANIZA-PASTOR</t>
  </si>
  <si>
    <t>QUESOS-POLLO-PAPAS-CHORIZO-ENCHILADA-LONGANIZA</t>
  </si>
  <si>
    <t>NOMINA # 43</t>
  </si>
  <si>
    <t>NOMINA # 42</t>
  </si>
  <si>
    <t>QUESOS-CHISTORRA-PEPERONI-TOCINETA</t>
  </si>
  <si>
    <t>ARABE-MIXIOTES-ALITAS-JAMON-SALCHICHAS</t>
  </si>
  <si>
    <t>VENTA TIKETS</t>
  </si>
  <si>
    <t>PROVEEDORES</t>
  </si>
  <si>
    <t>DEPOSITO</t>
  </si>
  <si>
    <t>FALTANTE POR DEPOSITAR</t>
  </si>
  <si>
    <t>VENTA DEL 21 DE OCTUBRE 2022</t>
  </si>
  <si>
    <t>CHORIZO-POLLO-QUESOS-SALCHICHA-RIB-EYE</t>
  </si>
  <si>
    <t>QUESOS-POLLO-CHORIZO-ENCHILADA</t>
  </si>
  <si>
    <t>POLLO-QUESO-ENCHILADA-POSTRES</t>
  </si>
  <si>
    <t>POLLO-ENCHILADA-PASTOR-QUESOS-ARABE</t>
  </si>
  <si>
    <t>QUESOS-POLLO-ENCHILADA</t>
  </si>
  <si>
    <t>NOMINA # 44 Y Vacaciones</t>
  </si>
  <si>
    <t>Nomina #  44</t>
  </si>
  <si>
    <t>D-12562</t>
  </si>
  <si>
    <t>D-12752</t>
  </si>
  <si>
    <t>D-12794</t>
  </si>
  <si>
    <t>D-12860</t>
  </si>
  <si>
    <t>D-12981</t>
  </si>
  <si>
    <t>D-13037</t>
  </si>
  <si>
    <t>D-13175</t>
  </si>
  <si>
    <t>D-13340</t>
  </si>
  <si>
    <t>D-13341</t>
  </si>
  <si>
    <t>D-13343</t>
  </si>
  <si>
    <t>D-13407</t>
  </si>
  <si>
    <t>D-13480</t>
  </si>
  <si>
    <t>D-13572</t>
  </si>
  <si>
    <t>D-13598</t>
  </si>
  <si>
    <t>D-13697</t>
  </si>
  <si>
    <t>D-13795</t>
  </si>
  <si>
    <t>D-13938</t>
  </si>
  <si>
    <t>D-14205</t>
  </si>
  <si>
    <t>D-14319</t>
  </si>
  <si>
    <t>D-14335</t>
  </si>
  <si>
    <t>D-14345</t>
  </si>
  <si>
    <t>D-14483</t>
  </si>
  <si>
    <t>D-14584</t>
  </si>
  <si>
    <t>D-14664</t>
  </si>
  <si>
    <t>D-14677</t>
  </si>
  <si>
    <t>D-14945</t>
  </si>
  <si>
    <t>D-15060</t>
  </si>
  <si>
    <t>D-15206</t>
  </si>
  <si>
    <t>D-15324</t>
  </si>
  <si>
    <t>D-15342</t>
  </si>
  <si>
    <t>12-Oct-22--13-Oct-22</t>
  </si>
  <si>
    <t>13-Oct-22--14-Oct-22</t>
  </si>
  <si>
    <t>14-Oct-22--17-Oct-22</t>
  </si>
  <si>
    <t>17-Oct-22--21-Oct-22</t>
  </si>
  <si>
    <t>21-Oct-22--25-Oct-22</t>
  </si>
  <si>
    <t>25-Oct-22--3-Nov-22</t>
  </si>
  <si>
    <t>D-15444</t>
  </si>
  <si>
    <t xml:space="preserve">este pago del 19-Oct-22  contra notas de zavaleta </t>
  </si>
  <si>
    <t>3-oct-2022</t>
  </si>
  <si>
    <t>4-oct-2022</t>
  </si>
  <si>
    <t>5-oct-2022</t>
  </si>
  <si>
    <t>6-oct-2022</t>
  </si>
  <si>
    <t>7-oct-2022</t>
  </si>
  <si>
    <t>8-oct-2022</t>
  </si>
  <si>
    <t>10-oct-2022</t>
  </si>
  <si>
    <t>11-oct-2022</t>
  </si>
  <si>
    <t>12-oct-2022</t>
  </si>
  <si>
    <t>13-oct-2022</t>
  </si>
  <si>
    <t>14-oct-2022</t>
  </si>
  <si>
    <t>15-oct-2022</t>
  </si>
  <si>
    <t>16-oct-2022</t>
  </si>
  <si>
    <t>17-oct-2022</t>
  </si>
  <si>
    <t>18-oct-2022</t>
  </si>
  <si>
    <t>20-oct-2022</t>
  </si>
  <si>
    <t>21-oct-2022</t>
  </si>
  <si>
    <t>22-oct-2022</t>
  </si>
  <si>
    <t>24-oct-2022</t>
  </si>
  <si>
    <t>25-oct-2022</t>
  </si>
  <si>
    <t>26-oct-2022</t>
  </si>
  <si>
    <t>27-oct-2022</t>
  </si>
  <si>
    <t>28-oct-2022</t>
  </si>
  <si>
    <t>este pago del 19-Oct-22  contra notas de zavaleta   Y $  57,274.00  EN EFECTIVO</t>
  </si>
  <si>
    <t xml:space="preserve">CON VALE QUE QUEDO EN JULIO </t>
  </si>
  <si>
    <t xml:space="preserve">EL PAGO DEL 24 JULIO FUE CON VALE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</si>
</sst>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8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5"/>
      <color rgb="FF0000FF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8"/>
      <color rgb="FF0000FF"/>
      <name val="Calibri Light"/>
      <family val="1"/>
      <scheme val="major"/>
    </font>
  </fonts>
  <fills count="2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7" tint="0.39997558519241921"/>
        <bgColor indexed="64"/>
      </patternFill>
    </fill>
  </fills>
  <borders count="1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mediumDashDot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 style="mediumDashed">
        <color auto="1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theme="4" tint="0.39997558519241921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75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0" fontId="3" fillId="21" borderId="86" xfId="0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7" xfId="0" applyNumberFormat="1" applyFont="1" applyBorder="1" applyAlignment="1">
      <alignment horizontal="center"/>
    </xf>
    <xf numFmtId="0" fontId="3" fillId="0" borderId="98" xfId="0" applyFont="1" applyBorder="1" applyAlignment="1">
      <alignment horizontal="center"/>
    </xf>
    <xf numFmtId="44" fontId="3" fillId="0" borderId="98" xfId="1" applyFont="1" applyBorder="1" applyAlignment="1">
      <alignment horizontal="center"/>
    </xf>
    <xf numFmtId="165" fontId="3" fillId="0" borderId="98" xfId="0" applyNumberFormat="1" applyFont="1" applyBorder="1" applyAlignment="1">
      <alignment horizontal="center"/>
    </xf>
    <xf numFmtId="44" fontId="3" fillId="0" borderId="99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2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  <xf numFmtId="44" fontId="13" fillId="14" borderId="26" xfId="1" applyFont="1" applyFill="1" applyBorder="1"/>
    <xf numFmtId="0" fontId="3" fillId="17" borderId="27" xfId="0" applyFont="1" applyFill="1" applyBorder="1" applyAlignment="1">
      <alignment horizontal="center"/>
    </xf>
    <xf numFmtId="44" fontId="3" fillId="17" borderId="26" xfId="1" applyFont="1" applyFill="1" applyBorder="1" applyAlignment="1">
      <alignment horizontal="right"/>
    </xf>
    <xf numFmtId="16" fontId="3" fillId="0" borderId="0" xfId="0" applyNumberFormat="1" applyFont="1" applyFill="1" applyAlignment="1">
      <alignment horizontal="center"/>
    </xf>
    <xf numFmtId="0" fontId="18" fillId="16" borderId="0" xfId="0" applyFont="1" applyFill="1" applyAlignment="1">
      <alignment horizontal="left"/>
    </xf>
    <xf numFmtId="44" fontId="2" fillId="0" borderId="103" xfId="1" applyFont="1" applyFill="1" applyBorder="1"/>
    <xf numFmtId="44" fontId="2" fillId="0" borderId="104" xfId="1" applyFont="1" applyFill="1" applyBorder="1"/>
    <xf numFmtId="44" fontId="2" fillId="0" borderId="105" xfId="1" applyFont="1" applyFill="1" applyBorder="1"/>
    <xf numFmtId="44" fontId="2" fillId="0" borderId="106" xfId="1" applyFont="1" applyFill="1" applyBorder="1"/>
    <xf numFmtId="44" fontId="2" fillId="0" borderId="107" xfId="1" applyFont="1" applyFill="1" applyBorder="1"/>
    <xf numFmtId="166" fontId="10" fillId="0" borderId="50" xfId="0" applyNumberFormat="1" applyFont="1" applyFill="1" applyBorder="1"/>
    <xf numFmtId="166" fontId="23" fillId="0" borderId="50" xfId="0" applyNumberFormat="1" applyFont="1" applyFill="1" applyBorder="1"/>
    <xf numFmtId="166" fontId="23" fillId="0" borderId="0" xfId="0" applyNumberFormat="1" applyFont="1" applyFill="1" applyBorder="1"/>
    <xf numFmtId="165" fontId="2" fillId="0" borderId="7" xfId="1" applyNumberFormat="1" applyFont="1" applyFill="1" applyBorder="1" applyAlignment="1">
      <alignment horizontal="center"/>
    </xf>
    <xf numFmtId="165" fontId="68" fillId="0" borderId="21" xfId="1" applyNumberFormat="1" applyFont="1" applyFill="1" applyBorder="1" applyAlignment="1">
      <alignment horizontal="center"/>
    </xf>
    <xf numFmtId="0" fontId="74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left"/>
    </xf>
    <xf numFmtId="44" fontId="2" fillId="0" borderId="31" xfId="1" applyFont="1" applyFill="1" applyBorder="1"/>
    <xf numFmtId="44" fontId="68" fillId="0" borderId="25" xfId="1" applyFont="1" applyFill="1" applyBorder="1"/>
    <xf numFmtId="49" fontId="13" fillId="0" borderId="91" xfId="0" applyNumberFormat="1" applyFont="1" applyFill="1" applyBorder="1"/>
    <xf numFmtId="0" fontId="13" fillId="0" borderId="86" xfId="0" applyFont="1" applyFill="1" applyBorder="1" applyAlignment="1">
      <alignment horizontal="center"/>
    </xf>
    <xf numFmtId="44" fontId="13" fillId="0" borderId="86" xfId="1" applyFont="1" applyFill="1" applyBorder="1"/>
    <xf numFmtId="44" fontId="3" fillId="24" borderId="25" xfId="1" applyFont="1" applyFill="1" applyBorder="1"/>
    <xf numFmtId="164" fontId="2" fillId="24" borderId="25" xfId="0" applyNumberFormat="1" applyFont="1" applyFill="1" applyBorder="1"/>
    <xf numFmtId="44" fontId="2" fillId="24" borderId="25" xfId="1" applyFont="1" applyFill="1" applyBorder="1"/>
    <xf numFmtId="44" fontId="3" fillId="24" borderId="86" xfId="1" applyFont="1" applyFill="1" applyBorder="1"/>
    <xf numFmtId="44" fontId="3" fillId="25" borderId="86" xfId="1" applyFont="1" applyFill="1" applyBorder="1"/>
    <xf numFmtId="165" fontId="3" fillId="24" borderId="86" xfId="0" applyNumberFormat="1" applyFont="1" applyFill="1" applyBorder="1"/>
    <xf numFmtId="165" fontId="3" fillId="11" borderId="0" xfId="1" applyNumberFormat="1" applyFont="1" applyFill="1"/>
    <xf numFmtId="165" fontId="0" fillId="0" borderId="0" xfId="0" applyNumberFormat="1" applyFill="1"/>
    <xf numFmtId="165" fontId="3" fillId="24" borderId="21" xfId="0" applyNumberFormat="1" applyFont="1" applyFill="1" applyBorder="1"/>
    <xf numFmtId="44" fontId="3" fillId="24" borderId="88" xfId="1" applyFont="1" applyFill="1" applyBorder="1"/>
    <xf numFmtId="44" fontId="3" fillId="26" borderId="25" xfId="1" applyFont="1" applyFill="1" applyBorder="1"/>
    <xf numFmtId="165" fontId="3" fillId="26" borderId="25" xfId="0" applyNumberFormat="1" applyFont="1" applyFill="1" applyBorder="1"/>
    <xf numFmtId="44" fontId="3" fillId="26" borderId="86" xfId="1" applyFont="1" applyFill="1" applyBorder="1"/>
    <xf numFmtId="165" fontId="3" fillId="26" borderId="21" xfId="0" applyNumberFormat="1" applyFont="1" applyFill="1" applyBorder="1"/>
    <xf numFmtId="44" fontId="3" fillId="27" borderId="86" xfId="1" applyFont="1" applyFill="1" applyBorder="1"/>
    <xf numFmtId="44" fontId="13" fillId="26" borderId="86" xfId="1" applyFont="1" applyFill="1" applyBorder="1"/>
    <xf numFmtId="44" fontId="13" fillId="27" borderId="86" xfId="1" applyFont="1" applyFill="1" applyBorder="1"/>
    <xf numFmtId="164" fontId="3" fillId="9" borderId="25" xfId="0" applyNumberFormat="1" applyFont="1" applyFill="1" applyBorder="1"/>
    <xf numFmtId="49" fontId="3" fillId="9" borderId="25" xfId="0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5" fontId="3" fillId="0" borderId="21" xfId="0" applyNumberFormat="1" applyFont="1" applyFill="1" applyBorder="1"/>
    <xf numFmtId="0" fontId="2" fillId="24" borderId="25" xfId="0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center" vertical="center" wrapText="1"/>
    </xf>
    <xf numFmtId="164" fontId="33" fillId="0" borderId="0" xfId="0" applyNumberFormat="1" applyFont="1" applyFill="1" applyBorder="1" applyAlignment="1">
      <alignment vertical="center" wrapText="1"/>
    </xf>
    <xf numFmtId="165" fontId="3" fillId="26" borderId="25" xfId="0" applyNumberFormat="1" applyFont="1" applyFill="1" applyBorder="1" applyAlignment="1">
      <alignment wrapText="1"/>
    </xf>
    <xf numFmtId="165" fontId="3" fillId="15" borderId="25" xfId="0" applyNumberFormat="1" applyFont="1" applyFill="1" applyBorder="1"/>
    <xf numFmtId="44" fontId="3" fillId="15" borderId="25" xfId="1" applyFont="1" applyFill="1" applyBorder="1"/>
    <xf numFmtId="0" fontId="2" fillId="16" borderId="25" xfId="0" applyFont="1" applyFill="1" applyBorder="1" applyAlignment="1"/>
    <xf numFmtId="0" fontId="2" fillId="16" borderId="27" xfId="0" applyFont="1" applyFill="1" applyBorder="1" applyAlignment="1"/>
    <xf numFmtId="166" fontId="19" fillId="0" borderId="50" xfId="0" applyNumberFormat="1" applyFont="1" applyFill="1" applyBorder="1"/>
    <xf numFmtId="166" fontId="18" fillId="0" borderId="50" xfId="0" applyNumberFormat="1" applyFont="1" applyFill="1" applyBorder="1"/>
    <xf numFmtId="0" fontId="20" fillId="0" borderId="25" xfId="0" applyFont="1" applyFill="1" applyBorder="1" applyAlignment="1">
      <alignment horizontal="left"/>
    </xf>
    <xf numFmtId="49" fontId="2" fillId="0" borderId="91" xfId="0" applyNumberFormat="1" applyFont="1" applyBorder="1"/>
    <xf numFmtId="0" fontId="2" fillId="0" borderId="86" xfId="0" applyFont="1" applyBorder="1" applyAlignment="1">
      <alignment horizontal="center"/>
    </xf>
    <xf numFmtId="44" fontId="2" fillId="0" borderId="86" xfId="1" applyFont="1" applyBorder="1"/>
    <xf numFmtId="49" fontId="2" fillId="21" borderId="91" xfId="0" applyNumberFormat="1" applyFont="1" applyFill="1" applyBorder="1"/>
    <xf numFmtId="0" fontId="2" fillId="21" borderId="86" xfId="0" applyFont="1" applyFill="1" applyBorder="1" applyAlignment="1">
      <alignment horizontal="center"/>
    </xf>
    <xf numFmtId="44" fontId="2" fillId="21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/>
    <xf numFmtId="0" fontId="2" fillId="0" borderId="27" xfId="0" applyFont="1" applyFill="1" applyBorder="1" applyAlignment="1"/>
    <xf numFmtId="0" fontId="22" fillId="0" borderId="0" xfId="0" applyFont="1" applyFill="1" applyAlignment="1">
      <alignment horizontal="center"/>
    </xf>
    <xf numFmtId="0" fontId="74" fillId="0" borderId="0" xfId="0" applyFont="1" applyFill="1" applyAlignment="1">
      <alignment horizontal="center"/>
    </xf>
    <xf numFmtId="0" fontId="19" fillId="0" borderId="77" xfId="0" applyFont="1" applyBorder="1"/>
    <xf numFmtId="0" fontId="0" fillId="0" borderId="58" xfId="0" applyBorder="1"/>
    <xf numFmtId="0" fontId="19" fillId="0" borderId="0" xfId="0" applyFont="1" applyBorder="1"/>
    <xf numFmtId="0" fontId="0" fillId="0" borderId="4" xfId="0" applyBorder="1"/>
    <xf numFmtId="0" fontId="68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59" xfId="0" applyBorder="1"/>
    <xf numFmtId="0" fontId="2" fillId="0" borderId="2" xfId="0" applyFont="1" applyFill="1" applyBorder="1"/>
    <xf numFmtId="0" fontId="2" fillId="0" borderId="33" xfId="0" applyFont="1" applyFill="1" applyBorder="1"/>
    <xf numFmtId="165" fontId="2" fillId="0" borderId="2" xfId="0" applyNumberFormat="1" applyFont="1" applyFill="1" applyBorder="1"/>
    <xf numFmtId="0" fontId="68" fillId="0" borderId="25" xfId="0" applyFont="1" applyBorder="1"/>
    <xf numFmtId="0" fontId="19" fillId="0" borderId="25" xfId="0" applyFont="1" applyBorder="1"/>
    <xf numFmtId="44" fontId="2" fillId="0" borderId="56" xfId="1" applyFont="1" applyBorder="1"/>
    <xf numFmtId="44" fontId="10" fillId="0" borderId="26" xfId="1" applyFont="1" applyFill="1" applyBorder="1"/>
    <xf numFmtId="44" fontId="2" fillId="17" borderId="17" xfId="1" applyFont="1" applyFill="1" applyBorder="1" applyAlignment="1">
      <alignment horizontal="center"/>
    </xf>
    <xf numFmtId="0" fontId="0" fillId="3" borderId="0" xfId="0" applyFont="1" applyFill="1"/>
    <xf numFmtId="44" fontId="11" fillId="15" borderId="0" xfId="1" applyFont="1" applyFill="1" applyBorder="1"/>
    <xf numFmtId="0" fontId="2" fillId="0" borderId="0" xfId="0" applyFont="1" applyFill="1" applyAlignment="1">
      <alignment horizontal="center" wrapText="1"/>
    </xf>
    <xf numFmtId="16" fontId="2" fillId="0" borderId="57" xfId="0" applyNumberFormat="1" applyFont="1" applyFill="1" applyBorder="1"/>
    <xf numFmtId="44" fontId="0" fillId="0" borderId="77" xfId="1" applyFont="1" applyBorder="1"/>
    <xf numFmtId="44" fontId="2" fillId="0" borderId="28" xfId="1" applyFont="1" applyBorder="1"/>
    <xf numFmtId="44" fontId="2" fillId="0" borderId="0" xfId="1" applyFont="1" applyBorder="1"/>
    <xf numFmtId="0" fontId="68" fillId="0" borderId="0" xfId="0" applyFont="1" applyFill="1" applyBorder="1" applyAlignment="1">
      <alignment horizontal="left"/>
    </xf>
    <xf numFmtId="44" fontId="11" fillId="3" borderId="0" xfId="1" applyFont="1" applyFill="1" applyBorder="1"/>
    <xf numFmtId="0" fontId="0" fillId="3" borderId="0" xfId="0" applyFill="1" applyBorder="1"/>
    <xf numFmtId="44" fontId="2" fillId="16" borderId="0" xfId="0" applyNumberFormat="1" applyFont="1" applyFill="1" applyBorder="1"/>
    <xf numFmtId="0" fontId="68" fillId="0" borderId="0" xfId="0" applyFont="1" applyFill="1" applyBorder="1"/>
    <xf numFmtId="0" fontId="2" fillId="16" borderId="27" xfId="0" applyFont="1" applyFill="1" applyBorder="1" applyAlignment="1">
      <alignment horizontal="center"/>
    </xf>
    <xf numFmtId="0" fontId="2" fillId="16" borderId="25" xfId="0" applyFont="1" applyFill="1" applyBorder="1" applyAlignment="1">
      <alignment horizontal="left" wrapText="1"/>
    </xf>
    <xf numFmtId="0" fontId="2" fillId="16" borderId="25" xfId="0" applyFont="1" applyFill="1" applyBorder="1" applyAlignment="1">
      <alignment horizontal="center"/>
    </xf>
    <xf numFmtId="166" fontId="15" fillId="0" borderId="50" xfId="0" applyNumberFormat="1" applyFont="1" applyFill="1" applyBorder="1"/>
    <xf numFmtId="0" fontId="2" fillId="16" borderId="25" xfId="0" applyFont="1" applyFill="1" applyBorder="1" applyAlignment="1">
      <alignment horizontal="center" wrapText="1"/>
    </xf>
    <xf numFmtId="44" fontId="3" fillId="17" borderId="0" xfId="1" applyFont="1" applyFill="1" applyAlignment="1">
      <alignment horizontal="center"/>
    </xf>
    <xf numFmtId="49" fontId="3" fillId="21" borderId="102" xfId="0" applyNumberFormat="1" applyFont="1" applyFill="1" applyBorder="1"/>
    <xf numFmtId="0" fontId="3" fillId="21" borderId="88" xfId="0" applyFont="1" applyFill="1" applyBorder="1" applyAlignment="1">
      <alignment horizontal="center"/>
    </xf>
    <xf numFmtId="44" fontId="3" fillId="21" borderId="88" xfId="1" applyFont="1" applyFill="1" applyBorder="1"/>
    <xf numFmtId="49" fontId="0" fillId="0" borderId="91" xfId="0" applyNumberFormat="1" applyFont="1" applyFill="1" applyBorder="1"/>
    <xf numFmtId="0" fontId="0" fillId="0" borderId="86" xfId="0" applyFont="1" applyFill="1" applyBorder="1"/>
    <xf numFmtId="44" fontId="0" fillId="0" borderId="86" xfId="1" applyFont="1" applyFill="1" applyBorder="1"/>
    <xf numFmtId="49" fontId="0" fillId="0" borderId="86" xfId="0" applyNumberFormat="1" applyFont="1" applyFill="1" applyBorder="1"/>
    <xf numFmtId="164" fontId="0" fillId="0" borderId="91" xfId="0" applyNumberFormat="1" applyFont="1" applyFill="1" applyBorder="1"/>
    <xf numFmtId="165" fontId="3" fillId="16" borderId="25" xfId="0" applyNumberFormat="1" applyFont="1" applyFill="1" applyBorder="1" applyAlignment="1">
      <alignment wrapText="1"/>
    </xf>
    <xf numFmtId="0" fontId="76" fillId="0" borderId="0" xfId="0" applyFont="1"/>
    <xf numFmtId="16" fontId="19" fillId="0" borderId="0" xfId="0" applyNumberFormat="1" applyFont="1" applyBorder="1"/>
    <xf numFmtId="164" fontId="0" fillId="0" borderId="0" xfId="0" applyNumberFormat="1" applyBorder="1"/>
    <xf numFmtId="165" fontId="64" fillId="0" borderId="25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0" fontId="68" fillId="0" borderId="25" xfId="0" applyFont="1" applyFill="1" applyBorder="1" applyAlignment="1">
      <alignment horizontal="left"/>
    </xf>
    <xf numFmtId="0" fontId="74" fillId="0" borderId="25" xfId="0" applyFont="1" applyFill="1" applyBorder="1" applyAlignment="1">
      <alignment horizontal="left"/>
    </xf>
    <xf numFmtId="165" fontId="3" fillId="18" borderId="25" xfId="0" applyNumberFormat="1" applyFont="1" applyFill="1" applyBorder="1" applyAlignment="1">
      <alignment wrapText="1"/>
    </xf>
    <xf numFmtId="165" fontId="3" fillId="24" borderId="25" xfId="0" applyNumberFormat="1" applyFont="1" applyFill="1" applyBorder="1"/>
    <xf numFmtId="165" fontId="3" fillId="6" borderId="25" xfId="0" applyNumberFormat="1" applyFont="1" applyFill="1" applyBorder="1"/>
    <xf numFmtId="165" fontId="3" fillId="6" borderId="25" xfId="0" applyNumberFormat="1" applyFont="1" applyFill="1" applyBorder="1" applyAlignment="1">
      <alignment horizontal="center" wrapText="1"/>
    </xf>
    <xf numFmtId="44" fontId="0" fillId="0" borderId="4" xfId="1" applyFont="1" applyBorder="1"/>
    <xf numFmtId="44" fontId="3" fillId="0" borderId="2" xfId="1" applyFont="1" applyFill="1" applyBorder="1"/>
    <xf numFmtId="44" fontId="3" fillId="0" borderId="33" xfId="1" applyFont="1" applyFill="1" applyBorder="1"/>
    <xf numFmtId="44" fontId="0" fillId="0" borderId="59" xfId="1" applyFont="1" applyBorder="1"/>
    <xf numFmtId="0" fontId="0" fillId="0" borderId="109" xfId="0" applyBorder="1"/>
    <xf numFmtId="0" fontId="0" fillId="0" borderId="110" xfId="0" applyBorder="1"/>
    <xf numFmtId="0" fontId="0" fillId="0" borderId="111" xfId="0" applyBorder="1"/>
    <xf numFmtId="0" fontId="0" fillId="0" borderId="30" xfId="0" applyBorder="1"/>
    <xf numFmtId="0" fontId="0" fillId="0" borderId="112" xfId="0" applyBorder="1"/>
    <xf numFmtId="0" fontId="0" fillId="0" borderId="113" xfId="0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left" wrapText="1"/>
    </xf>
    <xf numFmtId="166" fontId="19" fillId="0" borderId="0" xfId="0" applyNumberFormat="1" applyFont="1" applyFill="1" applyAlignment="1">
      <alignment horizontal="left"/>
    </xf>
    <xf numFmtId="15" fontId="2" fillId="0" borderId="30" xfId="0" applyNumberFormat="1" applyFont="1" applyFill="1" applyBorder="1"/>
    <xf numFmtId="164" fontId="2" fillId="0" borderId="74" xfId="0" applyNumberFormat="1" applyFont="1" applyFill="1" applyBorder="1" applyAlignment="1">
      <alignment horizontal="center"/>
    </xf>
    <xf numFmtId="15" fontId="2" fillId="0" borderId="77" xfId="0" applyNumberFormat="1" applyFont="1" applyFill="1" applyBorder="1"/>
    <xf numFmtId="44" fontId="19" fillId="0" borderId="0" xfId="1" applyFont="1" applyFill="1" applyBorder="1" applyAlignment="1">
      <alignment horizontal="center" vertical="center"/>
    </xf>
    <xf numFmtId="0" fontId="64" fillId="14" borderId="28" xfId="0" applyFont="1" applyFill="1" applyBorder="1" applyAlignment="1">
      <alignment horizontal="center" wrapText="1"/>
    </xf>
    <xf numFmtId="44" fontId="3" fillId="13" borderId="26" xfId="1" applyFont="1" applyFill="1" applyBorder="1"/>
    <xf numFmtId="44" fontId="33" fillId="0" borderId="0" xfId="1" applyFont="1"/>
    <xf numFmtId="44" fontId="62" fillId="0" borderId="0" xfId="1" applyFont="1"/>
    <xf numFmtId="44" fontId="33" fillId="0" borderId="5" xfId="1" applyFont="1" applyBorder="1"/>
    <xf numFmtId="0" fontId="12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7" fillId="0" borderId="0" xfId="0" applyFont="1"/>
    <xf numFmtId="44" fontId="33" fillId="3" borderId="0" xfId="1" applyFont="1" applyFill="1"/>
    <xf numFmtId="44" fontId="78" fillId="3" borderId="15" xfId="1" applyFont="1" applyFill="1" applyBorder="1"/>
    <xf numFmtId="0" fontId="0" fillId="3" borderId="0" xfId="0" applyFill="1"/>
    <xf numFmtId="165" fontId="2" fillId="18" borderId="25" xfId="1" applyNumberFormat="1" applyFont="1" applyFill="1" applyBorder="1" applyAlignment="1">
      <alignment horizontal="center"/>
    </xf>
    <xf numFmtId="164" fontId="0" fillId="0" borderId="25" xfId="0" applyNumberFormat="1" applyFont="1" applyFill="1" applyBorder="1"/>
    <xf numFmtId="49" fontId="0" fillId="0" borderId="25" xfId="0" applyNumberFormat="1" applyFont="1" applyFill="1" applyBorder="1"/>
    <xf numFmtId="44" fontId="0" fillId="0" borderId="25" xfId="1" applyFont="1" applyFill="1" applyBorder="1"/>
    <xf numFmtId="44" fontId="3" fillId="3" borderId="86" xfId="1" applyFont="1" applyFill="1" applyBorder="1"/>
    <xf numFmtId="165" fontId="3" fillId="0" borderId="25" xfId="0" applyNumberFormat="1" applyFont="1" applyFill="1" applyBorder="1" applyAlignment="1">
      <alignment wrapText="1"/>
    </xf>
    <xf numFmtId="165" fontId="3" fillId="14" borderId="25" xfId="0" applyNumberFormat="1" applyFont="1" applyFill="1" applyBorder="1"/>
    <xf numFmtId="44" fontId="3" fillId="14" borderId="25" xfId="1" applyFont="1" applyFill="1" applyBorder="1"/>
    <xf numFmtId="44" fontId="3" fillId="16" borderId="86" xfId="1" applyFont="1" applyFill="1" applyBorder="1"/>
    <xf numFmtId="165" fontId="3" fillId="14" borderId="25" xfId="0" applyNumberFormat="1" applyFont="1" applyFill="1" applyBorder="1" applyAlignment="1">
      <alignment wrapText="1"/>
    </xf>
    <xf numFmtId="165" fontId="3" fillId="24" borderId="25" xfId="0" applyNumberFormat="1" applyFont="1" applyFill="1" applyBorder="1" applyAlignment="1">
      <alignment wrapText="1"/>
    </xf>
    <xf numFmtId="165" fontId="3" fillId="28" borderId="25" xfId="0" applyNumberFormat="1" applyFont="1" applyFill="1" applyBorder="1"/>
    <xf numFmtId="44" fontId="3" fillId="28" borderId="86" xfId="1" applyFont="1" applyFill="1" applyBorder="1"/>
    <xf numFmtId="44" fontId="3" fillId="0" borderId="88" xfId="1" applyFont="1" applyFill="1" applyBorder="1"/>
    <xf numFmtId="165" fontId="0" fillId="0" borderId="0" xfId="0" applyNumberFormat="1" applyBorder="1"/>
    <xf numFmtId="164" fontId="3" fillId="0" borderId="21" xfId="0" applyNumberFormat="1" applyFont="1" applyFill="1" applyBorder="1"/>
    <xf numFmtId="49" fontId="3" fillId="0" borderId="21" xfId="0" applyNumberFormat="1" applyFont="1" applyFill="1" applyBorder="1" applyAlignment="1">
      <alignment horizontal="center"/>
    </xf>
    <xf numFmtId="164" fontId="3" fillId="0" borderId="116" xfId="0" applyNumberFormat="1" applyFont="1" applyBorder="1" applyAlignment="1">
      <alignment horizontal="center"/>
    </xf>
    <xf numFmtId="0" fontId="3" fillId="0" borderId="117" xfId="0" applyFont="1" applyBorder="1" applyAlignment="1">
      <alignment horizontal="center"/>
    </xf>
    <xf numFmtId="44" fontId="3" fillId="0" borderId="117" xfId="1" applyFont="1" applyBorder="1" applyAlignment="1">
      <alignment horizontal="center"/>
    </xf>
    <xf numFmtId="165" fontId="3" fillId="0" borderId="117" xfId="0" applyNumberFormat="1" applyFont="1" applyBorder="1" applyAlignment="1">
      <alignment horizontal="center"/>
    </xf>
    <xf numFmtId="44" fontId="3" fillId="0" borderId="118" xfId="1" applyFont="1" applyBorder="1" applyAlignment="1">
      <alignment horizontal="center"/>
    </xf>
    <xf numFmtId="44" fontId="73" fillId="0" borderId="18" xfId="1" applyFont="1" applyFill="1" applyBorder="1"/>
    <xf numFmtId="44" fontId="13" fillId="9" borderId="86" xfId="1" applyFont="1" applyFill="1" applyBorder="1"/>
    <xf numFmtId="165" fontId="3" fillId="9" borderId="21" xfId="0" applyNumberFormat="1" applyFont="1" applyFill="1" applyBorder="1"/>
    <xf numFmtId="44" fontId="2" fillId="9" borderId="89" xfId="1" applyFont="1" applyFill="1" applyBorder="1"/>
    <xf numFmtId="44" fontId="2" fillId="9" borderId="25" xfId="1" applyFont="1" applyFill="1" applyBorder="1"/>
    <xf numFmtId="44" fontId="3" fillId="9" borderId="88" xfId="1" applyFont="1" applyFill="1" applyBorder="1"/>
    <xf numFmtId="44" fontId="3" fillId="9" borderId="86" xfId="1" applyFont="1" applyFill="1" applyBorder="1"/>
    <xf numFmtId="49" fontId="2" fillId="21" borderId="91" xfId="0" applyNumberFormat="1" applyFont="1" applyFill="1" applyBorder="1" applyAlignment="1">
      <alignment horizontal="center"/>
    </xf>
    <xf numFmtId="49" fontId="2" fillId="0" borderId="91" xfId="0" applyNumberFormat="1" applyFont="1" applyBorder="1" applyAlignment="1">
      <alignment horizontal="center"/>
    </xf>
    <xf numFmtId="44" fontId="2" fillId="9" borderId="86" xfId="1" applyFont="1" applyFill="1" applyBorder="1"/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9" fontId="29" fillId="24" borderId="92" xfId="0" applyNumberFormat="1" applyFont="1" applyFill="1" applyBorder="1" applyAlignment="1">
      <alignment horizontal="center" vertical="center"/>
    </xf>
    <xf numFmtId="49" fontId="29" fillId="24" borderId="73" xfId="0" applyNumberFormat="1" applyFont="1" applyFill="1" applyBorder="1" applyAlignment="1">
      <alignment horizontal="center" vertical="center"/>
    </xf>
    <xf numFmtId="49" fontId="29" fillId="24" borderId="29" xfId="0" applyNumberFormat="1" applyFont="1" applyFill="1" applyBorder="1" applyAlignment="1">
      <alignment horizontal="center" vertical="center"/>
    </xf>
    <xf numFmtId="49" fontId="29" fillId="24" borderId="90" xfId="0" applyNumberFormat="1" applyFont="1" applyFill="1" applyBorder="1" applyAlignment="1">
      <alignment horizontal="center" vertical="center"/>
    </xf>
    <xf numFmtId="49" fontId="29" fillId="24" borderId="76" xfId="0" applyNumberFormat="1" applyFont="1" applyFill="1" applyBorder="1" applyAlignment="1">
      <alignment horizontal="center" vertical="center"/>
    </xf>
    <xf numFmtId="49" fontId="29" fillId="24" borderId="53" xfId="0" applyNumberFormat="1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6" xfId="0" applyNumberFormat="1" applyFont="1" applyFill="1" applyBorder="1" applyAlignment="1">
      <alignment horizont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6" xfId="1" applyFont="1" applyBorder="1" applyAlignment="1">
      <alignment horizontal="center" vertical="center"/>
    </xf>
    <xf numFmtId="44" fontId="61" fillId="0" borderId="108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5" xfId="0" applyNumberFormat="1" applyFont="1" applyBorder="1" applyAlignment="1">
      <alignment horizontal="center" vertical="center"/>
    </xf>
    <xf numFmtId="165" fontId="62" fillId="16" borderId="57" xfId="0" applyNumberFormat="1" applyFont="1" applyFill="1" applyBorder="1" applyAlignment="1">
      <alignment horizontal="center" vertical="center" wrapText="1"/>
    </xf>
    <xf numFmtId="165" fontId="62" fillId="16" borderId="77" xfId="0" applyNumberFormat="1" applyFont="1" applyFill="1" applyBorder="1" applyAlignment="1">
      <alignment horizontal="center" vertical="center" wrapText="1"/>
    </xf>
    <xf numFmtId="165" fontId="62" fillId="16" borderId="58" xfId="0" applyNumberFormat="1" applyFont="1" applyFill="1" applyBorder="1" applyAlignment="1">
      <alignment horizontal="center" vertical="center" wrapText="1"/>
    </xf>
    <xf numFmtId="165" fontId="62" fillId="16" borderId="33" xfId="0" applyNumberFormat="1" applyFont="1" applyFill="1" applyBorder="1" applyAlignment="1">
      <alignment horizontal="center" vertical="center" wrapText="1"/>
    </xf>
    <xf numFmtId="165" fontId="62" fillId="16" borderId="5" xfId="0" applyNumberFormat="1" applyFont="1" applyFill="1" applyBorder="1" applyAlignment="1">
      <alignment horizontal="center" vertical="center" wrapText="1"/>
    </xf>
    <xf numFmtId="165" fontId="62" fillId="16" borderId="59" xfId="0" applyNumberFormat="1" applyFont="1" applyFill="1" applyBorder="1" applyAlignment="1">
      <alignment horizontal="center" vertical="center" wrapText="1"/>
    </xf>
    <xf numFmtId="0" fontId="75" fillId="24" borderId="57" xfId="0" applyFont="1" applyFill="1" applyBorder="1" applyAlignment="1">
      <alignment horizontal="center" vertical="center" wrapText="1"/>
    </xf>
    <xf numFmtId="0" fontId="75" fillId="24" borderId="77" xfId="0" applyFont="1" applyFill="1" applyBorder="1" applyAlignment="1">
      <alignment horizontal="center" vertical="center" wrapText="1"/>
    </xf>
    <xf numFmtId="0" fontId="75" fillId="24" borderId="58" xfId="0" applyFont="1" applyFill="1" applyBorder="1" applyAlignment="1">
      <alignment horizontal="center" vertical="center" wrapText="1"/>
    </xf>
    <xf numFmtId="0" fontId="75" fillId="24" borderId="33" xfId="0" applyFont="1" applyFill="1" applyBorder="1" applyAlignment="1">
      <alignment horizontal="center" vertical="center" wrapText="1"/>
    </xf>
    <xf numFmtId="0" fontId="75" fillId="24" borderId="5" xfId="0" applyFont="1" applyFill="1" applyBorder="1" applyAlignment="1">
      <alignment horizontal="center" vertical="center" wrapText="1"/>
    </xf>
    <xf numFmtId="0" fontId="75" fillId="24" borderId="59" xfId="0" applyFont="1" applyFill="1" applyBorder="1" applyAlignment="1">
      <alignment horizontal="center" vertical="center" wrapText="1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0" borderId="26" xfId="1" applyFont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0" xfId="0" applyNumberFormat="1" applyFont="1" applyFill="1" applyBorder="1" applyAlignment="1">
      <alignment horizontal="center" vertical="center" wrapText="1"/>
    </xf>
    <xf numFmtId="164" fontId="11" fillId="7" borderId="101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49" fontId="11" fillId="9" borderId="78" xfId="0" applyNumberFormat="1" applyFont="1" applyFill="1" applyBorder="1" applyAlignment="1">
      <alignment horizontal="center" vertical="center" wrapText="1"/>
    </xf>
    <xf numFmtId="49" fontId="11" fillId="9" borderId="0" xfId="0" applyNumberFormat="1" applyFont="1" applyFill="1" applyBorder="1" applyAlignment="1">
      <alignment horizontal="center" vertical="center" wrapText="1"/>
    </xf>
    <xf numFmtId="49" fontId="11" fillId="9" borderId="90" xfId="0" applyNumberFormat="1" applyFont="1" applyFill="1" applyBorder="1" applyAlignment="1">
      <alignment horizontal="center" vertical="center" wrapText="1"/>
    </xf>
    <xf numFmtId="44" fontId="12" fillId="0" borderId="25" xfId="1" applyFont="1" applyBorder="1" applyAlignment="1">
      <alignment horizontal="center"/>
    </xf>
    <xf numFmtId="7" fontId="34" fillId="18" borderId="2" xfId="1" applyNumberFormat="1" applyFont="1" applyFill="1" applyBorder="1" applyAlignment="1">
      <alignment horizontal="center"/>
    </xf>
    <xf numFmtId="7" fontId="34" fillId="18" borderId="4" xfId="1" applyNumberFormat="1" applyFont="1" applyFill="1" applyBorder="1" applyAlignment="1">
      <alignment horizontal="center"/>
    </xf>
    <xf numFmtId="166" fontId="59" fillId="14" borderId="7" xfId="0" applyNumberFormat="1" applyFont="1" applyFill="1" applyBorder="1" applyAlignment="1">
      <alignment horizontal="center"/>
    </xf>
    <xf numFmtId="166" fontId="59" fillId="14" borderId="8" xfId="0" applyNumberFormat="1" applyFont="1" applyFill="1" applyBorder="1" applyAlignment="1">
      <alignment horizontal="center"/>
    </xf>
    <xf numFmtId="166" fontId="59" fillId="14" borderId="16" xfId="0" applyNumberFormat="1" applyFont="1" applyFill="1" applyBorder="1" applyAlignment="1">
      <alignment horizontal="center"/>
    </xf>
    <xf numFmtId="0" fontId="11" fillId="0" borderId="3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12" xfId="0" applyFont="1" applyBorder="1" applyAlignment="1">
      <alignment horizontal="center" vertical="center"/>
    </xf>
    <xf numFmtId="0" fontId="11" fillId="0" borderId="11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15" xfId="0" applyFont="1" applyBorder="1" applyAlignment="1">
      <alignment horizontal="center" vertical="center"/>
    </xf>
    <xf numFmtId="44" fontId="77" fillId="0" borderId="57" xfId="1" applyFont="1" applyFill="1" applyBorder="1" applyAlignment="1">
      <alignment horizontal="center" vertical="center"/>
    </xf>
    <xf numFmtId="44" fontId="77" fillId="0" borderId="58" xfId="1" applyFont="1" applyFill="1" applyBorder="1" applyAlignment="1">
      <alignment horizontal="center" vertical="center"/>
    </xf>
    <xf numFmtId="44" fontId="77" fillId="0" borderId="33" xfId="1" applyFont="1" applyFill="1" applyBorder="1" applyAlignment="1">
      <alignment horizontal="center" vertical="center"/>
    </xf>
    <xf numFmtId="44" fontId="77" fillId="0" borderId="59" xfId="1" applyFont="1" applyFill="1" applyBorder="1" applyAlignment="1">
      <alignment horizontal="center" vertical="center"/>
    </xf>
    <xf numFmtId="44" fontId="11" fillId="9" borderId="13" xfId="1" applyFont="1" applyFill="1" applyBorder="1" applyAlignment="1">
      <alignment horizontal="center"/>
    </xf>
    <xf numFmtId="44" fontId="11" fillId="9" borderId="51" xfId="1" applyFont="1" applyFill="1" applyBorder="1" applyAlignment="1">
      <alignment horizontal="center"/>
    </xf>
    <xf numFmtId="166" fontId="11" fillId="9" borderId="51" xfId="1" applyNumberFormat="1" applyFont="1" applyFill="1" applyBorder="1" applyAlignment="1">
      <alignment horizontal="center"/>
    </xf>
    <xf numFmtId="44" fontId="33" fillId="16" borderId="1" xfId="1" applyFont="1" applyFill="1" applyBorder="1" applyAlignment="1">
      <alignment horizontal="center" vertical="center"/>
    </xf>
    <xf numFmtId="44" fontId="33" fillId="16" borderId="3" xfId="1" applyFont="1" applyFill="1" applyBorder="1" applyAlignment="1">
      <alignment horizontal="center" vertical="center"/>
    </xf>
    <xf numFmtId="165" fontId="3" fillId="26" borderId="21" xfId="0" applyNumberFormat="1" applyFont="1" applyFill="1" applyBorder="1" applyAlignment="1">
      <alignment wrapText="1"/>
    </xf>
    <xf numFmtId="164" fontId="2" fillId="0" borderId="0" xfId="0" applyNumberFormat="1" applyFont="1" applyBorder="1"/>
    <xf numFmtId="0" fontId="0" fillId="0" borderId="0" xfId="0" applyBorder="1" applyAlignment="1">
      <alignment horizontal="center"/>
    </xf>
    <xf numFmtId="44" fontId="3" fillId="0" borderId="0" xfId="1" applyFont="1" applyBorder="1"/>
    <xf numFmtId="44" fontId="13" fillId="0" borderId="0" xfId="1" applyFont="1" applyFill="1" applyBorder="1"/>
    <xf numFmtId="44" fontId="0" fillId="0" borderId="0" xfId="0" applyNumberFormat="1" applyBorder="1" applyAlignment="1">
      <alignment horizontal="center"/>
    </xf>
    <xf numFmtId="0" fontId="2" fillId="0" borderId="0" xfId="0" applyFont="1" applyBorder="1"/>
    <xf numFmtId="1" fontId="79" fillId="26" borderId="92" xfId="0" applyNumberFormat="1" applyFont="1" applyFill="1" applyBorder="1" applyAlignment="1">
      <alignment horizontal="center" vertical="center"/>
    </xf>
    <xf numFmtId="1" fontId="79" fillId="26" borderId="74" xfId="0" applyNumberFormat="1" applyFont="1" applyFill="1" applyBorder="1" applyAlignment="1">
      <alignment horizontal="center" vertical="center"/>
    </xf>
    <xf numFmtId="1" fontId="79" fillId="26" borderId="73" xfId="0" applyNumberFormat="1" applyFont="1" applyFill="1" applyBorder="1" applyAlignment="1">
      <alignment horizontal="center" vertical="center"/>
    </xf>
    <xf numFmtId="1" fontId="79" fillId="26" borderId="76" xfId="0" applyNumberFormat="1" applyFont="1" applyFill="1" applyBorder="1" applyAlignment="1">
      <alignment horizontal="center" vertical="center"/>
    </xf>
    <xf numFmtId="1" fontId="79" fillId="26" borderId="39" xfId="0" applyNumberFormat="1" applyFont="1" applyFill="1" applyBorder="1" applyAlignment="1">
      <alignment horizontal="center" vertical="center"/>
    </xf>
    <xf numFmtId="1" fontId="79" fillId="26" borderId="53" xfId="0" applyNumberFormat="1" applyFont="1" applyFill="1" applyBorder="1" applyAlignment="1">
      <alignment horizontal="center" vertical="center"/>
    </xf>
    <xf numFmtId="44" fontId="3" fillId="26" borderId="28" xfId="1" applyFont="1" applyFill="1" applyBorder="1"/>
    <xf numFmtId="44" fontId="3" fillId="0" borderId="28" xfId="1" applyFont="1" applyFill="1" applyBorder="1"/>
    <xf numFmtId="165" fontId="33" fillId="26" borderId="57" xfId="0" applyNumberFormat="1" applyFont="1" applyFill="1" applyBorder="1" applyAlignment="1">
      <alignment horizontal="center" vertical="center" wrapText="1"/>
    </xf>
    <xf numFmtId="165" fontId="33" fillId="26" borderId="58" xfId="0" applyNumberFormat="1" applyFont="1" applyFill="1" applyBorder="1" applyAlignment="1">
      <alignment horizontal="center" vertical="center" wrapText="1"/>
    </xf>
    <xf numFmtId="165" fontId="33" fillId="26" borderId="2" xfId="0" applyNumberFormat="1" applyFont="1" applyFill="1" applyBorder="1" applyAlignment="1">
      <alignment horizontal="center" vertical="center" wrapText="1"/>
    </xf>
    <xf numFmtId="165" fontId="33" fillId="26" borderId="4" xfId="0" applyNumberFormat="1" applyFont="1" applyFill="1" applyBorder="1" applyAlignment="1">
      <alignment horizontal="center" vertical="center" wrapText="1"/>
    </xf>
    <xf numFmtId="165" fontId="33" fillId="26" borderId="33" xfId="0" applyNumberFormat="1" applyFont="1" applyFill="1" applyBorder="1" applyAlignment="1">
      <alignment horizontal="center" vertical="center" wrapText="1"/>
    </xf>
    <xf numFmtId="165" fontId="33" fillId="26" borderId="59" xfId="0" applyNumberFormat="1" applyFont="1" applyFill="1" applyBorder="1" applyAlignment="1">
      <alignment horizontal="center" vertical="center" wrapText="1"/>
    </xf>
    <xf numFmtId="49" fontId="59" fillId="26" borderId="78" xfId="0" applyNumberFormat="1" applyFont="1" applyFill="1" applyBorder="1" applyAlignment="1">
      <alignment horizontal="center" vertical="center"/>
    </xf>
    <xf numFmtId="49" fontId="59" fillId="26" borderId="0" xfId="0" applyNumberFormat="1" applyFont="1" applyFill="1" applyBorder="1" applyAlignment="1">
      <alignment horizontal="center" vertical="center"/>
    </xf>
    <xf numFmtId="49" fontId="59" fillId="26" borderId="90" xfId="0" applyNumberFormat="1" applyFont="1" applyFill="1" applyBorder="1" applyAlignment="1">
      <alignment horizontal="center" vertical="center"/>
    </xf>
    <xf numFmtId="49" fontId="59" fillId="26" borderId="119" xfId="0" applyNumberFormat="1" applyFont="1" applyFill="1" applyBorder="1" applyAlignment="1">
      <alignment horizontal="center" vertical="center"/>
    </xf>
    <xf numFmtId="49" fontId="59" fillId="26" borderId="39" xfId="0" applyNumberFormat="1" applyFont="1" applyFill="1" applyBorder="1" applyAlignment="1">
      <alignment horizontal="center" vertical="center"/>
    </xf>
    <xf numFmtId="49" fontId="59" fillId="26" borderId="53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CCFF"/>
      <color rgb="FFCCFF66"/>
      <color rgb="FFCC99FF"/>
      <color rgb="FF66FFFF"/>
      <color rgb="FFFFCCFF"/>
      <color rgb="FF0000FF"/>
      <color rgb="FF990033"/>
      <color rgb="FF00FF00"/>
      <color rgb="FFFF00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24</xdr:row>
      <xdr:rowOff>0</xdr:rowOff>
    </xdr:from>
    <xdr:to>
      <xdr:col>5</xdr:col>
      <xdr:colOff>323850</xdr:colOff>
      <xdr:row>24</xdr:row>
      <xdr:rowOff>19050</xdr:rowOff>
    </xdr:to>
    <xdr:cxnSp macro="">
      <xdr:nvCxnSpPr>
        <xdr:cNvPr id="3" name="Conector recto 2"/>
        <xdr:cNvCxnSpPr/>
      </xdr:nvCxnSpPr>
      <xdr:spPr>
        <a:xfrm>
          <a:off x="1381125" y="5838825"/>
          <a:ext cx="3857625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809625</xdr:colOff>
      <xdr:row>69</xdr:row>
      <xdr:rowOff>104775</xdr:rowOff>
    </xdr:from>
    <xdr:to>
      <xdr:col>6</xdr:col>
      <xdr:colOff>361229</xdr:colOff>
      <xdr:row>93</xdr:row>
      <xdr:rowOff>18463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1887200"/>
          <a:ext cx="5771429" cy="46952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46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44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58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26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2877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34207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34016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25396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218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2398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7161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6970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8350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513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5352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2</xdr:row>
      <xdr:rowOff>180975</xdr:rowOff>
    </xdr:from>
    <xdr:to>
      <xdr:col>2</xdr:col>
      <xdr:colOff>1247775</xdr:colOff>
      <xdr:row>2</xdr:row>
      <xdr:rowOff>304800</xdr:rowOff>
    </xdr:to>
    <xdr:cxnSp macro="">
      <xdr:nvCxnSpPr>
        <xdr:cNvPr id="3" name="Conector recto de flecha 2"/>
        <xdr:cNvCxnSpPr/>
      </xdr:nvCxnSpPr>
      <xdr:spPr>
        <a:xfrm>
          <a:off x="1704975" y="561975"/>
          <a:ext cx="1181100" cy="1238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28576</xdr:colOff>
      <xdr:row>3</xdr:row>
      <xdr:rowOff>38100</xdr:rowOff>
    </xdr:from>
    <xdr:to>
      <xdr:col>3</xdr:col>
      <xdr:colOff>1104900</xdr:colOff>
      <xdr:row>8</xdr:row>
      <xdr:rowOff>28575</xdr:rowOff>
    </xdr:to>
    <xdr:cxnSp macro="">
      <xdr:nvCxnSpPr>
        <xdr:cNvPr id="5" name="Conector recto de flecha 4"/>
        <xdr:cNvCxnSpPr/>
      </xdr:nvCxnSpPr>
      <xdr:spPr>
        <a:xfrm flipH="1">
          <a:off x="3200401" y="952500"/>
          <a:ext cx="1076324" cy="13335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828675</xdr:colOff>
      <xdr:row>11</xdr:row>
      <xdr:rowOff>57150</xdr:rowOff>
    </xdr:from>
    <xdr:to>
      <xdr:col>6</xdr:col>
      <xdr:colOff>466725</xdr:colOff>
      <xdr:row>14</xdr:row>
      <xdr:rowOff>104775</xdr:rowOff>
    </xdr:to>
    <xdr:cxnSp macro="">
      <xdr:nvCxnSpPr>
        <xdr:cNvPr id="5" name="Conector recto de flecha 4"/>
        <xdr:cNvCxnSpPr/>
      </xdr:nvCxnSpPr>
      <xdr:spPr>
        <a:xfrm flipH="1">
          <a:off x="3038475" y="3933825"/>
          <a:ext cx="2600325" cy="723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13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893"/>
      <c r="C1" s="895" t="s">
        <v>25</v>
      </c>
      <c r="D1" s="896"/>
      <c r="E1" s="896"/>
      <c r="F1" s="896"/>
      <c r="G1" s="896"/>
      <c r="H1" s="896"/>
      <c r="I1" s="896"/>
      <c r="J1" s="896"/>
      <c r="K1" s="896"/>
      <c r="L1" s="896"/>
      <c r="M1" s="896"/>
    </row>
    <row r="2" spans="1:19" ht="16.5" thickBot="1" x14ac:dyDescent="0.3">
      <c r="B2" s="894"/>
      <c r="C2" s="3"/>
      <c r="H2" s="5"/>
      <c r="I2" s="6"/>
      <c r="J2" s="7"/>
      <c r="L2" s="8"/>
      <c r="M2" s="6"/>
      <c r="N2" s="9"/>
    </row>
    <row r="3" spans="1:19" ht="21.75" thickBot="1" x14ac:dyDescent="0.35">
      <c r="B3" s="897" t="s">
        <v>0</v>
      </c>
      <c r="C3" s="898"/>
      <c r="D3" s="10"/>
      <c r="E3" s="11"/>
      <c r="F3" s="11"/>
      <c r="H3" s="899" t="s">
        <v>26</v>
      </c>
      <c r="I3" s="899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900" t="s">
        <v>2</v>
      </c>
      <c r="F4" s="901"/>
      <c r="H4" s="902" t="s">
        <v>3</v>
      </c>
      <c r="I4" s="903"/>
      <c r="J4" s="19"/>
      <c r="K4" s="166"/>
      <c r="L4" s="20"/>
      <c r="M4" s="21" t="s">
        <v>4</v>
      </c>
      <c r="N4" s="22" t="s">
        <v>5</v>
      </c>
      <c r="P4" s="874" t="s">
        <v>6</v>
      </c>
      <c r="Q4" s="875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876">
        <f>SUM(M5:M38)</f>
        <v>247061</v>
      </c>
      <c r="N39" s="878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877"/>
      <c r="N40" s="879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880" t="s">
        <v>11</v>
      </c>
      <c r="I52" s="881"/>
      <c r="J52" s="100"/>
      <c r="K52" s="882">
        <f>I50+L50</f>
        <v>53873.49</v>
      </c>
      <c r="L52" s="883"/>
      <c r="M52" s="884">
        <f>N39+M39</f>
        <v>419924</v>
      </c>
      <c r="N52" s="885"/>
      <c r="P52" s="34"/>
      <c r="Q52" s="9"/>
    </row>
    <row r="53" spans="1:17" ht="15.75" x14ac:dyDescent="0.25">
      <c r="D53" s="886" t="s">
        <v>12</v>
      </c>
      <c r="E53" s="886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886" t="s">
        <v>95</v>
      </c>
      <c r="E54" s="886"/>
      <c r="F54" s="96">
        <v>-549976.4</v>
      </c>
      <c r="I54" s="887" t="s">
        <v>13</v>
      </c>
      <c r="J54" s="888"/>
      <c r="K54" s="889">
        <f>F56+F57+F58</f>
        <v>-24577.400000000023</v>
      </c>
      <c r="L54" s="890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891">
        <f>-C4</f>
        <v>0</v>
      </c>
      <c r="L56" s="892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869" t="s">
        <v>18</v>
      </c>
      <c r="E58" s="870"/>
      <c r="F58" s="113">
        <v>567389.35</v>
      </c>
      <c r="I58" s="871" t="s">
        <v>97</v>
      </c>
      <c r="J58" s="872"/>
      <c r="K58" s="873">
        <f>K54+K56</f>
        <v>-24577.400000000023</v>
      </c>
      <c r="L58" s="873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F40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965" t="s">
        <v>597</v>
      </c>
      <c r="J76" s="966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967"/>
      <c r="J77" s="968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931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932"/>
      <c r="K81" s="1"/>
      <c r="L81" s="97"/>
      <c r="M81" s="3"/>
      <c r="N81" s="1"/>
    </row>
    <row r="82" spans="1:14" ht="18.75" x14ac:dyDescent="0.3">
      <c r="A82" s="435"/>
      <c r="B82" s="964" t="s">
        <v>595</v>
      </c>
      <c r="C82" s="964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93"/>
      <c r="C1" s="935" t="s">
        <v>451</v>
      </c>
      <c r="D1" s="936"/>
      <c r="E1" s="936"/>
      <c r="F1" s="936"/>
      <c r="G1" s="936"/>
      <c r="H1" s="936"/>
      <c r="I1" s="936"/>
      <c r="J1" s="936"/>
      <c r="K1" s="936"/>
      <c r="L1" s="936"/>
      <c r="M1" s="936"/>
    </row>
    <row r="2" spans="1:25" ht="16.5" thickBot="1" x14ac:dyDescent="0.3">
      <c r="B2" s="894"/>
      <c r="C2" s="3"/>
      <c r="H2" s="5"/>
      <c r="I2" s="6"/>
      <c r="J2" s="7"/>
      <c r="L2" s="8"/>
      <c r="M2" s="6"/>
      <c r="N2" s="9"/>
    </row>
    <row r="3" spans="1:25" ht="21.75" thickBot="1" x14ac:dyDescent="0.35">
      <c r="B3" s="897" t="s">
        <v>0</v>
      </c>
      <c r="C3" s="898"/>
      <c r="D3" s="10"/>
      <c r="E3" s="11"/>
      <c r="F3" s="11"/>
      <c r="H3" s="899" t="s">
        <v>26</v>
      </c>
      <c r="I3" s="899"/>
      <c r="K3" s="165"/>
      <c r="L3" s="13"/>
      <c r="M3" s="14"/>
      <c r="P3" s="923" t="s">
        <v>6</v>
      </c>
      <c r="R3" s="933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900" t="s">
        <v>2</v>
      </c>
      <c r="F4" s="901"/>
      <c r="H4" s="902" t="s">
        <v>3</v>
      </c>
      <c r="I4" s="903"/>
      <c r="J4" s="19"/>
      <c r="K4" s="166"/>
      <c r="L4" s="20"/>
      <c r="M4" s="21" t="s">
        <v>4</v>
      </c>
      <c r="N4" s="22" t="s">
        <v>5</v>
      </c>
      <c r="P4" s="924"/>
      <c r="Q4" s="322" t="s">
        <v>217</v>
      </c>
      <c r="R4" s="934"/>
      <c r="W4" s="906" t="s">
        <v>124</v>
      </c>
      <c r="X4" s="906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906"/>
      <c r="X5" s="906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910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911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912"/>
      <c r="X21" s="912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913"/>
      <c r="X23" s="913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913"/>
      <c r="X24" s="913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914"/>
      <c r="X25" s="914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914"/>
      <c r="X26" s="914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907"/>
      <c r="X27" s="908"/>
      <c r="Y27" s="909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908"/>
      <c r="X28" s="908"/>
      <c r="Y28" s="909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2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2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2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925">
        <f>SUM(M5:M35)</f>
        <v>2220612.02</v>
      </c>
      <c r="N36" s="927">
        <f>SUM(N5:N35)</f>
        <v>833865</v>
      </c>
      <c r="O36" s="276"/>
      <c r="P36" s="277">
        <v>0</v>
      </c>
      <c r="Q36" s="960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2">
        <v>21120.5</v>
      </c>
      <c r="D37" s="62" t="s">
        <v>845</v>
      </c>
      <c r="E37" s="27"/>
      <c r="F37" s="28"/>
      <c r="G37" s="2"/>
      <c r="H37" s="36"/>
      <c r="I37" s="30"/>
      <c r="J37" s="60"/>
      <c r="K37" s="41"/>
      <c r="L37" s="61"/>
      <c r="M37" s="926"/>
      <c r="N37" s="928"/>
      <c r="O37" s="276"/>
      <c r="P37" s="277">
        <v>0</v>
      </c>
      <c r="Q37" s="961"/>
      <c r="R37" s="227" t="s">
        <v>7</v>
      </c>
    </row>
    <row r="38" spans="1:20" ht="18" thickBot="1" x14ac:dyDescent="0.35">
      <c r="A38" s="23"/>
      <c r="B38" s="24">
        <v>44631</v>
      </c>
      <c r="C38" s="602">
        <v>27745.02</v>
      </c>
      <c r="D38" s="62" t="s">
        <v>845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843</v>
      </c>
      <c r="E39" s="27"/>
      <c r="F39" s="70"/>
      <c r="G39" s="2"/>
      <c r="H39" s="36"/>
      <c r="I39" s="71"/>
      <c r="J39" s="60"/>
      <c r="K39" s="177"/>
      <c r="L39" s="61"/>
      <c r="M39" s="962">
        <f>M36+N36</f>
        <v>3054477.02</v>
      </c>
      <c r="N39" s="963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844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5">
        <v>350000</v>
      </c>
      <c r="D41" s="614" t="s">
        <v>49</v>
      </c>
      <c r="E41" s="74"/>
      <c r="F41" s="75"/>
      <c r="G41" s="2"/>
      <c r="H41" s="76"/>
      <c r="I41" s="77"/>
      <c r="J41" s="605">
        <v>44625</v>
      </c>
      <c r="K41" s="606" t="s">
        <v>457</v>
      </c>
      <c r="L41" s="607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4" t="s">
        <v>424</v>
      </c>
      <c r="E42" s="74"/>
      <c r="F42" s="75"/>
      <c r="G42" s="2"/>
      <c r="H42" s="76"/>
      <c r="I42" s="77"/>
      <c r="J42" s="608">
        <v>44632</v>
      </c>
      <c r="K42" s="609" t="s">
        <v>470</v>
      </c>
      <c r="L42" s="610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1">
        <v>44639</v>
      </c>
      <c r="K43" s="606" t="s">
        <v>582</v>
      </c>
      <c r="L43" s="612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5">
        <v>44646</v>
      </c>
      <c r="K44" s="606" t="s">
        <v>591</v>
      </c>
      <c r="L44" s="607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19">
        <v>44627</v>
      </c>
      <c r="K45" s="38" t="s">
        <v>824</v>
      </c>
      <c r="L45" s="603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19">
        <v>44629</v>
      </c>
      <c r="K46" s="38" t="s">
        <v>825</v>
      </c>
      <c r="L46" s="603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19">
        <v>44630</v>
      </c>
      <c r="K47" s="38" t="s">
        <v>826</v>
      </c>
      <c r="L47" s="603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19">
        <v>44630</v>
      </c>
      <c r="K48" s="38" t="s">
        <v>827</v>
      </c>
      <c r="L48" s="603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0">
        <v>44630</v>
      </c>
      <c r="K49" s="604" t="s">
        <v>201</v>
      </c>
      <c r="L49" s="617">
        <v>549</v>
      </c>
      <c r="M49" s="34"/>
      <c r="N49" s="34"/>
      <c r="P49" s="34"/>
      <c r="Q49" s="13"/>
    </row>
    <row r="50" spans="1:17" ht="16.5" thickBot="1" x14ac:dyDescent="0.3">
      <c r="A50" s="23"/>
      <c r="B50" s="595"/>
      <c r="C50" s="596"/>
      <c r="D50" s="81"/>
      <c r="E50" s="597"/>
      <c r="F50" s="34"/>
      <c r="H50" s="598"/>
      <c r="I50" s="34"/>
      <c r="J50" s="621">
        <v>44630</v>
      </c>
      <c r="K50" s="604" t="s">
        <v>828</v>
      </c>
      <c r="L50" s="617">
        <v>8741.4</v>
      </c>
      <c r="M50" s="34"/>
      <c r="N50" s="34"/>
      <c r="P50" s="34"/>
      <c r="Q50" s="13"/>
    </row>
    <row r="51" spans="1:17" ht="16.5" thickBot="1" x14ac:dyDescent="0.3">
      <c r="A51" s="23"/>
      <c r="B51" s="595"/>
      <c r="C51" s="596"/>
      <c r="D51" s="81"/>
      <c r="E51" s="597"/>
      <c r="F51" s="34"/>
      <c r="H51" s="598"/>
      <c r="I51" s="34"/>
      <c r="J51" s="621">
        <v>44636</v>
      </c>
      <c r="K51" s="164" t="s">
        <v>829</v>
      </c>
      <c r="L51" s="618">
        <v>1740</v>
      </c>
      <c r="M51" s="34"/>
      <c r="N51" s="34"/>
      <c r="P51" s="34"/>
      <c r="Q51" s="13"/>
    </row>
    <row r="52" spans="1:17" ht="16.5" thickBot="1" x14ac:dyDescent="0.3">
      <c r="A52" s="23"/>
      <c r="B52" s="595"/>
      <c r="C52" s="596"/>
      <c r="D52" s="81"/>
      <c r="E52" s="597"/>
      <c r="F52" s="34"/>
      <c r="H52" s="598"/>
      <c r="I52" s="34"/>
      <c r="J52" s="621">
        <v>44638</v>
      </c>
      <c r="K52" s="164" t="s">
        <v>830</v>
      </c>
      <c r="L52" s="618">
        <v>1856</v>
      </c>
      <c r="M52" s="34"/>
      <c r="N52" s="34"/>
      <c r="P52" s="34"/>
      <c r="Q52" s="13"/>
    </row>
    <row r="53" spans="1:17" ht="16.5" thickBot="1" x14ac:dyDescent="0.3">
      <c r="A53" s="23"/>
      <c r="B53" s="595"/>
      <c r="C53" s="596"/>
      <c r="D53" s="81"/>
      <c r="E53" s="597"/>
      <c r="F53" s="34"/>
      <c r="H53" s="598"/>
      <c r="I53" s="34"/>
      <c r="J53" s="621">
        <v>44638</v>
      </c>
      <c r="K53" s="164" t="s">
        <v>831</v>
      </c>
      <c r="L53" s="618">
        <v>5163.75</v>
      </c>
      <c r="M53" s="34"/>
      <c r="N53" s="34"/>
      <c r="P53" s="34"/>
      <c r="Q53" s="13"/>
    </row>
    <row r="54" spans="1:17" ht="16.5" thickBot="1" x14ac:dyDescent="0.3">
      <c r="A54" s="23"/>
      <c r="B54" s="595"/>
      <c r="C54" s="596"/>
      <c r="D54" s="81"/>
      <c r="E54" s="597"/>
      <c r="F54" s="34"/>
      <c r="H54" s="598"/>
      <c r="I54" s="34"/>
      <c r="J54" s="621">
        <v>44638</v>
      </c>
      <c r="K54" s="164" t="s">
        <v>832</v>
      </c>
      <c r="L54" s="618">
        <v>10266</v>
      </c>
      <c r="M54" s="34"/>
      <c r="N54" s="34"/>
      <c r="P54" s="34"/>
      <c r="Q54" s="13"/>
    </row>
    <row r="55" spans="1:17" ht="16.5" thickBot="1" x14ac:dyDescent="0.3">
      <c r="A55" s="23"/>
      <c r="B55" s="595"/>
      <c r="C55" s="596"/>
      <c r="D55" s="81"/>
      <c r="E55" s="597"/>
      <c r="F55" s="34"/>
      <c r="H55" s="598"/>
      <c r="I55" s="34"/>
      <c r="J55" s="621">
        <v>44642</v>
      </c>
      <c r="K55" s="164" t="s">
        <v>833</v>
      </c>
      <c r="L55" s="618">
        <v>25228.81</v>
      </c>
      <c r="M55" s="34"/>
      <c r="N55" s="34"/>
      <c r="P55" s="34"/>
      <c r="Q55" s="13"/>
    </row>
    <row r="56" spans="1:17" ht="16.5" thickBot="1" x14ac:dyDescent="0.3">
      <c r="A56" s="23"/>
      <c r="B56" s="595"/>
      <c r="C56" s="596"/>
      <c r="D56" s="81"/>
      <c r="E56" s="597"/>
      <c r="F56" s="34"/>
      <c r="H56" s="598"/>
      <c r="I56" s="34"/>
      <c r="J56" s="621">
        <v>44642</v>
      </c>
      <c r="K56" s="164" t="s">
        <v>834</v>
      </c>
      <c r="L56" s="618">
        <v>5324.4</v>
      </c>
      <c r="M56" s="34"/>
      <c r="N56" s="34"/>
      <c r="P56" s="34"/>
      <c r="Q56" s="13"/>
    </row>
    <row r="57" spans="1:17" ht="16.5" thickBot="1" x14ac:dyDescent="0.3">
      <c r="A57" s="23"/>
      <c r="B57" s="595"/>
      <c r="C57" s="596"/>
      <c r="D57" s="81"/>
      <c r="E57" s="597"/>
      <c r="F57" s="34"/>
      <c r="H57" s="598"/>
      <c r="I57" s="34"/>
      <c r="J57" s="599">
        <v>44647</v>
      </c>
      <c r="K57" s="164" t="s">
        <v>846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5"/>
      <c r="C58" s="596"/>
      <c r="D58" s="81"/>
      <c r="E58" s="597"/>
      <c r="F58" s="34"/>
      <c r="H58" s="598"/>
      <c r="I58" s="34"/>
      <c r="J58" s="599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5"/>
      <c r="C59" s="596"/>
      <c r="D59" s="81"/>
      <c r="E59" s="597"/>
      <c r="F59" s="34"/>
      <c r="H59" s="598"/>
      <c r="I59" s="34"/>
      <c r="J59" s="599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5"/>
      <c r="C60" s="596"/>
      <c r="D60" s="81"/>
      <c r="E60" s="597"/>
      <c r="F60" s="34"/>
      <c r="H60" s="598"/>
      <c r="I60" s="34"/>
      <c r="J60" s="599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99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99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99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99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99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880" t="s">
        <v>11</v>
      </c>
      <c r="I68" s="881"/>
      <c r="J68" s="100"/>
      <c r="K68" s="882">
        <f>I66+L66</f>
        <v>314868.39999999997</v>
      </c>
      <c r="L68" s="915"/>
      <c r="M68" s="272"/>
      <c r="N68" s="272"/>
      <c r="P68" s="34"/>
      <c r="Q68" s="13"/>
    </row>
    <row r="69" spans="1:17" x14ac:dyDescent="0.25">
      <c r="D69" s="886" t="s">
        <v>12</v>
      </c>
      <c r="E69" s="886"/>
      <c r="F69" s="312">
        <f>F66-K68-C66</f>
        <v>1594593.8500000003</v>
      </c>
      <c r="I69" s="102"/>
      <c r="J69" s="103"/>
    </row>
    <row r="70" spans="1:17" ht="18.75" x14ac:dyDescent="0.3">
      <c r="D70" s="916" t="s">
        <v>95</v>
      </c>
      <c r="E70" s="916"/>
      <c r="F70" s="111">
        <v>-1360260.32</v>
      </c>
      <c r="I70" s="887" t="s">
        <v>13</v>
      </c>
      <c r="J70" s="888"/>
      <c r="K70" s="889">
        <f>F72+F73+F74</f>
        <v>1938640.11</v>
      </c>
      <c r="L70" s="889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891">
        <f>-C4</f>
        <v>-1266568.45</v>
      </c>
      <c r="L72" s="892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869" t="s">
        <v>18</v>
      </c>
      <c r="E74" s="870"/>
      <c r="F74" s="113">
        <v>1792817.68</v>
      </c>
      <c r="I74" s="871" t="s">
        <v>198</v>
      </c>
      <c r="J74" s="872"/>
      <c r="K74" s="873">
        <f>K70+K72</f>
        <v>672071.66000000015</v>
      </c>
      <c r="L74" s="873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  <mergeCell ref="Y27:Y28"/>
    <mergeCell ref="M36:M37"/>
    <mergeCell ref="N36:N37"/>
    <mergeCell ref="Q36:Q37"/>
    <mergeCell ref="K72:L72"/>
    <mergeCell ref="M39:N39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E1" workbookViewId="0">
      <selection activeCell="I44" sqref="I44:J4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708">
        <v>44744</v>
      </c>
      <c r="M25" s="707">
        <v>36766.699999999997</v>
      </c>
      <c r="N25" s="137">
        <f t="shared" si="1"/>
        <v>0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708">
        <v>44744</v>
      </c>
      <c r="M26" s="707">
        <v>6425.6</v>
      </c>
      <c r="N26" s="137">
        <f t="shared" si="1"/>
        <v>0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708">
        <v>44744</v>
      </c>
      <c r="M27" s="707">
        <v>360</v>
      </c>
      <c r="N27" s="137">
        <f t="shared" si="1"/>
        <v>0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708">
        <v>44744</v>
      </c>
      <c r="M28" s="707">
        <v>23962.400000000001</v>
      </c>
      <c r="N28" s="137">
        <f t="shared" si="1"/>
        <v>0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708">
        <v>44744</v>
      </c>
      <c r="M29" s="707">
        <v>180</v>
      </c>
      <c r="N29" s="137">
        <f t="shared" si="1"/>
        <v>0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708">
        <v>44744</v>
      </c>
      <c r="M30" s="709">
        <v>44504</v>
      </c>
      <c r="N30" s="137">
        <f t="shared" si="1"/>
        <v>0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0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0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0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0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0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0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0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0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973" t="s">
        <v>594</v>
      </c>
      <c r="J44" s="974"/>
      <c r="K44" s="111"/>
      <c r="L44" s="475"/>
      <c r="M44" s="69"/>
      <c r="N44" s="137">
        <f t="shared" si="1"/>
        <v>0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975"/>
      <c r="J45" s="976"/>
      <c r="K45" s="111"/>
      <c r="L45" s="475"/>
      <c r="M45" s="69"/>
      <c r="N45" s="137">
        <f t="shared" si="1"/>
        <v>0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977"/>
      <c r="J46" s="978"/>
      <c r="K46" s="111"/>
      <c r="L46" s="475"/>
      <c r="M46" s="69"/>
      <c r="N46" s="137">
        <f t="shared" si="1"/>
        <v>0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206286.09999999998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931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932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969" t="s">
        <v>594</v>
      </c>
      <c r="J83" s="970"/>
    </row>
    <row r="84" spans="1:14" ht="19.5" thickBot="1" x14ac:dyDescent="0.35">
      <c r="A84" s="513" t="s">
        <v>598</v>
      </c>
      <c r="B84" s="514"/>
      <c r="C84" s="515"/>
      <c r="D84" s="491"/>
      <c r="I84" s="971"/>
      <c r="J84" s="972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09"/>
      <c r="B87" s="510"/>
      <c r="C87" s="129"/>
      <c r="F87"/>
      <c r="I87"/>
      <c r="J87" s="194"/>
      <c r="N87"/>
    </row>
    <row r="88" spans="1:14" x14ac:dyDescent="0.25">
      <c r="A88" s="509"/>
      <c r="B88" s="510"/>
      <c r="C88" s="129"/>
      <c r="F88"/>
      <c r="I88"/>
      <c r="J88" s="194"/>
      <c r="N88"/>
    </row>
    <row r="89" spans="1:14" ht="15.75" x14ac:dyDescent="0.25">
      <c r="A89" s="511"/>
      <c r="B89" s="512"/>
      <c r="C89" s="233"/>
      <c r="F89"/>
      <c r="I89"/>
      <c r="J89" s="194"/>
      <c r="N89"/>
    </row>
    <row r="90" spans="1:14" ht="15.75" x14ac:dyDescent="0.25">
      <c r="A90" s="511"/>
      <c r="B90" s="512"/>
      <c r="C90" s="233"/>
      <c r="F90"/>
      <c r="I90"/>
      <c r="J90" s="194"/>
      <c r="N90"/>
    </row>
    <row r="91" spans="1:14" ht="15.75" x14ac:dyDescent="0.25">
      <c r="A91" s="511"/>
      <c r="B91" s="512"/>
      <c r="C91" s="233"/>
      <c r="F91"/>
      <c r="I91"/>
      <c r="J91" s="194"/>
      <c r="N91"/>
    </row>
    <row r="92" spans="1:14" ht="15.75" x14ac:dyDescent="0.25">
      <c r="A92" s="511"/>
      <c r="B92" s="512"/>
      <c r="C92" s="233"/>
      <c r="F92"/>
      <c r="I92"/>
      <c r="J92" s="194"/>
      <c r="N92"/>
    </row>
    <row r="93" spans="1:14" ht="15.75" x14ac:dyDescent="0.25">
      <c r="A93" s="511"/>
      <c r="B93" s="512"/>
      <c r="C93" s="233"/>
      <c r="F93"/>
      <c r="I93"/>
      <c r="J93" s="194"/>
      <c r="N93"/>
    </row>
    <row r="94" spans="1:14" x14ac:dyDescent="0.25">
      <c r="A94" s="509"/>
      <c r="B94" s="510"/>
      <c r="C94" s="129"/>
      <c r="E94"/>
      <c r="F94"/>
      <c r="I94"/>
      <c r="J94" s="194"/>
      <c r="M94"/>
      <c r="N94"/>
    </row>
    <row r="95" spans="1:14" x14ac:dyDescent="0.25">
      <c r="A95" s="509"/>
      <c r="B95" s="510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I83:J84"/>
    <mergeCell ref="I44:J46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H19" workbookViewId="0">
      <selection activeCell="M30" sqref="M3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93"/>
      <c r="C1" s="935" t="s">
        <v>620</v>
      </c>
      <c r="D1" s="936"/>
      <c r="E1" s="936"/>
      <c r="F1" s="936"/>
      <c r="G1" s="936"/>
      <c r="H1" s="936"/>
      <c r="I1" s="936"/>
      <c r="J1" s="936"/>
      <c r="K1" s="936"/>
      <c r="L1" s="936"/>
      <c r="M1" s="936"/>
    </row>
    <row r="2" spans="1:25" ht="16.5" thickBot="1" x14ac:dyDescent="0.3">
      <c r="B2" s="894"/>
      <c r="C2" s="3"/>
      <c r="H2" s="5"/>
      <c r="I2" s="6"/>
      <c r="J2" s="7"/>
      <c r="L2" s="8"/>
      <c r="M2" s="6"/>
      <c r="N2" s="9"/>
    </row>
    <row r="3" spans="1:25" ht="21.75" thickBot="1" x14ac:dyDescent="0.35">
      <c r="B3" s="897" t="s">
        <v>0</v>
      </c>
      <c r="C3" s="898"/>
      <c r="D3" s="10"/>
      <c r="E3" s="11"/>
      <c r="F3" s="11"/>
      <c r="H3" s="899" t="s">
        <v>26</v>
      </c>
      <c r="I3" s="899"/>
      <c r="K3" s="165"/>
      <c r="L3" s="13"/>
      <c r="M3" s="14"/>
      <c r="P3" s="923" t="s">
        <v>6</v>
      </c>
      <c r="R3" s="933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900" t="s">
        <v>2</v>
      </c>
      <c r="F4" s="901"/>
      <c r="H4" s="902" t="s">
        <v>3</v>
      </c>
      <c r="I4" s="903"/>
      <c r="J4" s="19"/>
      <c r="K4" s="166"/>
      <c r="L4" s="20"/>
      <c r="M4" s="21" t="s">
        <v>4</v>
      </c>
      <c r="N4" s="22" t="s">
        <v>5</v>
      </c>
      <c r="P4" s="924"/>
      <c r="Q4" s="322" t="s">
        <v>217</v>
      </c>
      <c r="R4" s="934"/>
      <c r="W4" s="906" t="s">
        <v>124</v>
      </c>
      <c r="X4" s="906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906"/>
      <c r="X5" s="906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910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911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912"/>
      <c r="X21" s="912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913"/>
      <c r="X23" s="913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913"/>
      <c r="X24" s="913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914"/>
      <c r="X25" s="914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3">
        <f>51054.31+554929.3</f>
        <v>605983.6100000001</v>
      </c>
      <c r="N26" s="33">
        <v>57122</v>
      </c>
      <c r="O26" s="534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914"/>
      <c r="X26" s="914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3">
        <v>0</v>
      </c>
      <c r="N27" s="33">
        <v>24965</v>
      </c>
      <c r="O27" s="534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907"/>
      <c r="X27" s="908"/>
      <c r="Y27" s="909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3">
        <v>0</v>
      </c>
      <c r="N28" s="33">
        <v>27562</v>
      </c>
      <c r="O28" s="534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908"/>
      <c r="X28" s="908"/>
      <c r="Y28" s="909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3">
        <v>0</v>
      </c>
      <c r="N29" s="33">
        <v>22200</v>
      </c>
      <c r="O29" s="535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3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4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0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6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6" t="s">
        <v>659</v>
      </c>
      <c r="E39" s="27">
        <v>44682</v>
      </c>
      <c r="F39" s="508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6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5">
        <v>13429.46</v>
      </c>
      <c r="D41" s="633" t="s">
        <v>49</v>
      </c>
      <c r="E41" s="74"/>
      <c r="F41" s="75"/>
      <c r="G41" s="2"/>
      <c r="H41" s="76"/>
      <c r="I41" s="77"/>
      <c r="J41" s="622">
        <v>44653</v>
      </c>
      <c r="K41" s="623" t="s">
        <v>627</v>
      </c>
      <c r="L41" s="624">
        <v>15798.5</v>
      </c>
      <c r="M41" s="925">
        <f>SUM(M5:M40)</f>
        <v>2479367.6100000003</v>
      </c>
      <c r="N41" s="925">
        <f>SUM(N5:N40)</f>
        <v>1195667</v>
      </c>
      <c r="P41" s="505">
        <f>SUM(P5:P40)</f>
        <v>4355326.74</v>
      </c>
      <c r="Q41" s="979">
        <f>SUM(Q5:Q40)</f>
        <v>69878.629999999976</v>
      </c>
    </row>
    <row r="42" spans="1:20" ht="18" thickBot="1" x14ac:dyDescent="0.35">
      <c r="A42" s="23"/>
      <c r="B42" s="24">
        <v>44650</v>
      </c>
      <c r="C42" s="615">
        <v>396419.2</v>
      </c>
      <c r="D42" s="633" t="s">
        <v>49</v>
      </c>
      <c r="E42" s="74"/>
      <c r="F42" s="75"/>
      <c r="G42" s="2"/>
      <c r="H42" s="76"/>
      <c r="I42" s="77"/>
      <c r="J42" s="625">
        <v>44660</v>
      </c>
      <c r="K42" s="626" t="s">
        <v>634</v>
      </c>
      <c r="L42" s="627">
        <v>15298.5</v>
      </c>
      <c r="M42" s="926"/>
      <c r="N42" s="926"/>
      <c r="P42" s="34"/>
      <c r="Q42" s="980"/>
    </row>
    <row r="43" spans="1:20" ht="18" thickBot="1" x14ac:dyDescent="0.35">
      <c r="A43" s="23"/>
      <c r="B43" s="24">
        <v>44653</v>
      </c>
      <c r="C43" s="615">
        <v>1461.24</v>
      </c>
      <c r="D43" s="632" t="s">
        <v>847</v>
      </c>
      <c r="E43" s="74"/>
      <c r="F43" s="75"/>
      <c r="G43" s="2"/>
      <c r="H43" s="76"/>
      <c r="I43" s="77"/>
      <c r="J43" s="628">
        <v>44667</v>
      </c>
      <c r="K43" s="623" t="s">
        <v>641</v>
      </c>
      <c r="L43" s="629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5">
        <v>435505.08</v>
      </c>
      <c r="D44" s="632" t="s">
        <v>836</v>
      </c>
      <c r="E44" s="74"/>
      <c r="F44" s="75"/>
      <c r="G44" s="2"/>
      <c r="H44" s="76"/>
      <c r="I44" s="77"/>
      <c r="J44" s="622">
        <v>44674</v>
      </c>
      <c r="K44" s="630" t="s">
        <v>650</v>
      </c>
      <c r="L44" s="624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5">
        <v>17075.11</v>
      </c>
      <c r="D45" s="633" t="s">
        <v>849</v>
      </c>
      <c r="E45" s="74"/>
      <c r="F45" s="75"/>
      <c r="G45" s="2"/>
      <c r="H45" s="76"/>
      <c r="I45" s="77"/>
      <c r="J45" s="622">
        <v>44681</v>
      </c>
      <c r="K45" s="623" t="s">
        <v>658</v>
      </c>
      <c r="L45" s="624">
        <v>18269.490000000002</v>
      </c>
      <c r="M45" s="981">
        <f>M41+N41</f>
        <v>3675034.6100000003</v>
      </c>
      <c r="N45" s="982"/>
      <c r="P45" s="34"/>
      <c r="Q45" s="13"/>
    </row>
    <row r="46" spans="1:20" ht="18" thickBot="1" x14ac:dyDescent="0.35">
      <c r="A46" s="23"/>
      <c r="B46" s="24">
        <v>44673</v>
      </c>
      <c r="C46" s="615">
        <v>350000</v>
      </c>
      <c r="D46" s="633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5">
        <v>347747.2</v>
      </c>
      <c r="D47" s="633" t="s">
        <v>49</v>
      </c>
      <c r="E47" s="74"/>
      <c r="F47" s="75"/>
      <c r="G47" s="2"/>
      <c r="H47" s="76"/>
      <c r="I47" s="77"/>
      <c r="J47" s="631">
        <v>44648</v>
      </c>
      <c r="K47" s="41" t="s">
        <v>202</v>
      </c>
      <c r="L47" s="603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5">
        <v>71136</v>
      </c>
      <c r="D48" s="633" t="s">
        <v>49</v>
      </c>
      <c r="E48" s="74"/>
      <c r="F48" s="75"/>
      <c r="G48" s="2"/>
      <c r="H48" s="76"/>
      <c r="I48" s="77"/>
      <c r="J48" s="631">
        <v>44651</v>
      </c>
      <c r="K48" s="41" t="s">
        <v>840</v>
      </c>
      <c r="L48" s="603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1">
        <v>44652</v>
      </c>
      <c r="K49" s="41" t="s">
        <v>835</v>
      </c>
      <c r="L49" s="603">
        <v>21460</v>
      </c>
      <c r="M49" s="593"/>
      <c r="N49" s="593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4">
        <v>44653</v>
      </c>
      <c r="K50" s="600" t="s">
        <v>826</v>
      </c>
      <c r="L50" s="617">
        <v>11200</v>
      </c>
      <c r="M50" s="593"/>
      <c r="N50" s="593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4">
        <v>44656</v>
      </c>
      <c r="K51" s="600" t="s">
        <v>835</v>
      </c>
      <c r="L51" s="617">
        <v>1508</v>
      </c>
      <c r="M51" s="593"/>
      <c r="N51" s="593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4">
        <v>44657</v>
      </c>
      <c r="K52" s="600" t="s">
        <v>202</v>
      </c>
      <c r="L52" s="617">
        <v>14604.03</v>
      </c>
      <c r="M52" s="593"/>
      <c r="N52" s="593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5">
        <v>44657</v>
      </c>
      <c r="K53" s="577" t="s">
        <v>827</v>
      </c>
      <c r="L53" s="618">
        <v>754</v>
      </c>
      <c r="M53" s="593"/>
      <c r="N53" s="593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4">
        <v>44658</v>
      </c>
      <c r="K54" s="600" t="s">
        <v>824</v>
      </c>
      <c r="L54" s="617">
        <v>4006.5</v>
      </c>
      <c r="M54" s="593"/>
      <c r="N54" s="593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4">
        <v>44662</v>
      </c>
      <c r="K55" s="600" t="s">
        <v>201</v>
      </c>
      <c r="L55" s="617">
        <v>549</v>
      </c>
      <c r="M55" s="593"/>
      <c r="N55" s="593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4">
        <v>44663</v>
      </c>
      <c r="K56" s="600" t="s">
        <v>202</v>
      </c>
      <c r="L56" s="617">
        <v>2279.54</v>
      </c>
      <c r="M56" s="593"/>
      <c r="N56" s="593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4">
        <v>44664</v>
      </c>
      <c r="K57" s="678" t="s">
        <v>837</v>
      </c>
      <c r="L57" s="617">
        <v>5974</v>
      </c>
      <c r="M57" s="593"/>
      <c r="N57" s="593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4">
        <v>44664</v>
      </c>
      <c r="K58" s="600" t="s">
        <v>838</v>
      </c>
      <c r="L58" s="617">
        <v>3712</v>
      </c>
      <c r="M58" s="593"/>
      <c r="N58" s="593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4">
        <v>44669</v>
      </c>
      <c r="K59" s="600" t="s">
        <v>830</v>
      </c>
      <c r="L59" s="617">
        <v>1856</v>
      </c>
      <c r="M59" s="593"/>
      <c r="N59" s="593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4">
        <v>44669</v>
      </c>
      <c r="K60" s="679" t="s">
        <v>848</v>
      </c>
      <c r="L60" s="617">
        <v>10483.26</v>
      </c>
      <c r="M60" s="594"/>
      <c r="N60" s="594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4">
        <v>44670</v>
      </c>
      <c r="K61" s="600" t="s">
        <v>834</v>
      </c>
      <c r="L61" s="617">
        <v>5324.4</v>
      </c>
      <c r="M61" s="594"/>
      <c r="N61" s="594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4">
        <v>44673</v>
      </c>
      <c r="K62" s="600" t="s">
        <v>825</v>
      </c>
      <c r="L62" s="617">
        <v>2320</v>
      </c>
      <c r="M62" s="594"/>
      <c r="N62" s="594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4">
        <v>44677</v>
      </c>
      <c r="K63" s="600" t="s">
        <v>202</v>
      </c>
      <c r="L63" s="617">
        <v>2379.5500000000002</v>
      </c>
      <c r="M63" s="594"/>
      <c r="N63" s="594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4">
        <v>44680</v>
      </c>
      <c r="K64" s="600" t="s">
        <v>826</v>
      </c>
      <c r="L64" s="617">
        <v>11200</v>
      </c>
      <c r="M64" s="594"/>
      <c r="N64" s="594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4">
        <v>44680</v>
      </c>
      <c r="K65" s="600" t="s">
        <v>838</v>
      </c>
      <c r="L65" s="617">
        <v>3712</v>
      </c>
      <c r="M65" s="594"/>
      <c r="N65" s="594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4">
        <v>44680</v>
      </c>
      <c r="K66" s="600" t="s">
        <v>835</v>
      </c>
      <c r="L66" s="617">
        <v>835.2</v>
      </c>
      <c r="M66" s="594"/>
      <c r="N66" s="594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4" t="s">
        <v>850</v>
      </c>
      <c r="K67" s="679" t="s">
        <v>851</v>
      </c>
      <c r="L67" s="617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880" t="s">
        <v>11</v>
      </c>
      <c r="I70" s="881"/>
      <c r="J70" s="100"/>
      <c r="K70" s="882">
        <f>I68+L68</f>
        <v>428155.54000000004</v>
      </c>
      <c r="L70" s="915"/>
      <c r="M70" s="272"/>
      <c r="N70" s="272"/>
      <c r="P70" s="34"/>
      <c r="Q70" s="13"/>
    </row>
    <row r="71" spans="1:17" x14ac:dyDescent="0.25">
      <c r="D71" s="886" t="s">
        <v>12</v>
      </c>
      <c r="E71" s="886"/>
      <c r="F71" s="312">
        <f>F68-K70-C68</f>
        <v>1631087.67</v>
      </c>
      <c r="I71" s="102"/>
      <c r="J71" s="103"/>
      <c r="P71" s="34"/>
    </row>
    <row r="72" spans="1:17" ht="18.75" x14ac:dyDescent="0.3">
      <c r="D72" s="916" t="s">
        <v>95</v>
      </c>
      <c r="E72" s="916"/>
      <c r="F72" s="111">
        <v>-1884975.46</v>
      </c>
      <c r="I72" s="887" t="s">
        <v>13</v>
      </c>
      <c r="J72" s="888"/>
      <c r="K72" s="889">
        <f>F74+F75+F76</f>
        <v>1777829.89</v>
      </c>
      <c r="L72" s="889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891">
        <f>-C4</f>
        <v>-1792817.68</v>
      </c>
      <c r="L74" s="892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869" t="s">
        <v>18</v>
      </c>
      <c r="E76" s="870"/>
      <c r="F76" s="113">
        <v>2112071.92</v>
      </c>
      <c r="I76" s="871" t="s">
        <v>852</v>
      </c>
      <c r="J76" s="872"/>
      <c r="K76" s="873">
        <f>K72+K74</f>
        <v>-14987.790000000037</v>
      </c>
      <c r="L76" s="873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  <mergeCell ref="Y27:Y28"/>
    <mergeCell ref="M41:M42"/>
    <mergeCell ref="N41:N42"/>
    <mergeCell ref="Q41:Q42"/>
    <mergeCell ref="K74:L74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topLeftCell="E1" workbookViewId="0">
      <pane ySplit="2" topLeftCell="A21" activePane="bottomLeft" state="frozen"/>
      <selection pane="bottomLeft" activeCell="D49" sqref="D4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0">
        <v>8871</v>
      </c>
      <c r="K3" s="499">
        <v>0</v>
      </c>
      <c r="L3" s="712">
        <v>44744</v>
      </c>
      <c r="M3" s="710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1">
        <v>8877</v>
      </c>
      <c r="K4" s="502">
        <v>16921.599999999999</v>
      </c>
      <c r="L4" s="712">
        <v>44744</v>
      </c>
      <c r="M4" s="711">
        <v>16921.599999999999</v>
      </c>
      <c r="N4" s="137">
        <f>N3+K4-M4</f>
        <v>0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0">
        <v>8883</v>
      </c>
      <c r="K5" s="499">
        <v>24058.799999999999</v>
      </c>
      <c r="L5" s="712">
        <v>44744</v>
      </c>
      <c r="M5" s="710">
        <v>24058.799999999999</v>
      </c>
      <c r="N5" s="137">
        <f t="shared" ref="N5:N78" si="1">N4+K5-M5</f>
        <v>0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0">
        <v>8891</v>
      </c>
      <c r="K6" s="499">
        <v>11335.2</v>
      </c>
      <c r="L6" s="712">
        <v>44744</v>
      </c>
      <c r="M6" s="710">
        <v>11335.2</v>
      </c>
      <c r="N6" s="137">
        <f t="shared" si="1"/>
        <v>0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712">
        <v>44744</v>
      </c>
      <c r="M7" s="711">
        <v>529</v>
      </c>
      <c r="N7" s="137">
        <f t="shared" si="1"/>
        <v>0</v>
      </c>
    </row>
    <row r="8" spans="1:14" ht="15.75" x14ac:dyDescent="0.25">
      <c r="A8" s="587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712">
        <v>44744</v>
      </c>
      <c r="M8" s="710">
        <v>4369.8</v>
      </c>
      <c r="N8" s="137">
        <f t="shared" si="1"/>
        <v>0</v>
      </c>
    </row>
    <row r="9" spans="1:14" ht="15.75" x14ac:dyDescent="0.25">
      <c r="A9" s="587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712">
        <v>44744</v>
      </c>
      <c r="M9" s="711">
        <v>1236.5999999999999</v>
      </c>
      <c r="N9" s="137">
        <f t="shared" si="1"/>
        <v>0</v>
      </c>
    </row>
    <row r="10" spans="1:14" ht="18.75" x14ac:dyDescent="0.3">
      <c r="A10" s="587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712">
        <v>44744</v>
      </c>
      <c r="M10" s="711">
        <v>450</v>
      </c>
      <c r="N10" s="137">
        <f t="shared" si="1"/>
        <v>0</v>
      </c>
    </row>
    <row r="11" spans="1:14" ht="15.75" x14ac:dyDescent="0.25">
      <c r="A11" s="587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712">
        <v>44744</v>
      </c>
      <c r="M11" s="710">
        <v>1472</v>
      </c>
      <c r="N11" s="137">
        <f t="shared" si="1"/>
        <v>0</v>
      </c>
    </row>
    <row r="12" spans="1:14" ht="15.75" x14ac:dyDescent="0.25">
      <c r="A12" s="587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712">
        <v>44744</v>
      </c>
      <c r="M12" s="711">
        <v>1584</v>
      </c>
      <c r="N12" s="137">
        <f t="shared" si="1"/>
        <v>0</v>
      </c>
    </row>
    <row r="13" spans="1:14" ht="15.75" x14ac:dyDescent="0.25">
      <c r="A13" s="587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712">
        <v>44744</v>
      </c>
      <c r="M13" s="710">
        <v>930</v>
      </c>
      <c r="N13" s="137">
        <f t="shared" si="1"/>
        <v>0</v>
      </c>
    </row>
    <row r="14" spans="1:14" ht="15.75" x14ac:dyDescent="0.25">
      <c r="A14" s="587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712">
        <v>44744</v>
      </c>
      <c r="M14" s="711">
        <v>450</v>
      </c>
      <c r="N14" s="137">
        <f t="shared" si="1"/>
        <v>0</v>
      </c>
    </row>
    <row r="15" spans="1:14" ht="15.75" x14ac:dyDescent="0.25">
      <c r="A15" s="587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712">
        <v>44744</v>
      </c>
      <c r="M15" s="710">
        <v>1080</v>
      </c>
      <c r="N15" s="137">
        <f t="shared" si="1"/>
        <v>0</v>
      </c>
    </row>
    <row r="16" spans="1:14" ht="15.75" x14ac:dyDescent="0.25">
      <c r="A16" s="587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712">
        <v>44744</v>
      </c>
      <c r="M16" s="710">
        <v>21899.8</v>
      </c>
      <c r="N16" s="137">
        <f t="shared" si="1"/>
        <v>0</v>
      </c>
    </row>
    <row r="17" spans="1:14" ht="15.75" x14ac:dyDescent="0.25">
      <c r="A17" s="587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712">
        <v>44744</v>
      </c>
      <c r="M17" s="710">
        <v>1180</v>
      </c>
      <c r="N17" s="137">
        <f t="shared" si="1"/>
        <v>0</v>
      </c>
    </row>
    <row r="18" spans="1:14" ht="15.75" x14ac:dyDescent="0.25">
      <c r="A18" s="587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712">
        <v>44744</v>
      </c>
      <c r="M18" s="710">
        <v>1200</v>
      </c>
      <c r="N18" s="137">
        <f t="shared" si="1"/>
        <v>0</v>
      </c>
    </row>
    <row r="19" spans="1:14" ht="15.75" x14ac:dyDescent="0.25">
      <c r="A19" s="587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712">
        <v>44744</v>
      </c>
      <c r="M19" s="710">
        <v>1081</v>
      </c>
      <c r="N19" s="137">
        <f t="shared" si="1"/>
        <v>0</v>
      </c>
    </row>
    <row r="20" spans="1:14" ht="15.75" x14ac:dyDescent="0.25">
      <c r="A20" s="587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712">
        <v>44744</v>
      </c>
      <c r="M20" s="711">
        <v>270</v>
      </c>
      <c r="N20" s="137">
        <f t="shared" si="1"/>
        <v>0</v>
      </c>
    </row>
    <row r="21" spans="1:14" ht="15.75" x14ac:dyDescent="0.25">
      <c r="A21" s="587">
        <v>44660</v>
      </c>
      <c r="B21" s="355" t="s">
        <v>674</v>
      </c>
      <c r="C21" s="96">
        <v>67001.67</v>
      </c>
      <c r="D21" s="582">
        <v>44706</v>
      </c>
      <c r="E21" s="586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712">
        <v>44744</v>
      </c>
      <c r="M21" s="711">
        <v>1894.8</v>
      </c>
      <c r="N21" s="137">
        <f t="shared" si="1"/>
        <v>0</v>
      </c>
    </row>
    <row r="22" spans="1:14" ht="18.75" x14ac:dyDescent="0.3">
      <c r="A22" s="587">
        <v>44660</v>
      </c>
      <c r="B22" s="355" t="s">
        <v>675</v>
      </c>
      <c r="C22" s="96">
        <v>5256</v>
      </c>
      <c r="D22" s="582">
        <v>44706</v>
      </c>
      <c r="E22" s="586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712">
        <v>44744</v>
      </c>
      <c r="M22" s="710">
        <v>2360</v>
      </c>
      <c r="N22" s="137">
        <f t="shared" si="1"/>
        <v>0</v>
      </c>
    </row>
    <row r="23" spans="1:14" ht="15.75" x14ac:dyDescent="0.25">
      <c r="A23" s="587">
        <v>44662</v>
      </c>
      <c r="B23" s="355" t="s">
        <v>677</v>
      </c>
      <c r="C23" s="96">
        <v>40472.6</v>
      </c>
      <c r="D23" s="582">
        <v>44706</v>
      </c>
      <c r="E23" s="586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712">
        <v>44744</v>
      </c>
      <c r="M23" s="710">
        <v>19679.400000000001</v>
      </c>
      <c r="N23" s="137">
        <f t="shared" si="1"/>
        <v>0</v>
      </c>
    </row>
    <row r="24" spans="1:14" ht="15.75" x14ac:dyDescent="0.25">
      <c r="A24" s="587">
        <v>44662</v>
      </c>
      <c r="B24" s="355" t="s">
        <v>678</v>
      </c>
      <c r="C24" s="96">
        <v>3906</v>
      </c>
      <c r="D24" s="582">
        <v>44706</v>
      </c>
      <c r="E24" s="586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712">
        <v>44744</v>
      </c>
      <c r="M24" s="710">
        <v>36567.599999999999</v>
      </c>
      <c r="N24" s="137">
        <f t="shared" si="1"/>
        <v>0</v>
      </c>
    </row>
    <row r="25" spans="1:14" ht="15.75" x14ac:dyDescent="0.25">
      <c r="A25" s="587">
        <v>44663</v>
      </c>
      <c r="B25" s="355" t="s">
        <v>680</v>
      </c>
      <c r="C25" s="96">
        <v>33820.800000000003</v>
      </c>
      <c r="D25" s="582">
        <v>44706</v>
      </c>
      <c r="E25" s="586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712">
        <v>44744</v>
      </c>
      <c r="M25" s="710">
        <v>2588.64</v>
      </c>
      <c r="N25" s="137">
        <f t="shared" si="1"/>
        <v>0</v>
      </c>
    </row>
    <row r="26" spans="1:14" ht="15.75" x14ac:dyDescent="0.25">
      <c r="A26" s="587">
        <v>44664</v>
      </c>
      <c r="B26" s="355" t="s">
        <v>682</v>
      </c>
      <c r="C26" s="96">
        <v>36277.25</v>
      </c>
      <c r="D26" s="582">
        <v>44706</v>
      </c>
      <c r="E26" s="586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712">
        <v>44744</v>
      </c>
      <c r="M26" s="711">
        <v>1080</v>
      </c>
      <c r="N26" s="137">
        <f t="shared" si="1"/>
        <v>0</v>
      </c>
    </row>
    <row r="27" spans="1:14" ht="15.75" x14ac:dyDescent="0.25">
      <c r="A27" s="587">
        <v>44665</v>
      </c>
      <c r="B27" s="355" t="s">
        <v>684</v>
      </c>
      <c r="C27" s="96">
        <v>61531.34</v>
      </c>
      <c r="D27" s="582">
        <v>44706</v>
      </c>
      <c r="E27" s="586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712">
        <v>44744</v>
      </c>
      <c r="M27" s="711">
        <v>28960.799999999999</v>
      </c>
      <c r="N27" s="137">
        <f t="shared" si="1"/>
        <v>0</v>
      </c>
    </row>
    <row r="28" spans="1:14" ht="15.75" x14ac:dyDescent="0.25">
      <c r="A28" s="587">
        <v>44665</v>
      </c>
      <c r="B28" s="355" t="s">
        <v>685</v>
      </c>
      <c r="C28" s="96">
        <v>12189.9</v>
      </c>
      <c r="D28" s="582">
        <v>44706</v>
      </c>
      <c r="E28" s="586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712">
        <v>44744</v>
      </c>
      <c r="M28" s="711">
        <v>2238.5</v>
      </c>
      <c r="N28" s="137">
        <f t="shared" si="1"/>
        <v>0</v>
      </c>
    </row>
    <row r="29" spans="1:14" ht="15.75" x14ac:dyDescent="0.25">
      <c r="A29" s="587">
        <v>44667</v>
      </c>
      <c r="B29" s="355" t="s">
        <v>687</v>
      </c>
      <c r="C29" s="96">
        <v>64256.75</v>
      </c>
      <c r="D29" s="582">
        <v>44706</v>
      </c>
      <c r="E29" s="586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712">
        <v>44744</v>
      </c>
      <c r="M29" s="710">
        <v>1771.6</v>
      </c>
      <c r="N29" s="137">
        <f t="shared" si="1"/>
        <v>0</v>
      </c>
    </row>
    <row r="30" spans="1:14" ht="18.75" x14ac:dyDescent="0.3">
      <c r="A30" s="587">
        <v>44669</v>
      </c>
      <c r="B30" s="355" t="s">
        <v>689</v>
      </c>
      <c r="C30" s="96">
        <v>53375.8</v>
      </c>
      <c r="D30" s="582">
        <v>44706</v>
      </c>
      <c r="E30" s="586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712">
        <v>44744</v>
      </c>
      <c r="M30" s="711">
        <v>36114.800000000003</v>
      </c>
      <c r="N30" s="137">
        <f t="shared" si="1"/>
        <v>0</v>
      </c>
    </row>
    <row r="31" spans="1:14" ht="15.75" x14ac:dyDescent="0.25">
      <c r="A31" s="587">
        <v>44670</v>
      </c>
      <c r="B31" s="355" t="s">
        <v>691</v>
      </c>
      <c r="C31" s="96">
        <v>126366.49</v>
      </c>
      <c r="D31" s="582">
        <v>44706</v>
      </c>
      <c r="E31" s="586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712">
        <v>44744</v>
      </c>
      <c r="M31" s="710">
        <v>744</v>
      </c>
      <c r="N31" s="137">
        <f t="shared" si="1"/>
        <v>0</v>
      </c>
    </row>
    <row r="32" spans="1:14" ht="15.75" x14ac:dyDescent="0.25">
      <c r="A32" s="587">
        <v>44670</v>
      </c>
      <c r="B32" s="355" t="s">
        <v>692</v>
      </c>
      <c r="C32" s="96">
        <v>6102</v>
      </c>
      <c r="D32" s="582">
        <v>44706</v>
      </c>
      <c r="E32" s="586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712">
        <v>44744</v>
      </c>
      <c r="M32" s="711">
        <v>25869.8</v>
      </c>
      <c r="N32" s="137">
        <f t="shared" si="1"/>
        <v>0</v>
      </c>
    </row>
    <row r="33" spans="1:14" ht="15.75" x14ac:dyDescent="0.25">
      <c r="A33" s="587">
        <v>44670</v>
      </c>
      <c r="B33" s="355" t="s">
        <v>693</v>
      </c>
      <c r="C33" s="96">
        <v>4812</v>
      </c>
      <c r="D33" s="582">
        <v>44706</v>
      </c>
      <c r="E33" s="586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712">
        <v>44744</v>
      </c>
      <c r="M33" s="710">
        <v>5027</v>
      </c>
      <c r="N33" s="137">
        <f t="shared" si="1"/>
        <v>0</v>
      </c>
    </row>
    <row r="34" spans="1:14" ht="15.75" x14ac:dyDescent="0.25">
      <c r="A34" s="587">
        <v>44671</v>
      </c>
      <c r="B34" s="355" t="s">
        <v>695</v>
      </c>
      <c r="C34" s="96">
        <v>10160.6</v>
      </c>
      <c r="D34" s="582">
        <v>44706</v>
      </c>
      <c r="E34" s="586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712">
        <v>44744</v>
      </c>
      <c r="M34" s="711">
        <v>1820.8</v>
      </c>
      <c r="N34" s="137">
        <f t="shared" si="1"/>
        <v>0</v>
      </c>
    </row>
    <row r="35" spans="1:14" ht="15.75" x14ac:dyDescent="0.25">
      <c r="A35" s="587">
        <v>44671</v>
      </c>
      <c r="B35" s="355" t="s">
        <v>696</v>
      </c>
      <c r="C35" s="96">
        <v>75337.5</v>
      </c>
      <c r="D35" s="582">
        <v>44706</v>
      </c>
      <c r="E35" s="586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712">
        <v>44744</v>
      </c>
      <c r="M35" s="710">
        <v>43759.6</v>
      </c>
      <c r="N35" s="137">
        <f t="shared" si="1"/>
        <v>0</v>
      </c>
    </row>
    <row r="36" spans="1:14" ht="15.75" x14ac:dyDescent="0.25">
      <c r="A36" s="587">
        <v>44672</v>
      </c>
      <c r="B36" s="355" t="s">
        <v>698</v>
      </c>
      <c r="C36" s="96">
        <v>29920.44</v>
      </c>
      <c r="D36" s="582">
        <v>44706</v>
      </c>
      <c r="E36" s="586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712">
        <v>44744</v>
      </c>
      <c r="M36" s="711">
        <v>1331</v>
      </c>
      <c r="N36" s="137">
        <f t="shared" si="1"/>
        <v>0</v>
      </c>
    </row>
    <row r="37" spans="1:14" ht="15.75" x14ac:dyDescent="0.25">
      <c r="A37" s="587">
        <v>44673</v>
      </c>
      <c r="B37" s="355" t="s">
        <v>700</v>
      </c>
      <c r="C37" s="96">
        <v>72246.7</v>
      </c>
      <c r="D37" s="582">
        <v>44706</v>
      </c>
      <c r="E37" s="586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712">
        <v>44744</v>
      </c>
      <c r="M37" s="710">
        <v>32504.400000000001</v>
      </c>
      <c r="N37" s="137">
        <f t="shared" si="1"/>
        <v>0</v>
      </c>
    </row>
    <row r="38" spans="1:14" ht="15.75" x14ac:dyDescent="0.25">
      <c r="A38" s="587">
        <v>44673</v>
      </c>
      <c r="B38" s="355" t="s">
        <v>701</v>
      </c>
      <c r="C38" s="96">
        <v>3036</v>
      </c>
      <c r="D38" s="582">
        <v>44706</v>
      </c>
      <c r="E38" s="586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712">
        <v>44744</v>
      </c>
      <c r="M38" s="710">
        <v>15257</v>
      </c>
      <c r="N38" s="137">
        <f t="shared" si="1"/>
        <v>0</v>
      </c>
    </row>
    <row r="39" spans="1:14" ht="15.75" x14ac:dyDescent="0.25">
      <c r="A39" s="587">
        <v>44674</v>
      </c>
      <c r="B39" s="355" t="s">
        <v>703</v>
      </c>
      <c r="C39" s="96">
        <v>1627.2</v>
      </c>
      <c r="D39" s="582">
        <v>44706</v>
      </c>
      <c r="E39" s="586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712">
        <v>44744</v>
      </c>
      <c r="M39" s="710">
        <v>5516</v>
      </c>
      <c r="N39" s="137">
        <f t="shared" si="1"/>
        <v>0</v>
      </c>
    </row>
    <row r="40" spans="1:14" ht="15.75" x14ac:dyDescent="0.25">
      <c r="A40" s="587">
        <v>44674</v>
      </c>
      <c r="B40" s="355" t="s">
        <v>704</v>
      </c>
      <c r="C40" s="96">
        <v>1238.8</v>
      </c>
      <c r="D40" s="582">
        <v>44706</v>
      </c>
      <c r="E40" s="586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712">
        <v>44744</v>
      </c>
      <c r="M40" s="711">
        <v>600</v>
      </c>
      <c r="N40" s="137">
        <f t="shared" si="1"/>
        <v>0</v>
      </c>
    </row>
    <row r="41" spans="1:14" ht="31.5" x14ac:dyDescent="0.25">
      <c r="A41" s="587">
        <v>44674</v>
      </c>
      <c r="B41" s="355" t="s">
        <v>705</v>
      </c>
      <c r="C41" s="96">
        <v>62762.55</v>
      </c>
      <c r="D41" s="646" t="s">
        <v>915</v>
      </c>
      <c r="E41" s="583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712">
        <v>44744</v>
      </c>
      <c r="M41" s="711">
        <v>6614.7</v>
      </c>
      <c r="N41" s="137">
        <f t="shared" si="1"/>
        <v>0</v>
      </c>
    </row>
    <row r="42" spans="1:14" ht="15.75" x14ac:dyDescent="0.25">
      <c r="A42" s="587">
        <v>44676</v>
      </c>
      <c r="B42" s="355" t="s">
        <v>706</v>
      </c>
      <c r="C42" s="96">
        <v>46744.6</v>
      </c>
      <c r="D42" s="647">
        <v>44722</v>
      </c>
      <c r="E42" s="648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712">
        <v>44744</v>
      </c>
      <c r="M42" s="711">
        <v>1080</v>
      </c>
      <c r="N42" s="137">
        <f t="shared" si="1"/>
        <v>0</v>
      </c>
    </row>
    <row r="43" spans="1:14" ht="15.75" x14ac:dyDescent="0.25">
      <c r="A43" s="587">
        <v>44677</v>
      </c>
      <c r="B43" s="355" t="s">
        <v>707</v>
      </c>
      <c r="C43" s="96">
        <v>14500.7</v>
      </c>
      <c r="D43" s="647">
        <v>44722</v>
      </c>
      <c r="E43" s="648">
        <v>14500.7</v>
      </c>
      <c r="F43" s="111">
        <f t="shared" si="0"/>
        <v>0</v>
      </c>
      <c r="I43" s="288"/>
      <c r="J43" s="57"/>
      <c r="K43" s="111"/>
      <c r="L43" s="370"/>
      <c r="M43" s="69"/>
      <c r="N43" s="137">
        <f t="shared" si="1"/>
        <v>0</v>
      </c>
    </row>
    <row r="44" spans="1:14" ht="15.75" x14ac:dyDescent="0.25">
      <c r="A44" s="587">
        <v>44677</v>
      </c>
      <c r="B44" s="355" t="s">
        <v>708</v>
      </c>
      <c r="C44" s="96">
        <v>41351.199999999997</v>
      </c>
      <c r="D44" s="647">
        <v>44722</v>
      </c>
      <c r="E44" s="648">
        <v>41351.199999999997</v>
      </c>
      <c r="F44" s="111">
        <f t="shared" si="0"/>
        <v>0</v>
      </c>
      <c r="I44" s="288"/>
      <c r="J44" s="57"/>
      <c r="K44" s="111"/>
      <c r="L44" s="370"/>
      <c r="M44" s="69"/>
      <c r="N44" s="137"/>
    </row>
    <row r="45" spans="1:14" ht="15.75" x14ac:dyDescent="0.25">
      <c r="A45" s="587">
        <v>44677</v>
      </c>
      <c r="B45" s="355" t="s">
        <v>709</v>
      </c>
      <c r="C45" s="96">
        <v>5624</v>
      </c>
      <c r="D45" s="647">
        <v>44722</v>
      </c>
      <c r="E45" s="648">
        <v>5624</v>
      </c>
      <c r="F45" s="111">
        <f t="shared" si="0"/>
        <v>0</v>
      </c>
      <c r="I45" s="288"/>
      <c r="J45" s="57"/>
      <c r="K45" s="111"/>
      <c r="L45" s="370"/>
      <c r="M45" s="69"/>
      <c r="N45" s="137"/>
    </row>
    <row r="46" spans="1:14" ht="15.75" x14ac:dyDescent="0.25">
      <c r="A46" s="587">
        <v>44678</v>
      </c>
      <c r="B46" s="355" t="s">
        <v>710</v>
      </c>
      <c r="C46" s="96">
        <v>45618</v>
      </c>
      <c r="D46" s="647">
        <v>44722</v>
      </c>
      <c r="E46" s="648">
        <v>45618</v>
      </c>
      <c r="F46" s="111">
        <f t="shared" si="0"/>
        <v>0</v>
      </c>
      <c r="I46" s="288"/>
      <c r="J46" s="57"/>
      <c r="K46" s="111"/>
      <c r="L46" s="370"/>
      <c r="M46" s="69"/>
      <c r="N46" s="137"/>
    </row>
    <row r="47" spans="1:14" ht="15.75" x14ac:dyDescent="0.25">
      <c r="A47" s="587">
        <v>44679</v>
      </c>
      <c r="B47" s="355" t="s">
        <v>711</v>
      </c>
      <c r="C47" s="96">
        <v>35193.4</v>
      </c>
      <c r="D47" s="647">
        <v>44722</v>
      </c>
      <c r="E47" s="648">
        <v>35193.4</v>
      </c>
      <c r="F47" s="111">
        <f t="shared" si="0"/>
        <v>0</v>
      </c>
      <c r="I47" s="288"/>
      <c r="J47" s="57"/>
      <c r="K47" s="111"/>
      <c r="L47" s="370"/>
      <c r="M47" s="69"/>
      <c r="N47" s="137"/>
    </row>
    <row r="48" spans="1:14" ht="15.75" x14ac:dyDescent="0.25">
      <c r="A48" s="587">
        <v>44680</v>
      </c>
      <c r="B48" s="355" t="s">
        <v>712</v>
      </c>
      <c r="C48" s="96">
        <v>69268.88</v>
      </c>
      <c r="D48" s="647">
        <v>44722</v>
      </c>
      <c r="E48" s="648">
        <v>69268.88</v>
      </c>
      <c r="F48" s="111">
        <f t="shared" si="0"/>
        <v>0</v>
      </c>
      <c r="I48" s="288"/>
      <c r="J48" s="57"/>
      <c r="K48" s="111"/>
      <c r="L48" s="370"/>
      <c r="M48" s="69"/>
      <c r="N48" s="137"/>
    </row>
    <row r="49" spans="1:14" ht="15.75" x14ac:dyDescent="0.25">
      <c r="A49" s="587">
        <v>44681</v>
      </c>
      <c r="B49" s="355" t="s">
        <v>713</v>
      </c>
      <c r="C49" s="96">
        <v>25197.4</v>
      </c>
      <c r="D49" s="647">
        <v>44722</v>
      </c>
      <c r="E49" s="648">
        <v>25197.4</v>
      </c>
      <c r="F49" s="111">
        <f t="shared" si="0"/>
        <v>0</v>
      </c>
      <c r="I49" s="288"/>
      <c r="J49" s="57"/>
      <c r="K49" s="111"/>
      <c r="L49" s="370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370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370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370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370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973" t="s">
        <v>594</v>
      </c>
      <c r="J54" s="974"/>
      <c r="K54" s="111"/>
      <c r="L54" s="370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975"/>
      <c r="J55" s="976"/>
      <c r="K55" s="111"/>
      <c r="L55" s="370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977"/>
      <c r="J56" s="978"/>
      <c r="K56" s="111"/>
      <c r="L56" s="370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370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370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370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370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253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253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253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253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253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253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253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253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253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253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253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18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18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18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18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18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18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254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254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254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254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254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254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254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254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254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254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255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2">
        <f>SUM(K3:K88)</f>
        <v>363428.24</v>
      </c>
      <c r="L89" s="713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931" t="s">
        <v>207</v>
      </c>
      <c r="K90" s="1"/>
      <c r="L90" s="256"/>
      <c r="M90" s="3"/>
      <c r="N90" s="1"/>
    </row>
    <row r="91" spans="1:14" x14ac:dyDescent="0.25">
      <c r="B91" s="163"/>
      <c r="C91" s="1"/>
      <c r="D91" s="256"/>
      <c r="E91" s="3"/>
      <c r="F91" s="932"/>
      <c r="K91" s="1"/>
      <c r="L91" s="256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714"/>
      <c r="M92" s="6"/>
    </row>
    <row r="93" spans="1:14" x14ac:dyDescent="0.25">
      <c r="A93" s="456"/>
      <c r="B93" s="442"/>
      <c r="I93" s="969" t="s">
        <v>594</v>
      </c>
      <c r="J93" s="970"/>
    </row>
    <row r="94" spans="1:14" ht="19.5" thickBot="1" x14ac:dyDescent="0.35">
      <c r="A94" s="456"/>
      <c r="B94" s="516" t="s">
        <v>715</v>
      </c>
      <c r="C94" s="517"/>
      <c r="D94" s="518"/>
      <c r="E94" s="519"/>
      <c r="I94" s="971"/>
      <c r="J94" s="972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09"/>
      <c r="B97" s="510"/>
      <c r="C97" s="129"/>
      <c r="F97"/>
      <c r="I97"/>
      <c r="J97" s="194"/>
      <c r="N97"/>
    </row>
    <row r="98" spans="1:14" x14ac:dyDescent="0.25">
      <c r="A98" s="509"/>
      <c r="B98" s="510"/>
      <c r="C98" s="129"/>
      <c r="F98"/>
      <c r="I98"/>
      <c r="J98" s="194"/>
      <c r="N98"/>
    </row>
    <row r="99" spans="1:14" ht="15.75" x14ac:dyDescent="0.25">
      <c r="A99" s="511"/>
      <c r="B99" s="512"/>
      <c r="C99" s="233"/>
      <c r="F99"/>
      <c r="I99"/>
      <c r="J99" s="194"/>
      <c r="N99"/>
    </row>
    <row r="100" spans="1:14" ht="15.75" x14ac:dyDescent="0.25">
      <c r="A100" s="511"/>
      <c r="B100" s="512"/>
      <c r="C100" s="233"/>
      <c r="F100"/>
      <c r="I100"/>
      <c r="J100" s="194"/>
      <c r="N100"/>
    </row>
    <row r="101" spans="1:14" ht="15.75" x14ac:dyDescent="0.25">
      <c r="A101" s="511"/>
      <c r="B101" s="512"/>
      <c r="C101" s="233"/>
      <c r="F101"/>
      <c r="I101"/>
      <c r="J101" s="194"/>
      <c r="N101"/>
    </row>
    <row r="102" spans="1:14" ht="15.75" x14ac:dyDescent="0.25">
      <c r="A102" s="511"/>
      <c r="B102" s="512"/>
      <c r="C102" s="233"/>
      <c r="F102"/>
      <c r="I102"/>
      <c r="J102" s="194"/>
      <c r="N102"/>
    </row>
    <row r="103" spans="1:14" ht="15.75" x14ac:dyDescent="0.25">
      <c r="A103" s="511"/>
      <c r="B103" s="512"/>
      <c r="C103" s="233"/>
      <c r="F103" s="3">
        <v>12116.39</v>
      </c>
      <c r="I103"/>
      <c r="J103" s="194"/>
      <c r="N103"/>
    </row>
    <row r="104" spans="1:14" ht="15.75" x14ac:dyDescent="0.25">
      <c r="A104" s="509"/>
      <c r="B104" s="510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1"/>
    </row>
    <row r="130" spans="2:5" ht="21.75" thickBot="1" x14ac:dyDescent="0.4">
      <c r="B130" s="455"/>
      <c r="C130" s="983">
        <f>SUM(D106:D129)</f>
        <v>759581.99999999988</v>
      </c>
      <c r="D130" s="984"/>
      <c r="E130" s="257"/>
    </row>
  </sheetData>
  <mergeCells count="4">
    <mergeCell ref="F90:F91"/>
    <mergeCell ref="I93:J94"/>
    <mergeCell ref="C130:D130"/>
    <mergeCell ref="I54:J56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H17"/>
  <sheetViews>
    <sheetView workbookViewId="0">
      <selection activeCell="J16" sqref="J16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x14ac:dyDescent="0.25">
      <c r="B2" s="998" t="s">
        <v>1242</v>
      </c>
      <c r="C2" s="999"/>
      <c r="D2" s="1000"/>
      <c r="F2" s="986" t="s">
        <v>1241</v>
      </c>
      <c r="G2" s="987"/>
      <c r="H2" s="988"/>
    </row>
    <row r="3" spans="2:8" ht="27.75" customHeight="1" thickBot="1" x14ac:dyDescent="0.3">
      <c r="B3" s="1001"/>
      <c r="C3" s="1002"/>
      <c r="D3" s="1003"/>
      <c r="F3" s="989"/>
      <c r="G3" s="990"/>
      <c r="H3" s="991"/>
    </row>
    <row r="4" spans="2:8" ht="32.25" thickBot="1" x14ac:dyDescent="0.3">
      <c r="B4" s="523" t="s">
        <v>747</v>
      </c>
      <c r="C4" s="525" t="s">
        <v>746</v>
      </c>
      <c r="D4" s="524" t="s">
        <v>21</v>
      </c>
      <c r="F4" s="530" t="s">
        <v>747</v>
      </c>
      <c r="G4" s="531" t="s">
        <v>746</v>
      </c>
      <c r="H4" s="532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6" t="s">
        <v>748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6" t="s">
        <v>748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6" t="s">
        <v>748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6" t="s">
        <v>748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6" t="s">
        <v>748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27" t="s">
        <v>8</v>
      </c>
      <c r="D11" s="528">
        <f>SUM(D5:D10)</f>
        <v>264460</v>
      </c>
      <c r="G11" s="992">
        <f>SUM(H5:H10)</f>
        <v>334337</v>
      </c>
      <c r="H11" s="993"/>
    </row>
    <row r="13" spans="2:8" ht="18.75" x14ac:dyDescent="0.3">
      <c r="B13" s="529" t="s">
        <v>594</v>
      </c>
      <c r="C13" s="529" t="s">
        <v>750</v>
      </c>
      <c r="D13" s="154">
        <v>334337</v>
      </c>
    </row>
    <row r="14" spans="2:8" ht="19.5" thickBot="1" x14ac:dyDescent="0.35">
      <c r="C14" s="529"/>
    </row>
    <row r="15" spans="2:8" ht="21" customHeight="1" x14ac:dyDescent="0.25">
      <c r="C15" s="996" t="s">
        <v>749</v>
      </c>
      <c r="D15" s="994">
        <f>D11-D13</f>
        <v>-69877</v>
      </c>
      <c r="E15" s="1004" t="s">
        <v>1243</v>
      </c>
      <c r="F15" s="1005"/>
      <c r="G15" s="1005"/>
      <c r="H15" s="1006"/>
    </row>
    <row r="16" spans="2:8" ht="18.75" customHeight="1" thickBot="1" x14ac:dyDescent="0.3">
      <c r="C16" s="997"/>
      <c r="D16" s="995"/>
      <c r="E16" s="1007"/>
      <c r="F16" s="1008"/>
      <c r="G16" s="1008"/>
      <c r="H16" s="1009"/>
    </row>
    <row r="17" spans="3:4" ht="18.75" x14ac:dyDescent="0.3">
      <c r="C17" s="985" t="s">
        <v>751</v>
      </c>
      <c r="D17" s="985"/>
    </row>
  </sheetData>
  <mergeCells count="7">
    <mergeCell ref="C17:D17"/>
    <mergeCell ref="F2:H3"/>
    <mergeCell ref="G11:H11"/>
    <mergeCell ref="D15:D16"/>
    <mergeCell ref="C15:C16"/>
    <mergeCell ref="B2:D3"/>
    <mergeCell ref="E15:H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P41" sqref="P41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6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93"/>
      <c r="C1" s="935" t="s">
        <v>752</v>
      </c>
      <c r="D1" s="936"/>
      <c r="E1" s="936"/>
      <c r="F1" s="936"/>
      <c r="G1" s="936"/>
      <c r="H1" s="936"/>
      <c r="I1" s="936"/>
      <c r="J1" s="936"/>
      <c r="K1" s="936"/>
      <c r="L1" s="936"/>
      <c r="M1" s="936"/>
    </row>
    <row r="2" spans="1:25" ht="16.5" thickBot="1" x14ac:dyDescent="0.3">
      <c r="B2" s="894"/>
      <c r="C2" s="3"/>
      <c r="H2" s="5"/>
      <c r="I2" s="6"/>
      <c r="J2" s="7"/>
      <c r="L2" s="8"/>
      <c r="M2" s="6"/>
      <c r="N2" s="9"/>
    </row>
    <row r="3" spans="1:25" ht="21.75" thickBot="1" x14ac:dyDescent="0.35">
      <c r="B3" s="897" t="s">
        <v>0</v>
      </c>
      <c r="C3" s="898"/>
      <c r="D3" s="10"/>
      <c r="E3" s="553"/>
      <c r="F3" s="11"/>
      <c r="H3" s="899" t="s">
        <v>26</v>
      </c>
      <c r="I3" s="899"/>
      <c r="K3" s="165"/>
      <c r="L3" s="13"/>
      <c r="M3" s="14"/>
      <c r="P3" s="923" t="s">
        <v>6</v>
      </c>
      <c r="R3" s="933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900" t="s">
        <v>2</v>
      </c>
      <c r="F4" s="901"/>
      <c r="H4" s="902" t="s">
        <v>3</v>
      </c>
      <c r="I4" s="903"/>
      <c r="J4" s="556"/>
      <c r="K4" s="562"/>
      <c r="L4" s="563"/>
      <c r="M4" s="21" t="s">
        <v>4</v>
      </c>
      <c r="N4" s="22" t="s">
        <v>5</v>
      </c>
      <c r="P4" s="924"/>
      <c r="Q4" s="322" t="s">
        <v>217</v>
      </c>
      <c r="R4" s="934"/>
      <c r="U4" s="34"/>
      <c r="V4" s="128"/>
      <c r="W4" s="1016"/>
      <c r="X4" s="1016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753</v>
      </c>
      <c r="E5" s="27">
        <v>44683</v>
      </c>
      <c r="F5" s="28">
        <v>112678</v>
      </c>
      <c r="G5" s="572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5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1016"/>
      <c r="X5" s="1016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754</v>
      </c>
      <c r="E6" s="27">
        <v>44684</v>
      </c>
      <c r="F6" s="28">
        <v>99636</v>
      </c>
      <c r="G6" s="572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5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755</v>
      </c>
      <c r="E7" s="27">
        <v>44685</v>
      </c>
      <c r="F7" s="28">
        <v>102561</v>
      </c>
      <c r="G7" s="572"/>
      <c r="H7" s="29">
        <v>44685</v>
      </c>
      <c r="I7" s="30">
        <v>4268</v>
      </c>
      <c r="J7" s="37">
        <v>44685</v>
      </c>
      <c r="K7" s="38" t="s">
        <v>756</v>
      </c>
      <c r="L7" s="39">
        <v>20000</v>
      </c>
      <c r="M7" s="32">
        <v>28729</v>
      </c>
      <c r="N7" s="33">
        <v>33550</v>
      </c>
      <c r="O7" s="577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757</v>
      </c>
      <c r="E8" s="27">
        <v>44686</v>
      </c>
      <c r="F8" s="28">
        <v>99057</v>
      </c>
      <c r="G8" s="572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5"/>
      <c r="P8" s="39">
        <f t="shared" ref="P8:P33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758</v>
      </c>
      <c r="E9" s="27">
        <v>44687</v>
      </c>
      <c r="F9" s="28">
        <v>121841</v>
      </c>
      <c r="G9" s="572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5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759</v>
      </c>
      <c r="E10" s="27">
        <v>44688</v>
      </c>
      <c r="F10" s="28">
        <v>128367</v>
      </c>
      <c r="G10" s="572"/>
      <c r="H10" s="29">
        <v>44688</v>
      </c>
      <c r="I10" s="30">
        <v>10782.5</v>
      </c>
      <c r="J10" s="37">
        <v>44688</v>
      </c>
      <c r="K10" s="167" t="s">
        <v>760</v>
      </c>
      <c r="L10" s="45">
        <v>18091</v>
      </c>
      <c r="M10" s="32">
        <v>33541</v>
      </c>
      <c r="N10" s="33">
        <v>50001</v>
      </c>
      <c r="O10" s="575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762</v>
      </c>
      <c r="E11" s="27">
        <v>44689</v>
      </c>
      <c r="F11" s="28">
        <v>71145</v>
      </c>
      <c r="G11" s="572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5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763</v>
      </c>
      <c r="E12" s="27">
        <v>44690</v>
      </c>
      <c r="F12" s="28">
        <v>141644</v>
      </c>
      <c r="G12" s="572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4" t="s">
        <v>764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765</v>
      </c>
      <c r="E13" s="27">
        <v>44691</v>
      </c>
      <c r="F13" s="28">
        <v>120719</v>
      </c>
      <c r="G13" s="572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4" t="s">
        <v>764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766</v>
      </c>
      <c r="E14" s="27">
        <v>44692</v>
      </c>
      <c r="F14" s="28">
        <v>82833</v>
      </c>
      <c r="G14" s="572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4" t="s">
        <v>764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767</v>
      </c>
      <c r="E15" s="27">
        <v>44693</v>
      </c>
      <c r="F15" s="28">
        <v>90488</v>
      </c>
      <c r="G15" s="572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4" t="s">
        <v>764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768</v>
      </c>
      <c r="E16" s="27">
        <v>44694</v>
      </c>
      <c r="F16" s="28">
        <v>94487</v>
      </c>
      <c r="G16" s="572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4" t="s">
        <v>764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769</v>
      </c>
      <c r="E17" s="27">
        <v>44695</v>
      </c>
      <c r="F17" s="28">
        <v>127660</v>
      </c>
      <c r="G17" s="572"/>
      <c r="H17" s="29">
        <v>44695</v>
      </c>
      <c r="I17" s="30">
        <v>3373</v>
      </c>
      <c r="J17" s="37">
        <v>44695</v>
      </c>
      <c r="K17" s="38" t="s">
        <v>770</v>
      </c>
      <c r="L17" s="45">
        <v>15841</v>
      </c>
      <c r="M17" s="32">
        <v>43450</v>
      </c>
      <c r="N17" s="33">
        <v>41947</v>
      </c>
      <c r="O17" s="574" t="s">
        <v>764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771</v>
      </c>
      <c r="E18" s="27">
        <v>44696</v>
      </c>
      <c r="F18" s="28">
        <v>88214</v>
      </c>
      <c r="G18" s="572"/>
      <c r="H18" s="29">
        <v>44696</v>
      </c>
      <c r="I18" s="30">
        <v>1226</v>
      </c>
      <c r="J18" s="37"/>
      <c r="K18" s="564"/>
      <c r="L18" s="39"/>
      <c r="M18" s="32">
        <v>52335</v>
      </c>
      <c r="N18" s="33">
        <v>28769</v>
      </c>
      <c r="O18" s="574" t="s">
        <v>764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1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772</v>
      </c>
      <c r="E19" s="27">
        <v>44697</v>
      </c>
      <c r="F19" s="28">
        <v>120632</v>
      </c>
      <c r="G19" s="572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4" t="s">
        <v>764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1017"/>
      <c r="X19" s="541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773</v>
      </c>
      <c r="E20" s="27">
        <v>44698</v>
      </c>
      <c r="F20" s="28">
        <v>93589</v>
      </c>
      <c r="G20" s="572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4" t="s">
        <v>764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1017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774</v>
      </c>
      <c r="E21" s="27">
        <v>44699</v>
      </c>
      <c r="F21" s="28">
        <v>117936</v>
      </c>
      <c r="G21" s="572"/>
      <c r="H21" s="29">
        <v>44699</v>
      </c>
      <c r="I21" s="30">
        <v>2157</v>
      </c>
      <c r="J21" s="37"/>
      <c r="K21" s="565"/>
      <c r="L21" s="45"/>
      <c r="M21" s="32">
        <f>55227+8192</f>
        <v>63419</v>
      </c>
      <c r="N21" s="33">
        <v>35017</v>
      </c>
      <c r="O21" s="574" t="s">
        <v>764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912"/>
      <c r="X21" s="912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759</v>
      </c>
      <c r="E22" s="27">
        <v>44700</v>
      </c>
      <c r="F22" s="28">
        <v>108540</v>
      </c>
      <c r="G22" s="572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4" t="s">
        <v>764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806</v>
      </c>
      <c r="E23" s="27">
        <v>44701</v>
      </c>
      <c r="F23" s="28">
        <v>161066</v>
      </c>
      <c r="G23" s="572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4" t="s">
        <v>764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913"/>
      <c r="X23" s="913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807</v>
      </c>
      <c r="E24" s="27">
        <v>44702</v>
      </c>
      <c r="F24" s="28">
        <v>110608</v>
      </c>
      <c r="G24" s="572"/>
      <c r="H24" s="29">
        <v>44702</v>
      </c>
      <c r="I24" s="30">
        <v>7382</v>
      </c>
      <c r="J24" s="51">
        <v>44702</v>
      </c>
      <c r="K24" s="173" t="s">
        <v>808</v>
      </c>
      <c r="L24" s="52">
        <v>17621</v>
      </c>
      <c r="M24" s="32">
        <f>22308+8446</f>
        <v>30754</v>
      </c>
      <c r="N24" s="33">
        <v>38520</v>
      </c>
      <c r="O24" s="574" t="s">
        <v>764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913"/>
      <c r="X24" s="913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809</v>
      </c>
      <c r="E25" s="27">
        <v>44703</v>
      </c>
      <c r="F25" s="28">
        <v>76960</v>
      </c>
      <c r="G25" s="572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4" t="s">
        <v>764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914"/>
      <c r="X25" s="914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810</v>
      </c>
      <c r="E26" s="27">
        <v>44704</v>
      </c>
      <c r="F26" s="28">
        <v>136742</v>
      </c>
      <c r="G26" s="572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0" t="s">
        <v>764</v>
      </c>
      <c r="P26" s="284">
        <f t="shared" si="1"/>
        <v>136742</v>
      </c>
      <c r="Q26" s="325">
        <f t="shared" si="0"/>
        <v>0</v>
      </c>
      <c r="R26" s="542">
        <v>0</v>
      </c>
      <c r="S26" s="128"/>
      <c r="T26" s="128"/>
      <c r="U26" s="34"/>
      <c r="V26" s="128"/>
      <c r="W26" s="914"/>
      <c r="X26" s="914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811</v>
      </c>
      <c r="E27" s="27">
        <v>44705</v>
      </c>
      <c r="F27" s="28">
        <v>94656</v>
      </c>
      <c r="G27" s="572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0" t="s">
        <v>764</v>
      </c>
      <c r="P27" s="39">
        <f t="shared" si="1"/>
        <v>94656</v>
      </c>
      <c r="Q27" s="325">
        <f t="shared" si="0"/>
        <v>0</v>
      </c>
      <c r="R27" s="542">
        <v>0</v>
      </c>
      <c r="S27" s="128"/>
      <c r="T27" s="128"/>
      <c r="U27" s="34"/>
      <c r="V27" s="128"/>
      <c r="W27" s="907"/>
      <c r="X27" s="908"/>
      <c r="Y27" s="909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2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0" t="s">
        <v>764</v>
      </c>
      <c r="P28" s="34">
        <f t="shared" si="1"/>
        <v>102814</v>
      </c>
      <c r="Q28" s="325">
        <f t="shared" si="0"/>
        <v>0</v>
      </c>
      <c r="R28" s="542">
        <v>0</v>
      </c>
      <c r="S28" s="128"/>
      <c r="T28" s="128"/>
      <c r="U28" s="34"/>
      <c r="V28" s="128"/>
      <c r="W28" s="908"/>
      <c r="X28" s="908"/>
      <c r="Y28" s="909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813</v>
      </c>
      <c r="E29" s="27">
        <v>44707</v>
      </c>
      <c r="F29" s="28">
        <v>110431</v>
      </c>
      <c r="G29" s="572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0" t="s">
        <v>764</v>
      </c>
      <c r="P29" s="34">
        <f t="shared" si="1"/>
        <v>110431</v>
      </c>
      <c r="Q29" s="325">
        <f t="shared" si="0"/>
        <v>0</v>
      </c>
      <c r="R29" s="542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814</v>
      </c>
      <c r="E30" s="27">
        <v>44708</v>
      </c>
      <c r="F30" s="28">
        <v>104016</v>
      </c>
      <c r="G30" s="572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0" t="s">
        <v>764</v>
      </c>
      <c r="P30" s="34">
        <f t="shared" si="1"/>
        <v>104016</v>
      </c>
      <c r="Q30" s="325">
        <f t="shared" si="0"/>
        <v>0</v>
      </c>
      <c r="R30" s="542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815</v>
      </c>
      <c r="E31" s="27">
        <v>44709</v>
      </c>
      <c r="F31" s="28">
        <v>165484</v>
      </c>
      <c r="G31" s="572"/>
      <c r="H31" s="29">
        <v>44709</v>
      </c>
      <c r="I31" s="30">
        <v>2598</v>
      </c>
      <c r="J31" s="56">
        <v>44709</v>
      </c>
      <c r="K31" s="566" t="s">
        <v>816</v>
      </c>
      <c r="L31" s="54">
        <v>17618</v>
      </c>
      <c r="M31" s="32">
        <f>72001+8001.6+7416</f>
        <v>87418.6</v>
      </c>
      <c r="N31" s="33">
        <v>51251</v>
      </c>
      <c r="O31" s="590" t="s">
        <v>764</v>
      </c>
      <c r="P31" s="34">
        <f t="shared" si="1"/>
        <v>165483.6</v>
      </c>
      <c r="Q31" s="325">
        <f t="shared" si="0"/>
        <v>-0.39999999999417923</v>
      </c>
      <c r="R31" s="542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817</v>
      </c>
      <c r="E32" s="27">
        <v>44710</v>
      </c>
      <c r="F32" s="28">
        <v>94959</v>
      </c>
      <c r="G32" s="572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1" t="s">
        <v>764</v>
      </c>
      <c r="P32" s="34">
        <f t="shared" si="1"/>
        <v>94959</v>
      </c>
      <c r="Q32" s="325">
        <f t="shared" si="0"/>
        <v>0</v>
      </c>
      <c r="R32" s="542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2"/>
      <c r="H33" s="36"/>
      <c r="I33" s="30"/>
      <c r="J33" s="56"/>
      <c r="K33" s="223"/>
      <c r="L33" s="69"/>
      <c r="M33" s="32">
        <v>0</v>
      </c>
      <c r="N33" s="33">
        <v>0</v>
      </c>
      <c r="O33" s="591"/>
      <c r="P33" s="34">
        <f t="shared" si="1"/>
        <v>0</v>
      </c>
      <c r="Q33" s="325">
        <f t="shared" si="0"/>
        <v>0</v>
      </c>
      <c r="R33" s="542">
        <v>0</v>
      </c>
      <c r="S33" s="128"/>
      <c r="T33" s="543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2">
        <v>399418.38</v>
      </c>
      <c r="D34" s="64" t="s">
        <v>836</v>
      </c>
      <c r="E34" s="27"/>
      <c r="F34" s="536"/>
      <c r="G34" s="572"/>
      <c r="H34" s="36"/>
      <c r="I34" s="30"/>
      <c r="J34" s="557"/>
      <c r="K34" s="567"/>
      <c r="L34" s="9"/>
      <c r="M34" s="32">
        <v>0</v>
      </c>
      <c r="N34" s="33">
        <v>0</v>
      </c>
      <c r="O34" s="592"/>
      <c r="P34" s="34">
        <v>0</v>
      </c>
      <c r="Q34" s="325">
        <f t="shared" si="0"/>
        <v>0</v>
      </c>
      <c r="R34" s="542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2">
        <v>28656.18</v>
      </c>
      <c r="D35" s="67" t="s">
        <v>853</v>
      </c>
      <c r="E35" s="27"/>
      <c r="F35" s="536"/>
      <c r="G35" s="572"/>
      <c r="H35" s="36"/>
      <c r="I35" s="537"/>
      <c r="J35" s="557"/>
      <c r="K35" s="568"/>
      <c r="L35" s="69"/>
      <c r="M35" s="32">
        <v>0</v>
      </c>
      <c r="N35" s="33">
        <v>0</v>
      </c>
      <c r="P35" s="34">
        <v>0</v>
      </c>
      <c r="Q35" s="325">
        <f t="shared" si="0"/>
        <v>0</v>
      </c>
      <c r="R35" s="542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2">
        <v>26746.2</v>
      </c>
      <c r="D36" s="64" t="s">
        <v>853</v>
      </c>
      <c r="E36" s="27"/>
      <c r="F36" s="536"/>
      <c r="G36" s="572"/>
      <c r="H36" s="36"/>
      <c r="I36" s="537"/>
      <c r="J36" s="557"/>
      <c r="K36" s="569"/>
      <c r="L36" s="9"/>
      <c r="M36" s="32">
        <v>0</v>
      </c>
      <c r="N36" s="33">
        <v>0</v>
      </c>
      <c r="O36" s="578"/>
      <c r="P36" s="34">
        <v>0</v>
      </c>
      <c r="Q36" s="111">
        <f t="shared" ref="Q36:Q40" si="2">P36-F36</f>
        <v>0</v>
      </c>
      <c r="R36" s="319">
        <v>0</v>
      </c>
      <c r="S36" s="540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2">
        <v>9405.9599999999991</v>
      </c>
      <c r="D37" s="506" t="s">
        <v>855</v>
      </c>
      <c r="E37" s="27"/>
      <c r="F37" s="536"/>
      <c r="G37" s="572"/>
      <c r="H37" s="36"/>
      <c r="I37" s="537"/>
      <c r="J37" s="622">
        <v>44688</v>
      </c>
      <c r="K37" s="623" t="s">
        <v>761</v>
      </c>
      <c r="L37" s="624">
        <v>17396.62</v>
      </c>
      <c r="M37" s="32">
        <v>0</v>
      </c>
      <c r="N37" s="33">
        <v>0</v>
      </c>
      <c r="O37" s="578"/>
      <c r="P37" s="34">
        <v>0</v>
      </c>
      <c r="Q37" s="111">
        <f t="shared" si="2"/>
        <v>0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2">
        <v>199112</v>
      </c>
      <c r="D38" s="65" t="s">
        <v>49</v>
      </c>
      <c r="E38" s="27"/>
      <c r="F38" s="536"/>
      <c r="G38" s="572"/>
      <c r="H38" s="36"/>
      <c r="I38" s="537"/>
      <c r="J38" s="622">
        <v>44695</v>
      </c>
      <c r="K38" s="636" t="s">
        <v>770</v>
      </c>
      <c r="L38" s="624">
        <v>17397.240000000002</v>
      </c>
      <c r="M38" s="32">
        <v>0</v>
      </c>
      <c r="N38" s="33">
        <v>0</v>
      </c>
      <c r="P38" s="34">
        <v>0</v>
      </c>
      <c r="Q38" s="111">
        <f t="shared" si="2"/>
        <v>0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38"/>
      <c r="G39" s="572"/>
      <c r="H39" s="36"/>
      <c r="I39" s="539"/>
      <c r="J39" s="622">
        <v>44702</v>
      </c>
      <c r="K39" s="636" t="s">
        <v>808</v>
      </c>
      <c r="L39" s="624">
        <v>21215.21</v>
      </c>
      <c r="M39" s="32">
        <v>0</v>
      </c>
      <c r="N39" s="33">
        <v>0</v>
      </c>
      <c r="P39" s="34">
        <v>0</v>
      </c>
      <c r="Q39" s="111">
        <f t="shared" si="2"/>
        <v>0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>
        <v>44709</v>
      </c>
      <c r="K40" s="623" t="s">
        <v>816</v>
      </c>
      <c r="L40" s="624">
        <v>19292</v>
      </c>
      <c r="M40" s="267">
        <v>0</v>
      </c>
      <c r="N40" s="268">
        <v>0</v>
      </c>
      <c r="P40" s="34">
        <v>0</v>
      </c>
      <c r="Q40" s="111">
        <f t="shared" si="2"/>
        <v>0</v>
      </c>
      <c r="R40" s="319">
        <v>0</v>
      </c>
    </row>
    <row r="41" spans="1:24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/>
      <c r="K41" s="38"/>
      <c r="L41" s="39"/>
      <c r="M41" s="925">
        <f>SUM(M5:M40)</f>
        <v>1509924.1</v>
      </c>
      <c r="N41" s="925">
        <f>SUM(N5:N40)</f>
        <v>1012291</v>
      </c>
      <c r="P41" s="505">
        <f>SUM(P5:P40)</f>
        <v>3152648.1</v>
      </c>
      <c r="Q41" s="979">
        <f>SUM(Q5:Q40)</f>
        <v>2.1000000000058208</v>
      </c>
    </row>
    <row r="42" spans="1:24" ht="18" thickBot="1" x14ac:dyDescent="0.35">
      <c r="A42" s="23"/>
      <c r="B42" s="24"/>
      <c r="C42" s="72"/>
      <c r="D42" s="507"/>
      <c r="E42" s="74"/>
      <c r="F42" s="75"/>
      <c r="G42" s="572"/>
      <c r="H42" s="76"/>
      <c r="I42" s="77"/>
      <c r="J42" s="51">
        <v>44683</v>
      </c>
      <c r="K42" s="173" t="s">
        <v>839</v>
      </c>
      <c r="L42" s="637">
        <v>3095.88</v>
      </c>
      <c r="M42" s="926"/>
      <c r="N42" s="926"/>
      <c r="P42" s="34"/>
      <c r="Q42" s="980"/>
    </row>
    <row r="43" spans="1:24" ht="18" thickBot="1" x14ac:dyDescent="0.35">
      <c r="A43" s="23"/>
      <c r="B43" s="24"/>
      <c r="C43" s="72"/>
      <c r="D43" s="507"/>
      <c r="E43" s="74"/>
      <c r="F43" s="75"/>
      <c r="G43" s="572"/>
      <c r="H43" s="76"/>
      <c r="I43" s="77"/>
      <c r="J43" s="50">
        <v>44684</v>
      </c>
      <c r="K43" s="38" t="s">
        <v>840</v>
      </c>
      <c r="L43" s="638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7"/>
      <c r="E44" s="74"/>
      <c r="F44" s="75"/>
      <c r="G44" s="572"/>
      <c r="H44" s="76"/>
      <c r="I44" s="77"/>
      <c r="J44" s="56">
        <v>44686</v>
      </c>
      <c r="K44" s="570" t="s">
        <v>841</v>
      </c>
      <c r="L44" s="616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7"/>
      <c r="E45" s="74"/>
      <c r="F45" s="75"/>
      <c r="G45" s="572"/>
      <c r="H45" s="76"/>
      <c r="I45" s="77"/>
      <c r="J45" s="56">
        <v>44690</v>
      </c>
      <c r="K45" s="38" t="s">
        <v>824</v>
      </c>
      <c r="L45" s="616">
        <v>4006.5</v>
      </c>
      <c r="M45" s="981">
        <f>M41+N41</f>
        <v>2522215.1</v>
      </c>
      <c r="N45" s="982"/>
      <c r="P45" s="34"/>
      <c r="Q45" s="13"/>
    </row>
    <row r="46" spans="1:24" ht="18" thickBot="1" x14ac:dyDescent="0.35">
      <c r="A46" s="23"/>
      <c r="B46" s="24"/>
      <c r="C46" s="72"/>
      <c r="D46" s="507"/>
      <c r="E46" s="74"/>
      <c r="F46" s="75"/>
      <c r="G46" s="572"/>
      <c r="H46" s="76"/>
      <c r="I46" s="77"/>
      <c r="J46" s="56">
        <v>44690</v>
      </c>
      <c r="K46" s="38" t="s">
        <v>842</v>
      </c>
      <c r="L46" s="616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7"/>
      <c r="E47" s="74"/>
      <c r="F47" s="75"/>
      <c r="G47" s="572"/>
      <c r="H47" s="76"/>
      <c r="I47" s="77"/>
      <c r="J47" s="56">
        <v>44692</v>
      </c>
      <c r="K47" s="38" t="s">
        <v>854</v>
      </c>
      <c r="L47" s="616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2"/>
      <c r="H48" s="76"/>
      <c r="I48" s="77"/>
      <c r="J48" s="56">
        <v>44693</v>
      </c>
      <c r="K48" s="671" t="s">
        <v>1018</v>
      </c>
      <c r="L48" s="616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2"/>
      <c r="H49" s="76"/>
      <c r="I49" s="77"/>
      <c r="J49" s="601">
        <v>44694</v>
      </c>
      <c r="K49" s="415" t="s">
        <v>830</v>
      </c>
      <c r="L49" s="613">
        <v>1856</v>
      </c>
      <c r="M49" s="593"/>
      <c r="N49" s="593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2"/>
      <c r="H50" s="76"/>
      <c r="I50" s="77"/>
      <c r="J50" s="601">
        <v>44697</v>
      </c>
      <c r="K50" s="415" t="s">
        <v>201</v>
      </c>
      <c r="L50" s="613">
        <v>549</v>
      </c>
      <c r="M50" s="593"/>
      <c r="N50" s="593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2"/>
      <c r="H51" s="76"/>
      <c r="I51" s="77"/>
      <c r="J51" s="601">
        <v>44698</v>
      </c>
      <c r="K51" s="415" t="s">
        <v>839</v>
      </c>
      <c r="L51" s="613">
        <v>1962.36</v>
      </c>
      <c r="M51" s="593"/>
      <c r="N51" s="593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2"/>
      <c r="H52" s="76"/>
      <c r="I52" s="77"/>
      <c r="J52" s="601">
        <v>44699</v>
      </c>
      <c r="K52" s="415" t="s">
        <v>839</v>
      </c>
      <c r="L52" s="613">
        <v>4725</v>
      </c>
      <c r="M52" s="593"/>
      <c r="N52" s="593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2"/>
      <c r="H53" s="76"/>
      <c r="I53" s="77"/>
      <c r="J53" s="601">
        <v>44704</v>
      </c>
      <c r="K53" s="415" t="s">
        <v>202</v>
      </c>
      <c r="L53" s="613">
        <v>2863.47</v>
      </c>
      <c r="M53" s="593"/>
      <c r="N53" s="593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2"/>
      <c r="H54" s="76"/>
      <c r="I54" s="77"/>
      <c r="J54" s="601">
        <v>44708</v>
      </c>
      <c r="K54" s="415" t="s">
        <v>826</v>
      </c>
      <c r="L54" s="613">
        <v>28000</v>
      </c>
      <c r="M54" s="593"/>
      <c r="N54" s="593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2"/>
      <c r="H55" s="76"/>
      <c r="I55" s="77"/>
      <c r="J55" s="601">
        <v>44708</v>
      </c>
      <c r="K55" s="415" t="s">
        <v>838</v>
      </c>
      <c r="L55" s="613">
        <v>3712</v>
      </c>
      <c r="M55" s="593"/>
      <c r="N55" s="593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2"/>
      <c r="H56" s="76"/>
      <c r="I56" s="77"/>
      <c r="J56" s="601">
        <v>44710</v>
      </c>
      <c r="K56" s="415" t="s">
        <v>1019</v>
      </c>
      <c r="L56" s="613">
        <v>27255.26</v>
      </c>
      <c r="M56" s="593"/>
      <c r="N56" s="593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2"/>
      <c r="H57" s="76"/>
      <c r="I57" s="77"/>
      <c r="J57" s="601"/>
      <c r="K57" s="415"/>
      <c r="L57" s="34"/>
      <c r="M57" s="593"/>
      <c r="N57" s="593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2"/>
      <c r="H58" s="76"/>
      <c r="I58" s="77"/>
      <c r="J58" s="601"/>
      <c r="K58" s="415"/>
      <c r="L58" s="34"/>
      <c r="M58" s="593"/>
      <c r="N58" s="593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2"/>
      <c r="H59" s="76"/>
      <c r="I59" s="77"/>
      <c r="J59" s="601"/>
      <c r="K59" s="415"/>
      <c r="L59" s="34"/>
      <c r="M59" s="593"/>
      <c r="N59" s="593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8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0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3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880" t="s">
        <v>11</v>
      </c>
      <c r="I63" s="881"/>
      <c r="J63" s="559"/>
      <c r="K63" s="1013">
        <f>I61+L61</f>
        <v>340912.75</v>
      </c>
      <c r="L63" s="1014"/>
      <c r="M63" s="272"/>
      <c r="N63" s="272"/>
      <c r="P63" s="34"/>
      <c r="Q63" s="13"/>
    </row>
    <row r="64" spans="1:17" x14ac:dyDescent="0.25">
      <c r="D64" s="886" t="s">
        <v>12</v>
      </c>
      <c r="E64" s="886"/>
      <c r="F64" s="312">
        <f>F61-K63-C61</f>
        <v>1458827.53</v>
      </c>
      <c r="I64" s="102"/>
      <c r="J64" s="560"/>
    </row>
    <row r="65" spans="2:17" ht="18.75" x14ac:dyDescent="0.3">
      <c r="D65" s="916" t="s">
        <v>95</v>
      </c>
      <c r="E65" s="916"/>
      <c r="F65" s="111">
        <v>-1572197.3</v>
      </c>
      <c r="I65" s="887" t="s">
        <v>13</v>
      </c>
      <c r="J65" s="888"/>
      <c r="K65" s="889">
        <f>F67+F68+F69</f>
        <v>2392765.5300000003</v>
      </c>
      <c r="L65" s="889"/>
      <c r="M65" s="404"/>
      <c r="N65" s="404"/>
      <c r="O65" s="579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1"/>
      <c r="L66" s="154"/>
      <c r="M66" s="404"/>
      <c r="N66" s="404"/>
      <c r="O66" s="57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5"/>
      <c r="I67" s="108" t="s">
        <v>15</v>
      </c>
      <c r="J67" s="109"/>
      <c r="K67" s="1015">
        <f>-C4</f>
        <v>-2112071.92</v>
      </c>
      <c r="L67" s="889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869" t="s">
        <v>18</v>
      </c>
      <c r="E69" s="870"/>
      <c r="F69" s="113">
        <v>2546982.16</v>
      </c>
      <c r="I69" s="1010" t="s">
        <v>198</v>
      </c>
      <c r="J69" s="1011"/>
      <c r="K69" s="1012">
        <f>K65+K67</f>
        <v>280693.61000000034</v>
      </c>
      <c r="L69" s="1012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4"/>
      <c r="F89" s="129"/>
    </row>
    <row r="90" spans="4:13" x14ac:dyDescent="0.25">
      <c r="D90" s="128"/>
      <c r="E90" s="554"/>
      <c r="F90" s="129"/>
    </row>
    <row r="91" spans="4:13" x14ac:dyDescent="0.25">
      <c r="D91" s="128"/>
      <c r="E91" s="554"/>
      <c r="F91" s="129"/>
    </row>
  </sheetData>
  <sortState ref="J42:L56">
    <sortCondition ref="J42:J56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67:L67"/>
    <mergeCell ref="M45:N45"/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topLeftCell="E29" workbookViewId="0">
      <selection activeCell="K73" sqref="K73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3.8554687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775</v>
      </c>
      <c r="C3" s="111">
        <v>58580.5</v>
      </c>
      <c r="D3" s="652">
        <v>44722</v>
      </c>
      <c r="E3" s="653">
        <v>58580.5</v>
      </c>
      <c r="F3" s="410">
        <f>C3-E3</f>
        <v>0</v>
      </c>
      <c r="I3" s="639" t="s">
        <v>856</v>
      </c>
      <c r="J3" s="640">
        <v>9144</v>
      </c>
      <c r="K3" s="641">
        <v>2151.6</v>
      </c>
      <c r="L3" s="715">
        <v>44744</v>
      </c>
      <c r="M3" s="716">
        <v>2151.6</v>
      </c>
      <c r="N3" s="183">
        <f>K3-M3</f>
        <v>0</v>
      </c>
    </row>
    <row r="4" spans="1:14" ht="18.75" x14ac:dyDescent="0.3">
      <c r="A4" s="454">
        <v>44683</v>
      </c>
      <c r="B4" s="246" t="s">
        <v>776</v>
      </c>
      <c r="C4" s="111">
        <v>8932</v>
      </c>
      <c r="D4" s="652">
        <v>44722</v>
      </c>
      <c r="E4" s="653">
        <v>8932</v>
      </c>
      <c r="F4" s="544">
        <f t="shared" ref="F4:F48" si="0">C4-E4</f>
        <v>0</v>
      </c>
      <c r="G4" s="138"/>
      <c r="I4" s="393" t="s">
        <v>856</v>
      </c>
      <c r="J4" s="391">
        <v>9147</v>
      </c>
      <c r="K4" s="392">
        <v>3210</v>
      </c>
      <c r="L4" s="715">
        <v>44744</v>
      </c>
      <c r="M4" s="710">
        <v>3210</v>
      </c>
      <c r="N4" s="137">
        <f>N3+K4-M4</f>
        <v>0</v>
      </c>
    </row>
    <row r="5" spans="1:14" ht="15.75" x14ac:dyDescent="0.25">
      <c r="A5" s="454">
        <v>44684</v>
      </c>
      <c r="B5" s="246" t="s">
        <v>777</v>
      </c>
      <c r="C5" s="111">
        <v>51784.4</v>
      </c>
      <c r="D5" s="652">
        <v>44722</v>
      </c>
      <c r="E5" s="653">
        <v>51784.4</v>
      </c>
      <c r="F5" s="544">
        <f t="shared" si="0"/>
        <v>0</v>
      </c>
      <c r="I5" s="393" t="s">
        <v>857</v>
      </c>
      <c r="J5" s="391">
        <v>9153</v>
      </c>
      <c r="K5" s="392">
        <v>972</v>
      </c>
      <c r="L5" s="715">
        <v>44744</v>
      </c>
      <c r="M5" s="710">
        <v>972</v>
      </c>
      <c r="N5" s="137">
        <f t="shared" ref="N5:N49" si="1">N4+K5-M5</f>
        <v>0</v>
      </c>
    </row>
    <row r="6" spans="1:14" ht="15.75" x14ac:dyDescent="0.25">
      <c r="A6" s="454">
        <v>44685</v>
      </c>
      <c r="B6" s="246" t="s">
        <v>778</v>
      </c>
      <c r="C6" s="111">
        <v>15291.4</v>
      </c>
      <c r="D6" s="652">
        <v>44722</v>
      </c>
      <c r="E6" s="653">
        <v>15291.4</v>
      </c>
      <c r="F6" s="544">
        <f t="shared" si="0"/>
        <v>0</v>
      </c>
      <c r="I6" s="393" t="s">
        <v>858</v>
      </c>
      <c r="J6" s="391">
        <v>9161</v>
      </c>
      <c r="K6" s="392">
        <v>270</v>
      </c>
      <c r="L6" s="715">
        <v>44744</v>
      </c>
      <c r="M6" s="710">
        <v>270</v>
      </c>
      <c r="N6" s="137">
        <f t="shared" si="1"/>
        <v>0</v>
      </c>
    </row>
    <row r="7" spans="1:14" ht="15.75" x14ac:dyDescent="0.25">
      <c r="A7" s="454">
        <v>44686</v>
      </c>
      <c r="B7" s="246" t="s">
        <v>779</v>
      </c>
      <c r="C7" s="111">
        <v>66691.399999999994</v>
      </c>
      <c r="D7" s="652">
        <v>44722</v>
      </c>
      <c r="E7" s="653">
        <v>66691.399999999994</v>
      </c>
      <c r="F7" s="544">
        <f t="shared" si="0"/>
        <v>0</v>
      </c>
      <c r="I7" s="393" t="s">
        <v>859</v>
      </c>
      <c r="J7" s="391">
        <v>9176</v>
      </c>
      <c r="K7" s="392">
        <v>8528.4</v>
      </c>
      <c r="L7" s="715">
        <v>44744</v>
      </c>
      <c r="M7" s="710">
        <v>8528.4</v>
      </c>
      <c r="N7" s="137">
        <f t="shared" si="1"/>
        <v>0</v>
      </c>
    </row>
    <row r="8" spans="1:14" ht="15.75" x14ac:dyDescent="0.25">
      <c r="A8" s="454">
        <v>44686</v>
      </c>
      <c r="B8" s="246" t="s">
        <v>780</v>
      </c>
      <c r="C8" s="111">
        <v>70251.75</v>
      </c>
      <c r="D8" s="652">
        <v>44722</v>
      </c>
      <c r="E8" s="653">
        <v>70251.75</v>
      </c>
      <c r="F8" s="544">
        <f t="shared" si="0"/>
        <v>0</v>
      </c>
      <c r="I8" s="393" t="s">
        <v>860</v>
      </c>
      <c r="J8" s="391">
        <v>9185</v>
      </c>
      <c r="K8" s="392">
        <v>3216</v>
      </c>
      <c r="L8" s="715">
        <v>44744</v>
      </c>
      <c r="M8" s="710">
        <v>3216</v>
      </c>
      <c r="N8" s="137">
        <f t="shared" si="1"/>
        <v>0</v>
      </c>
    </row>
    <row r="9" spans="1:14" ht="15.75" x14ac:dyDescent="0.25">
      <c r="A9" s="454">
        <v>44687</v>
      </c>
      <c r="B9" s="246" t="s">
        <v>781</v>
      </c>
      <c r="C9" s="111">
        <v>13507</v>
      </c>
      <c r="D9" s="652">
        <v>44722</v>
      </c>
      <c r="E9" s="653">
        <v>13507</v>
      </c>
      <c r="F9" s="544">
        <f t="shared" si="0"/>
        <v>0</v>
      </c>
      <c r="I9" s="393" t="s">
        <v>861</v>
      </c>
      <c r="J9" s="391">
        <v>9189</v>
      </c>
      <c r="K9" s="392">
        <v>3240</v>
      </c>
      <c r="L9" s="715">
        <v>44744</v>
      </c>
      <c r="M9" s="710">
        <v>3240</v>
      </c>
      <c r="N9" s="137">
        <f t="shared" si="1"/>
        <v>0</v>
      </c>
    </row>
    <row r="10" spans="1:14" ht="18.75" x14ac:dyDescent="0.3">
      <c r="A10" s="454">
        <v>44689</v>
      </c>
      <c r="B10" s="246" t="s">
        <v>782</v>
      </c>
      <c r="C10" s="111">
        <v>494</v>
      </c>
      <c r="D10" s="652">
        <v>44722</v>
      </c>
      <c r="E10" s="653">
        <v>494</v>
      </c>
      <c r="F10" s="544">
        <f t="shared" si="0"/>
        <v>0</v>
      </c>
      <c r="G10" s="138"/>
      <c r="I10" s="393" t="s">
        <v>862</v>
      </c>
      <c r="J10" s="391">
        <v>9198</v>
      </c>
      <c r="K10" s="392">
        <v>4735.2</v>
      </c>
      <c r="L10" s="715">
        <v>44744</v>
      </c>
      <c r="M10" s="710">
        <v>4735.2</v>
      </c>
      <c r="N10" s="137">
        <f t="shared" si="1"/>
        <v>0</v>
      </c>
    </row>
    <row r="11" spans="1:14" ht="15.75" x14ac:dyDescent="0.25">
      <c r="A11" s="454">
        <v>44690</v>
      </c>
      <c r="B11" s="246" t="s">
        <v>783</v>
      </c>
      <c r="C11" s="111">
        <v>66113.67</v>
      </c>
      <c r="D11" s="652">
        <v>44722</v>
      </c>
      <c r="E11" s="653">
        <v>66113.67</v>
      </c>
      <c r="F11" s="544">
        <f t="shared" si="0"/>
        <v>0</v>
      </c>
      <c r="I11" s="393" t="s">
        <v>863</v>
      </c>
      <c r="J11" s="391">
        <v>9210</v>
      </c>
      <c r="K11" s="392">
        <v>5370</v>
      </c>
      <c r="L11" s="715">
        <v>44744</v>
      </c>
      <c r="M11" s="710">
        <v>5370</v>
      </c>
      <c r="N11" s="137">
        <f t="shared" si="1"/>
        <v>0</v>
      </c>
    </row>
    <row r="12" spans="1:14" ht="15.75" x14ac:dyDescent="0.25">
      <c r="A12" s="454">
        <v>44690</v>
      </c>
      <c r="B12" s="246" t="s">
        <v>784</v>
      </c>
      <c r="C12" s="111">
        <v>907.2</v>
      </c>
      <c r="D12" s="652">
        <v>44722</v>
      </c>
      <c r="E12" s="653">
        <v>907.2</v>
      </c>
      <c r="F12" s="544">
        <f t="shared" si="0"/>
        <v>0</v>
      </c>
      <c r="I12" s="393" t="s">
        <v>864</v>
      </c>
      <c r="J12" s="391">
        <v>9217</v>
      </c>
      <c r="K12" s="392">
        <v>22042.6</v>
      </c>
      <c r="L12" s="715">
        <v>44744</v>
      </c>
      <c r="M12" s="710">
        <v>22042.6</v>
      </c>
      <c r="N12" s="137">
        <f t="shared" si="1"/>
        <v>0</v>
      </c>
    </row>
    <row r="13" spans="1:14" ht="31.5" x14ac:dyDescent="0.25">
      <c r="A13" s="454">
        <v>44690</v>
      </c>
      <c r="B13" s="246" t="s">
        <v>785</v>
      </c>
      <c r="C13" s="111">
        <v>1956</v>
      </c>
      <c r="D13" s="652">
        <v>44722</v>
      </c>
      <c r="E13" s="653">
        <v>1956</v>
      </c>
      <c r="F13" s="544">
        <f t="shared" si="0"/>
        <v>0</v>
      </c>
      <c r="I13" s="393" t="s">
        <v>865</v>
      </c>
      <c r="J13" s="391">
        <v>9225</v>
      </c>
      <c r="K13" s="392">
        <v>13787.7</v>
      </c>
      <c r="L13" s="1048" t="s">
        <v>1141</v>
      </c>
      <c r="M13" s="707">
        <f>11454.26+2333.44</f>
        <v>13787.7</v>
      </c>
      <c r="N13" s="137">
        <f t="shared" si="1"/>
        <v>0</v>
      </c>
    </row>
    <row r="14" spans="1:14" ht="15.75" x14ac:dyDescent="0.25">
      <c r="A14" s="454">
        <v>44691</v>
      </c>
      <c r="B14" s="246" t="s">
        <v>786</v>
      </c>
      <c r="C14" s="111">
        <v>48025.599999999999</v>
      </c>
      <c r="D14" s="652">
        <v>44722</v>
      </c>
      <c r="E14" s="653">
        <v>48025.599999999999</v>
      </c>
      <c r="F14" s="544">
        <f t="shared" si="0"/>
        <v>0</v>
      </c>
      <c r="I14" s="393" t="s">
        <v>866</v>
      </c>
      <c r="J14" s="391">
        <v>9240</v>
      </c>
      <c r="K14" s="392">
        <v>450</v>
      </c>
      <c r="L14" s="718">
        <v>44766</v>
      </c>
      <c r="M14" s="719">
        <v>450</v>
      </c>
      <c r="N14" s="137">
        <f t="shared" si="1"/>
        <v>0</v>
      </c>
    </row>
    <row r="15" spans="1:14" ht="15.75" x14ac:dyDescent="0.25">
      <c r="A15" s="454">
        <v>44692</v>
      </c>
      <c r="B15" s="246" t="s">
        <v>787</v>
      </c>
      <c r="C15" s="111">
        <v>133204.96</v>
      </c>
      <c r="D15" s="652">
        <v>44722</v>
      </c>
      <c r="E15" s="653">
        <v>133204.96</v>
      </c>
      <c r="F15" s="544">
        <f t="shared" si="0"/>
        <v>0</v>
      </c>
      <c r="I15" s="393" t="s">
        <v>866</v>
      </c>
      <c r="J15" s="391">
        <v>9242</v>
      </c>
      <c r="K15" s="392">
        <v>3200</v>
      </c>
      <c r="L15" s="718">
        <v>44766</v>
      </c>
      <c r="M15" s="719">
        <v>3200</v>
      </c>
      <c r="N15" s="137">
        <f t="shared" si="1"/>
        <v>0</v>
      </c>
    </row>
    <row r="16" spans="1:14" ht="15.75" x14ac:dyDescent="0.25">
      <c r="A16" s="454">
        <v>44692</v>
      </c>
      <c r="B16" s="246" t="s">
        <v>788</v>
      </c>
      <c r="C16" s="111">
        <v>19133.36</v>
      </c>
      <c r="D16" s="652">
        <v>44722</v>
      </c>
      <c r="E16" s="653">
        <v>19133.36</v>
      </c>
      <c r="F16" s="544">
        <f t="shared" si="0"/>
        <v>0</v>
      </c>
      <c r="I16" s="393" t="s">
        <v>867</v>
      </c>
      <c r="J16" s="391">
        <v>9244</v>
      </c>
      <c r="K16" s="392">
        <v>2160</v>
      </c>
      <c r="L16" s="718">
        <v>44766</v>
      </c>
      <c r="M16" s="719">
        <v>2160</v>
      </c>
      <c r="N16" s="137">
        <f t="shared" si="1"/>
        <v>0</v>
      </c>
    </row>
    <row r="17" spans="1:14" ht="15.75" x14ac:dyDescent="0.25">
      <c r="A17" s="454">
        <v>44693</v>
      </c>
      <c r="B17" s="246" t="s">
        <v>789</v>
      </c>
      <c r="C17" s="111">
        <v>49325.599999999999</v>
      </c>
      <c r="D17" s="683">
        <v>44760</v>
      </c>
      <c r="E17" s="684">
        <v>49325.599999999999</v>
      </c>
      <c r="F17" s="544">
        <f t="shared" si="0"/>
        <v>0</v>
      </c>
      <c r="I17" s="393" t="s">
        <v>867</v>
      </c>
      <c r="J17" s="391">
        <v>9248</v>
      </c>
      <c r="K17" s="392">
        <v>72229</v>
      </c>
      <c r="L17" s="718">
        <v>44766</v>
      </c>
      <c r="M17" s="719">
        <v>72229</v>
      </c>
      <c r="N17" s="137">
        <f t="shared" si="1"/>
        <v>0</v>
      </c>
    </row>
    <row r="18" spans="1:14" ht="15.75" x14ac:dyDescent="0.25">
      <c r="A18" s="454">
        <v>44693</v>
      </c>
      <c r="B18" s="246" t="s">
        <v>797</v>
      </c>
      <c r="C18" s="111">
        <v>3087.2</v>
      </c>
      <c r="D18" s="683">
        <v>44760</v>
      </c>
      <c r="E18" s="684">
        <v>3087.2</v>
      </c>
      <c r="F18" s="544">
        <f t="shared" si="0"/>
        <v>0</v>
      </c>
      <c r="I18" s="393" t="s">
        <v>867</v>
      </c>
      <c r="J18" s="391">
        <v>9252</v>
      </c>
      <c r="K18" s="392">
        <v>1078</v>
      </c>
      <c r="L18" s="718">
        <v>44766</v>
      </c>
      <c r="M18" s="719">
        <v>1078</v>
      </c>
      <c r="N18" s="137">
        <f t="shared" si="1"/>
        <v>0</v>
      </c>
    </row>
    <row r="19" spans="1:14" ht="15.75" x14ac:dyDescent="0.25">
      <c r="A19" s="454">
        <v>44693</v>
      </c>
      <c r="B19" s="246" t="s">
        <v>790</v>
      </c>
      <c r="C19" s="111">
        <v>1128</v>
      </c>
      <c r="D19" s="683">
        <v>44760</v>
      </c>
      <c r="E19" s="684">
        <v>1128</v>
      </c>
      <c r="F19" s="544">
        <f t="shared" si="0"/>
        <v>0</v>
      </c>
      <c r="I19" s="393" t="s">
        <v>868</v>
      </c>
      <c r="J19" s="391">
        <v>9255</v>
      </c>
      <c r="K19" s="392">
        <v>450</v>
      </c>
      <c r="L19" s="718">
        <v>44766</v>
      </c>
      <c r="M19" s="719">
        <v>450</v>
      </c>
      <c r="N19" s="137">
        <f t="shared" si="1"/>
        <v>0</v>
      </c>
    </row>
    <row r="20" spans="1:14" ht="15.75" x14ac:dyDescent="0.25">
      <c r="A20" s="454">
        <v>44694</v>
      </c>
      <c r="B20" s="246" t="s">
        <v>796</v>
      </c>
      <c r="C20" s="111">
        <v>73300.850000000006</v>
      </c>
      <c r="D20" s="683">
        <v>44760</v>
      </c>
      <c r="E20" s="684">
        <v>73300.850000000006</v>
      </c>
      <c r="F20" s="544">
        <f t="shared" si="0"/>
        <v>0</v>
      </c>
      <c r="I20" s="393" t="s">
        <v>869</v>
      </c>
      <c r="J20" s="391">
        <v>9262</v>
      </c>
      <c r="K20" s="392">
        <v>63214.400000000001</v>
      </c>
      <c r="L20" s="718">
        <v>44766</v>
      </c>
      <c r="M20" s="719">
        <v>63214.400000000001</v>
      </c>
      <c r="N20" s="137">
        <f t="shared" si="1"/>
        <v>0</v>
      </c>
    </row>
    <row r="21" spans="1:14" ht="15.75" x14ac:dyDescent="0.25">
      <c r="A21" s="454">
        <v>44695</v>
      </c>
      <c r="B21" s="246" t="s">
        <v>798</v>
      </c>
      <c r="C21" s="111">
        <v>77730.7</v>
      </c>
      <c r="D21" s="683">
        <v>44760</v>
      </c>
      <c r="E21" s="684">
        <v>77730.7</v>
      </c>
      <c r="F21" s="544">
        <f t="shared" si="0"/>
        <v>0</v>
      </c>
      <c r="I21" s="393" t="s">
        <v>869</v>
      </c>
      <c r="J21" s="391">
        <v>9263</v>
      </c>
      <c r="K21" s="392">
        <v>1344</v>
      </c>
      <c r="L21" s="718">
        <v>44766</v>
      </c>
      <c r="M21" s="719">
        <v>1344</v>
      </c>
      <c r="N21" s="137">
        <f t="shared" si="1"/>
        <v>0</v>
      </c>
    </row>
    <row r="22" spans="1:14" ht="18.75" x14ac:dyDescent="0.3">
      <c r="A22" s="454">
        <v>44697</v>
      </c>
      <c r="B22" s="246" t="s">
        <v>791</v>
      </c>
      <c r="C22" s="111">
        <v>13778.94</v>
      </c>
      <c r="D22" s="683">
        <v>44760</v>
      </c>
      <c r="E22" s="684">
        <v>13778.94</v>
      </c>
      <c r="F22" s="544">
        <f t="shared" si="0"/>
        <v>0</v>
      </c>
      <c r="G22" s="138"/>
      <c r="I22" s="393" t="s">
        <v>870</v>
      </c>
      <c r="J22" s="391">
        <v>9272</v>
      </c>
      <c r="K22" s="392">
        <v>270</v>
      </c>
      <c r="L22" s="718">
        <v>44766</v>
      </c>
      <c r="M22" s="719">
        <v>270</v>
      </c>
      <c r="N22" s="137">
        <f t="shared" si="1"/>
        <v>0</v>
      </c>
    </row>
    <row r="23" spans="1:14" ht="15.75" x14ac:dyDescent="0.25">
      <c r="A23" s="454">
        <v>44697</v>
      </c>
      <c r="B23" s="246" t="s">
        <v>792</v>
      </c>
      <c r="C23" s="111">
        <v>768</v>
      </c>
      <c r="D23" s="683">
        <v>44760</v>
      </c>
      <c r="E23" s="684">
        <v>768</v>
      </c>
      <c r="F23" s="544">
        <f t="shared" si="0"/>
        <v>0</v>
      </c>
      <c r="I23" s="393" t="s">
        <v>871</v>
      </c>
      <c r="J23" s="391">
        <v>9289</v>
      </c>
      <c r="K23" s="392">
        <v>17666.36</v>
      </c>
      <c r="L23" s="718">
        <v>44766</v>
      </c>
      <c r="M23" s="719">
        <v>17666.36</v>
      </c>
      <c r="N23" s="137">
        <f t="shared" si="1"/>
        <v>0</v>
      </c>
    </row>
    <row r="24" spans="1:14" ht="15.75" x14ac:dyDescent="0.25">
      <c r="A24" s="454">
        <v>44698</v>
      </c>
      <c r="B24" s="246" t="s">
        <v>793</v>
      </c>
      <c r="C24" s="111">
        <v>85663.7</v>
      </c>
      <c r="D24" s="683">
        <v>44760</v>
      </c>
      <c r="E24" s="684">
        <v>85663.7</v>
      </c>
      <c r="F24" s="544">
        <f t="shared" si="0"/>
        <v>0</v>
      </c>
      <c r="I24" s="393" t="s">
        <v>871</v>
      </c>
      <c r="J24" s="391">
        <v>9287</v>
      </c>
      <c r="K24" s="392">
        <v>7822.8</v>
      </c>
      <c r="L24" s="718">
        <v>44766</v>
      </c>
      <c r="M24" s="719">
        <v>7822.8</v>
      </c>
      <c r="N24" s="137">
        <f t="shared" si="1"/>
        <v>0</v>
      </c>
    </row>
    <row r="25" spans="1:14" ht="15.75" x14ac:dyDescent="0.25">
      <c r="A25" s="454">
        <v>44699</v>
      </c>
      <c r="B25" s="246" t="s">
        <v>794</v>
      </c>
      <c r="C25" s="111">
        <v>73144.72</v>
      </c>
      <c r="D25" s="584">
        <v>44707</v>
      </c>
      <c r="E25" s="585">
        <v>73144.72</v>
      </c>
      <c r="F25" s="544">
        <f t="shared" si="0"/>
        <v>0</v>
      </c>
      <c r="G25" s="589" t="s">
        <v>812</v>
      </c>
      <c r="H25" s="589"/>
      <c r="I25" s="393" t="s">
        <v>872</v>
      </c>
      <c r="J25" s="391">
        <v>9301</v>
      </c>
      <c r="K25" s="392">
        <v>7504</v>
      </c>
      <c r="L25" s="718">
        <v>44766</v>
      </c>
      <c r="M25" s="719">
        <v>7504</v>
      </c>
      <c r="N25" s="137">
        <f t="shared" si="1"/>
        <v>0</v>
      </c>
    </row>
    <row r="26" spans="1:14" ht="31.5" x14ac:dyDescent="0.25">
      <c r="A26" s="454">
        <v>44700</v>
      </c>
      <c r="B26" s="580" t="s">
        <v>795</v>
      </c>
      <c r="C26" s="111">
        <v>54053.32</v>
      </c>
      <c r="D26" s="584">
        <v>44707</v>
      </c>
      <c r="E26" s="585">
        <v>54053.32</v>
      </c>
      <c r="F26" s="544">
        <f t="shared" si="0"/>
        <v>0</v>
      </c>
      <c r="G26" s="589" t="s">
        <v>812</v>
      </c>
      <c r="H26" s="589"/>
      <c r="I26" s="393" t="s">
        <v>873</v>
      </c>
      <c r="J26" s="391">
        <v>9314</v>
      </c>
      <c r="K26" s="392">
        <v>52764.800000000003</v>
      </c>
      <c r="L26" s="718">
        <v>44766</v>
      </c>
      <c r="M26" s="719">
        <v>52764.800000000003</v>
      </c>
      <c r="N26" s="137">
        <f t="shared" si="1"/>
        <v>0</v>
      </c>
    </row>
    <row r="27" spans="1:14" ht="15.75" x14ac:dyDescent="0.25">
      <c r="A27" s="454">
        <v>44701</v>
      </c>
      <c r="B27" s="246" t="s">
        <v>799</v>
      </c>
      <c r="C27" s="111">
        <v>101400.66</v>
      </c>
      <c r="D27" s="584">
        <v>44707</v>
      </c>
      <c r="E27" s="585">
        <v>101400.66</v>
      </c>
      <c r="F27" s="544">
        <f t="shared" si="0"/>
        <v>0</v>
      </c>
      <c r="G27" s="589" t="s">
        <v>812</v>
      </c>
      <c r="H27" s="589"/>
      <c r="I27" s="393" t="s">
        <v>874</v>
      </c>
      <c r="J27" s="391">
        <v>9327</v>
      </c>
      <c r="K27" s="392">
        <v>38206.699999999997</v>
      </c>
      <c r="L27" s="718">
        <v>44766</v>
      </c>
      <c r="M27" s="719">
        <v>38206.699999999997</v>
      </c>
      <c r="N27" s="137">
        <f t="shared" si="1"/>
        <v>0</v>
      </c>
    </row>
    <row r="28" spans="1:14" ht="15.75" x14ac:dyDescent="0.25">
      <c r="A28" s="454">
        <v>44702</v>
      </c>
      <c r="B28" s="246" t="s">
        <v>800</v>
      </c>
      <c r="C28" s="111">
        <v>185753.4</v>
      </c>
      <c r="D28" s="584">
        <v>44707</v>
      </c>
      <c r="E28" s="585">
        <v>185753.4</v>
      </c>
      <c r="F28" s="544">
        <f t="shared" si="0"/>
        <v>0</v>
      </c>
      <c r="G28" s="589" t="s">
        <v>812</v>
      </c>
      <c r="H28" s="589"/>
      <c r="I28" s="393" t="s">
        <v>875</v>
      </c>
      <c r="J28" s="391">
        <v>9338</v>
      </c>
      <c r="K28" s="392">
        <v>12759.3</v>
      </c>
      <c r="L28" s="718">
        <v>44766</v>
      </c>
      <c r="M28" s="719">
        <v>12759.3</v>
      </c>
      <c r="N28" s="137">
        <f t="shared" si="1"/>
        <v>0</v>
      </c>
    </row>
    <row r="29" spans="1:14" ht="15.75" x14ac:dyDescent="0.25">
      <c r="A29" s="454">
        <v>44705</v>
      </c>
      <c r="B29" s="246" t="s">
        <v>801</v>
      </c>
      <c r="C29" s="111">
        <v>72323.33</v>
      </c>
      <c r="D29" s="584">
        <v>44707</v>
      </c>
      <c r="E29" s="585">
        <v>72323.33</v>
      </c>
      <c r="F29" s="544">
        <f t="shared" si="0"/>
        <v>0</v>
      </c>
      <c r="G29" s="589" t="s">
        <v>812</v>
      </c>
      <c r="H29" s="589"/>
      <c r="I29" s="393" t="s">
        <v>876</v>
      </c>
      <c r="J29" s="391">
        <v>9362</v>
      </c>
      <c r="K29" s="392">
        <v>43816.2</v>
      </c>
      <c r="L29" s="718">
        <v>44766</v>
      </c>
      <c r="M29" s="719">
        <v>43816.2</v>
      </c>
      <c r="N29" s="137">
        <f t="shared" si="1"/>
        <v>0</v>
      </c>
    </row>
    <row r="30" spans="1:14" ht="15.75" x14ac:dyDescent="0.25">
      <c r="A30" s="454">
        <v>44706</v>
      </c>
      <c r="B30" s="246" t="s">
        <v>802</v>
      </c>
      <c r="C30" s="111">
        <v>138449.44</v>
      </c>
      <c r="D30" s="584">
        <v>44707</v>
      </c>
      <c r="E30" s="585">
        <v>138449.44</v>
      </c>
      <c r="F30" s="544">
        <f t="shared" si="0"/>
        <v>0</v>
      </c>
      <c r="G30" s="589" t="s">
        <v>812</v>
      </c>
      <c r="H30" s="589"/>
      <c r="I30" s="393" t="s">
        <v>876</v>
      </c>
      <c r="J30" s="391">
        <v>9367</v>
      </c>
      <c r="K30" s="392">
        <v>2622.4</v>
      </c>
      <c r="L30" s="718">
        <v>44766</v>
      </c>
      <c r="M30" s="719">
        <v>2622.4</v>
      </c>
      <c r="N30" s="137">
        <f t="shared" si="1"/>
        <v>0</v>
      </c>
    </row>
    <row r="31" spans="1:14" ht="15.75" x14ac:dyDescent="0.25">
      <c r="A31" s="454">
        <v>44707</v>
      </c>
      <c r="B31" s="246" t="s">
        <v>818</v>
      </c>
      <c r="C31" s="111">
        <v>2520</v>
      </c>
      <c r="D31" s="683">
        <v>44760</v>
      </c>
      <c r="E31" s="684">
        <v>2520</v>
      </c>
      <c r="F31" s="544">
        <f t="shared" si="0"/>
        <v>0</v>
      </c>
      <c r="I31" s="393" t="s">
        <v>877</v>
      </c>
      <c r="J31" s="391">
        <v>9376</v>
      </c>
      <c r="K31" s="392">
        <v>13511.6</v>
      </c>
      <c r="L31" s="718">
        <v>44766</v>
      </c>
      <c r="M31" s="719">
        <v>13511.6</v>
      </c>
      <c r="N31" s="137">
        <f t="shared" si="1"/>
        <v>0</v>
      </c>
    </row>
    <row r="32" spans="1:14" ht="15.75" x14ac:dyDescent="0.25">
      <c r="A32" s="454">
        <v>44708</v>
      </c>
      <c r="B32" s="246" t="s">
        <v>819</v>
      </c>
      <c r="C32" s="111">
        <v>8158.8</v>
      </c>
      <c r="D32" s="683">
        <v>44760</v>
      </c>
      <c r="E32" s="684">
        <v>8158.8</v>
      </c>
      <c r="F32" s="544">
        <f t="shared" si="0"/>
        <v>0</v>
      </c>
      <c r="I32" s="393" t="s">
        <v>878</v>
      </c>
      <c r="J32" s="391">
        <v>9393</v>
      </c>
      <c r="K32" s="392">
        <v>1243.8</v>
      </c>
      <c r="L32" s="718">
        <v>44766</v>
      </c>
      <c r="M32" s="719">
        <v>1243.8</v>
      </c>
      <c r="N32" s="137">
        <f t="shared" si="1"/>
        <v>0</v>
      </c>
    </row>
    <row r="33" spans="1:14" ht="15.75" x14ac:dyDescent="0.25">
      <c r="A33" s="454">
        <v>44708</v>
      </c>
      <c r="B33" s="246" t="s">
        <v>820</v>
      </c>
      <c r="C33" s="111">
        <v>9299</v>
      </c>
      <c r="D33" s="683">
        <v>44760</v>
      </c>
      <c r="E33" s="684">
        <v>9299</v>
      </c>
      <c r="F33" s="544">
        <f t="shared" si="0"/>
        <v>0</v>
      </c>
      <c r="I33" s="393" t="s">
        <v>879</v>
      </c>
      <c r="J33" s="391">
        <v>9403</v>
      </c>
      <c r="K33" s="392">
        <v>450</v>
      </c>
      <c r="L33" s="718">
        <v>44766</v>
      </c>
      <c r="M33" s="719">
        <v>450</v>
      </c>
      <c r="N33" s="137">
        <f t="shared" si="1"/>
        <v>0</v>
      </c>
    </row>
    <row r="34" spans="1:14" ht="15.75" x14ac:dyDescent="0.25">
      <c r="A34" s="454">
        <v>44708</v>
      </c>
      <c r="B34" s="246" t="s">
        <v>821</v>
      </c>
      <c r="C34" s="111">
        <v>10924.4</v>
      </c>
      <c r="D34" s="683">
        <v>44760</v>
      </c>
      <c r="E34" s="684">
        <v>10924.4</v>
      </c>
      <c r="F34" s="544">
        <f t="shared" si="0"/>
        <v>0</v>
      </c>
      <c r="I34" s="393" t="s">
        <v>880</v>
      </c>
      <c r="J34" s="391">
        <v>9412</v>
      </c>
      <c r="K34" s="392">
        <v>5511</v>
      </c>
      <c r="L34" s="718">
        <v>44766</v>
      </c>
      <c r="M34" s="719">
        <v>5511</v>
      </c>
      <c r="N34" s="137">
        <f t="shared" si="1"/>
        <v>0</v>
      </c>
    </row>
    <row r="35" spans="1:14" ht="15.75" x14ac:dyDescent="0.25">
      <c r="A35" s="454">
        <v>44709</v>
      </c>
      <c r="B35" s="246" t="s">
        <v>822</v>
      </c>
      <c r="C35" s="111">
        <v>48105.599999999999</v>
      </c>
      <c r="D35" s="683">
        <v>44760</v>
      </c>
      <c r="E35" s="684">
        <v>48105.599999999999</v>
      </c>
      <c r="F35" s="544">
        <f t="shared" si="0"/>
        <v>0</v>
      </c>
      <c r="I35" s="245"/>
      <c r="J35" s="57"/>
      <c r="K35" s="111"/>
      <c r="L35" s="412"/>
      <c r="M35" s="111"/>
      <c r="N35" s="137">
        <f t="shared" si="1"/>
        <v>0</v>
      </c>
    </row>
    <row r="36" spans="1:14" ht="16.5" thickBot="1" x14ac:dyDescent="0.3">
      <c r="A36" s="454">
        <v>44709</v>
      </c>
      <c r="B36" s="246" t="s">
        <v>823</v>
      </c>
      <c r="C36" s="111">
        <v>8408.4</v>
      </c>
      <c r="D36" s="683">
        <v>44760</v>
      </c>
      <c r="E36" s="684">
        <v>8408.4</v>
      </c>
      <c r="F36" s="544">
        <f t="shared" si="0"/>
        <v>0</v>
      </c>
      <c r="I36" s="245"/>
      <c r="J36" s="57"/>
      <c r="K36" s="111"/>
      <c r="L36" s="1061">
        <v>350607.8</v>
      </c>
      <c r="M36" s="1062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44">
        <f t="shared" si="0"/>
        <v>0</v>
      </c>
      <c r="I37" s="245"/>
      <c r="J37" s="57"/>
      <c r="K37" s="325"/>
      <c r="L37" s="1063" t="s">
        <v>1480</v>
      </c>
      <c r="M37" s="1064"/>
      <c r="N37" s="137">
        <f>N36+K37-M37</f>
        <v>0</v>
      </c>
    </row>
    <row r="38" spans="1:14" ht="15.75" x14ac:dyDescent="0.25">
      <c r="A38" s="454"/>
      <c r="B38" s="246"/>
      <c r="C38" s="111"/>
      <c r="D38" s="412"/>
      <c r="E38" s="111"/>
      <c r="F38" s="544">
        <f t="shared" si="0"/>
        <v>0</v>
      </c>
      <c r="I38" s="973" t="s">
        <v>594</v>
      </c>
      <c r="J38" s="974"/>
      <c r="K38" s="325"/>
      <c r="L38" s="1065"/>
      <c r="M38" s="1066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44">
        <f t="shared" si="0"/>
        <v>0</v>
      </c>
      <c r="I39" s="975"/>
      <c r="J39" s="976"/>
      <c r="K39" s="325"/>
      <c r="L39" s="1065"/>
      <c r="M39" s="1066"/>
      <c r="N39" s="137">
        <f t="shared" si="1"/>
        <v>0</v>
      </c>
    </row>
    <row r="40" spans="1:14" ht="16.5" thickBot="1" x14ac:dyDescent="0.3">
      <c r="A40" s="454"/>
      <c r="B40" s="246"/>
      <c r="C40" s="111"/>
      <c r="D40" s="412"/>
      <c r="E40" s="111"/>
      <c r="F40" s="544">
        <f t="shared" si="0"/>
        <v>0</v>
      </c>
      <c r="I40" s="977"/>
      <c r="J40" s="978"/>
      <c r="K40" s="325"/>
      <c r="L40" s="1067"/>
      <c r="M40" s="1068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44">
        <f t="shared" si="0"/>
        <v>0</v>
      </c>
      <c r="I41" s="245"/>
      <c r="J41" s="57"/>
      <c r="K41" s="111"/>
      <c r="L41" s="731"/>
      <c r="M41" s="307"/>
      <c r="N41" s="137">
        <f t="shared" si="1"/>
        <v>0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253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253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253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253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253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253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253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253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253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253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253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18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18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18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18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18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18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254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254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254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254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254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254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254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254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254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254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255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2">
        <f>SUM(K3:K69)</f>
        <v>415797.86</v>
      </c>
      <c r="L70" s="713"/>
      <c r="M70" s="209">
        <f>SUM(M3:M69)</f>
        <v>415797.86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931" t="s">
        <v>207</v>
      </c>
      <c r="K71" s="1"/>
      <c r="L71" s="256"/>
      <c r="M71" s="3"/>
      <c r="N71" s="1"/>
    </row>
    <row r="72" spans="1:14" x14ac:dyDescent="0.25">
      <c r="B72" s="163"/>
      <c r="C72" s="1"/>
      <c r="D72" s="256"/>
      <c r="E72" s="3"/>
      <c r="F72" s="932"/>
      <c r="K72" s="1"/>
      <c r="L72" s="256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714"/>
      <c r="M73" s="6"/>
    </row>
    <row r="74" spans="1:14" x14ac:dyDescent="0.25">
      <c r="A74" s="456"/>
      <c r="B74" s="442"/>
      <c r="I74" s="969" t="s">
        <v>594</v>
      </c>
      <c r="J74" s="970"/>
    </row>
    <row r="75" spans="1:14" ht="19.5" thickBot="1" x14ac:dyDescent="0.35">
      <c r="A75" s="456"/>
      <c r="B75" s="649"/>
      <c r="C75" s="233"/>
      <c r="D75" s="650"/>
      <c r="E75" s="519"/>
      <c r="F75" s="111"/>
      <c r="I75" s="971"/>
      <c r="J75" s="972"/>
    </row>
    <row r="76" spans="1:14" ht="15.75" x14ac:dyDescent="0.25">
      <c r="A76" s="456"/>
      <c r="B76" s="510"/>
      <c r="C76" s="233"/>
      <c r="D76" s="651"/>
      <c r="F76" s="96"/>
      <c r="I76"/>
      <c r="J76" s="194"/>
      <c r="N76"/>
    </row>
    <row r="77" spans="1:14" ht="15.75" x14ac:dyDescent="0.25">
      <c r="A77" s="456"/>
      <c r="B77" s="510"/>
      <c r="C77" s="233"/>
      <c r="D77" s="651"/>
      <c r="F77" s="96"/>
      <c r="I77"/>
      <c r="J77" s="194"/>
      <c r="N77"/>
    </row>
    <row r="78" spans="1:14" ht="15.75" x14ac:dyDescent="0.25">
      <c r="A78" s="509"/>
      <c r="B78" s="510"/>
      <c r="C78" s="233"/>
      <c r="D78" s="651"/>
      <c r="F78" s="96"/>
      <c r="I78"/>
      <c r="J78" s="194"/>
      <c r="N78"/>
    </row>
    <row r="79" spans="1:14" ht="15.75" x14ac:dyDescent="0.25">
      <c r="A79" s="509"/>
      <c r="B79" s="510"/>
      <c r="C79" s="233"/>
      <c r="D79" s="651"/>
      <c r="F79" s="96"/>
      <c r="I79"/>
      <c r="J79" s="194"/>
      <c r="N79"/>
    </row>
    <row r="80" spans="1:14" ht="15.75" x14ac:dyDescent="0.25">
      <c r="A80" s="511"/>
      <c r="B80" s="512"/>
      <c r="C80" s="233"/>
      <c r="D80" s="651"/>
      <c r="F80" s="96"/>
      <c r="I80"/>
      <c r="J80" s="194"/>
      <c r="N80"/>
    </row>
    <row r="81" spans="1:14" ht="15.75" x14ac:dyDescent="0.25">
      <c r="A81" s="511"/>
      <c r="B81" s="512"/>
      <c r="C81" s="233"/>
      <c r="D81" s="651"/>
      <c r="F81" s="96"/>
      <c r="I81"/>
      <c r="J81" s="194"/>
      <c r="N81"/>
    </row>
    <row r="82" spans="1:14" ht="15.75" x14ac:dyDescent="0.25">
      <c r="A82" s="511"/>
      <c r="B82" s="512"/>
      <c r="C82" s="233"/>
      <c r="D82" s="651"/>
      <c r="F82" s="96"/>
      <c r="I82"/>
      <c r="J82" s="194"/>
      <c r="N82"/>
    </row>
    <row r="83" spans="1:14" ht="15.75" x14ac:dyDescent="0.25">
      <c r="A83" s="511"/>
      <c r="B83" s="512"/>
      <c r="C83" s="233"/>
      <c r="D83" s="651"/>
      <c r="F83" s="96"/>
      <c r="I83"/>
      <c r="J83" s="194"/>
      <c r="N83"/>
    </row>
    <row r="84" spans="1:14" ht="15.75" x14ac:dyDescent="0.25">
      <c r="A84" s="511"/>
      <c r="B84" s="512"/>
      <c r="C84" s="233"/>
      <c r="F84" s="111"/>
      <c r="I84"/>
      <c r="J84" s="194"/>
      <c r="N84"/>
    </row>
    <row r="85" spans="1:14" ht="15.75" x14ac:dyDescent="0.25">
      <c r="A85" s="509"/>
      <c r="B85" s="510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1020" t="s">
        <v>804</v>
      </c>
      <c r="B89" s="1021"/>
      <c r="C89" s="1021"/>
      <c r="E89"/>
      <c r="F89" s="111"/>
      <c r="I89"/>
      <c r="J89" s="194"/>
      <c r="M89"/>
      <c r="N89"/>
    </row>
    <row r="90" spans="1:14" ht="18.75" x14ac:dyDescent="0.3">
      <c r="A90" s="454"/>
      <c r="B90" s="1022" t="s">
        <v>805</v>
      </c>
      <c r="C90" s="1023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794</v>
      </c>
      <c r="C91" s="588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0" t="s">
        <v>803</v>
      </c>
      <c r="C92" s="588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799</v>
      </c>
      <c r="C93" s="588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800</v>
      </c>
      <c r="C94" s="588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801</v>
      </c>
      <c r="C95" s="588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802</v>
      </c>
      <c r="C96" s="588">
        <v>138449.44</v>
      </c>
      <c r="E96"/>
      <c r="F96" s="111"/>
      <c r="J96" s="194"/>
      <c r="M96"/>
    </row>
    <row r="97" spans="1:13" ht="15.75" x14ac:dyDescent="0.25">
      <c r="A97"/>
      <c r="B97" s="658"/>
      <c r="C97" s="1018">
        <f>SUM(C91:C96)</f>
        <v>625124.87</v>
      </c>
      <c r="E97"/>
      <c r="F97" s="111"/>
      <c r="J97" s="194"/>
      <c r="M97"/>
    </row>
    <row r="98" spans="1:13" ht="15.75" x14ac:dyDescent="0.25">
      <c r="A98"/>
      <c r="B98" s="659" t="s">
        <v>881</v>
      </c>
      <c r="C98" s="1019"/>
      <c r="E98"/>
      <c r="F98" s="127">
        <v>0</v>
      </c>
      <c r="J98" s="194"/>
      <c r="M98"/>
    </row>
    <row r="99" spans="1:13" ht="15.75" x14ac:dyDescent="0.25">
      <c r="A99"/>
      <c r="B99" s="659" t="s">
        <v>914</v>
      </c>
      <c r="C99" s="658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7">
    <mergeCell ref="L37:M40"/>
    <mergeCell ref="I38:J40"/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A43" workbookViewId="0">
      <selection activeCell="C43" sqref="C4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93"/>
      <c r="C1" s="935" t="s">
        <v>882</v>
      </c>
      <c r="D1" s="936"/>
      <c r="E1" s="936"/>
      <c r="F1" s="936"/>
      <c r="G1" s="936"/>
      <c r="H1" s="936"/>
      <c r="I1" s="936"/>
      <c r="J1" s="936"/>
      <c r="K1" s="936"/>
      <c r="L1" s="936"/>
      <c r="M1" s="936"/>
    </row>
    <row r="2" spans="1:18" ht="16.5" thickBot="1" x14ac:dyDescent="0.3">
      <c r="B2" s="894"/>
      <c r="C2" s="3"/>
      <c r="H2" s="5"/>
      <c r="I2" s="6"/>
      <c r="J2" s="7"/>
      <c r="L2" s="8"/>
      <c r="M2" s="6"/>
      <c r="N2" s="9"/>
    </row>
    <row r="3" spans="1:18" ht="21.75" thickBot="1" x14ac:dyDescent="0.35">
      <c r="B3" s="897" t="s">
        <v>0</v>
      </c>
      <c r="C3" s="898"/>
      <c r="D3" s="10"/>
      <c r="E3" s="553"/>
      <c r="F3" s="11"/>
      <c r="H3" s="899" t="s">
        <v>26</v>
      </c>
      <c r="I3" s="899"/>
      <c r="K3" s="165"/>
      <c r="L3" s="13"/>
      <c r="M3" s="14"/>
      <c r="P3" s="923" t="s">
        <v>6</v>
      </c>
      <c r="R3" s="933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900" t="s">
        <v>2</v>
      </c>
      <c r="F4" s="901"/>
      <c r="H4" s="902" t="s">
        <v>3</v>
      </c>
      <c r="I4" s="903"/>
      <c r="J4" s="556"/>
      <c r="K4" s="562"/>
      <c r="L4" s="563"/>
      <c r="M4" s="21" t="s">
        <v>4</v>
      </c>
      <c r="N4" s="22" t="s">
        <v>5</v>
      </c>
      <c r="P4" s="924"/>
      <c r="Q4" s="322" t="s">
        <v>217</v>
      </c>
      <c r="R4" s="934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899</v>
      </c>
      <c r="E5" s="27">
        <v>44711</v>
      </c>
      <c r="F5" s="28">
        <v>110439</v>
      </c>
      <c r="G5" s="572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5" t="s">
        <v>900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902</v>
      </c>
      <c r="E6" s="27">
        <v>44712</v>
      </c>
      <c r="F6" s="28">
        <v>96326</v>
      </c>
      <c r="G6" s="572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5" t="s">
        <v>900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901</v>
      </c>
      <c r="E7" s="27">
        <v>44713</v>
      </c>
      <c r="F7" s="28">
        <v>109178</v>
      </c>
      <c r="G7" s="572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5" t="s">
        <v>900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903</v>
      </c>
      <c r="E8" s="27">
        <v>44714</v>
      </c>
      <c r="F8" s="28">
        <v>88582</v>
      </c>
      <c r="G8" s="572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5" t="s">
        <v>900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904</v>
      </c>
      <c r="E9" s="27">
        <v>44715</v>
      </c>
      <c r="F9" s="28">
        <v>128259</v>
      </c>
      <c r="G9" s="572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5" t="s">
        <v>900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905</v>
      </c>
      <c r="E10" s="27">
        <v>44716</v>
      </c>
      <c r="F10" s="28">
        <v>117678</v>
      </c>
      <c r="G10" s="572"/>
      <c r="H10" s="29">
        <v>44716</v>
      </c>
      <c r="I10" s="30">
        <v>4904</v>
      </c>
      <c r="J10" s="37">
        <v>44716</v>
      </c>
      <c r="K10" s="167" t="s">
        <v>906</v>
      </c>
      <c r="L10" s="45">
        <v>17900.55</v>
      </c>
      <c r="M10" s="32">
        <v>43736</v>
      </c>
      <c r="N10" s="33">
        <v>42627</v>
      </c>
      <c r="O10" s="655" t="s">
        <v>900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908</v>
      </c>
      <c r="E11" s="27">
        <v>44717</v>
      </c>
      <c r="F11" s="28">
        <v>85270</v>
      </c>
      <c r="G11" s="572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5" t="s">
        <v>900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909</v>
      </c>
      <c r="E12" s="27">
        <v>44718</v>
      </c>
      <c r="F12" s="28">
        <v>114299</v>
      </c>
      <c r="G12" s="572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5" t="s">
        <v>900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910</v>
      </c>
      <c r="E13" s="27">
        <v>44719</v>
      </c>
      <c r="F13" s="28">
        <v>112515</v>
      </c>
      <c r="G13" s="572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5" t="s">
        <v>900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2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56" t="s">
        <v>911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912</v>
      </c>
      <c r="E15" s="27">
        <v>44721</v>
      </c>
      <c r="F15" s="28">
        <v>100184</v>
      </c>
      <c r="G15" s="572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57" t="s">
        <v>913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923</v>
      </c>
      <c r="E16" s="27">
        <v>44722</v>
      </c>
      <c r="F16" s="28">
        <v>93108</v>
      </c>
      <c r="G16" s="572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57" t="s">
        <v>913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924</v>
      </c>
      <c r="E17" s="27">
        <v>44723</v>
      </c>
      <c r="F17" s="28">
        <v>107583</v>
      </c>
      <c r="G17" s="572"/>
      <c r="H17" s="29">
        <v>44723</v>
      </c>
      <c r="I17" s="30">
        <v>11112</v>
      </c>
      <c r="J17" s="37">
        <v>44723</v>
      </c>
      <c r="K17" s="38" t="s">
        <v>925</v>
      </c>
      <c r="L17" s="45">
        <v>17644</v>
      </c>
      <c r="M17" s="32">
        <v>16613.5</v>
      </c>
      <c r="N17" s="33">
        <v>41982</v>
      </c>
      <c r="O17" s="657" t="s">
        <v>913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927</v>
      </c>
      <c r="E18" s="27">
        <v>44724</v>
      </c>
      <c r="F18" s="28">
        <v>101692</v>
      </c>
      <c r="G18" s="572"/>
      <c r="H18" s="29">
        <v>44724</v>
      </c>
      <c r="I18" s="30">
        <v>1779</v>
      </c>
      <c r="J18" s="37"/>
      <c r="K18" s="564"/>
      <c r="L18" s="39"/>
      <c r="M18" s="32">
        <v>17154</v>
      </c>
      <c r="N18" s="33">
        <v>43546</v>
      </c>
      <c r="O18" s="657" t="s">
        <v>913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928</v>
      </c>
      <c r="E19" s="27">
        <v>44725</v>
      </c>
      <c r="F19" s="28">
        <v>103799</v>
      </c>
      <c r="G19" s="572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57" t="s">
        <v>913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929</v>
      </c>
      <c r="E20" s="27">
        <v>44726</v>
      </c>
      <c r="F20" s="28">
        <v>85339</v>
      </c>
      <c r="G20" s="572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57" t="s">
        <v>913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930</v>
      </c>
      <c r="E21" s="27">
        <v>44727</v>
      </c>
      <c r="F21" s="28">
        <v>104472</v>
      </c>
      <c r="G21" s="572"/>
      <c r="H21" s="29">
        <v>44727</v>
      </c>
      <c r="I21" s="30">
        <v>3516.5</v>
      </c>
      <c r="J21" s="37"/>
      <c r="K21" s="565"/>
      <c r="L21" s="45"/>
      <c r="M21" s="32">
        <v>36290.5</v>
      </c>
      <c r="N21" s="33">
        <v>44220</v>
      </c>
      <c r="O21" s="657" t="s">
        <v>913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931</v>
      </c>
      <c r="E22" s="27">
        <v>44728</v>
      </c>
      <c r="F22" s="28">
        <v>120324</v>
      </c>
      <c r="G22" s="572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57" t="s">
        <v>913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932</v>
      </c>
      <c r="E23" s="27">
        <v>44729</v>
      </c>
      <c r="F23" s="28">
        <v>114878</v>
      </c>
      <c r="G23" s="572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57" t="s">
        <v>913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933</v>
      </c>
      <c r="E24" s="27">
        <v>44730</v>
      </c>
      <c r="F24" s="28">
        <v>170128</v>
      </c>
      <c r="G24" s="572"/>
      <c r="H24" s="29">
        <v>44730</v>
      </c>
      <c r="I24" s="30">
        <v>4444</v>
      </c>
      <c r="J24" s="51">
        <v>44730</v>
      </c>
      <c r="K24" s="173" t="s">
        <v>934</v>
      </c>
      <c r="L24" s="52">
        <v>17514</v>
      </c>
      <c r="M24" s="32">
        <v>66300</v>
      </c>
      <c r="N24" s="33">
        <v>71337</v>
      </c>
      <c r="O24" s="657" t="s">
        <v>913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935</v>
      </c>
      <c r="E25" s="27">
        <v>44731</v>
      </c>
      <c r="F25" s="28">
        <v>122175</v>
      </c>
      <c r="G25" s="572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57" t="s">
        <v>913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936</v>
      </c>
      <c r="E26" s="27">
        <v>44732</v>
      </c>
      <c r="F26" s="28">
        <v>117280</v>
      </c>
      <c r="G26" s="572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0" t="s">
        <v>937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938</v>
      </c>
      <c r="E27" s="27">
        <v>44733</v>
      </c>
      <c r="F27" s="28">
        <v>100329</v>
      </c>
      <c r="G27" s="572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0" t="s">
        <v>937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939</v>
      </c>
      <c r="E28" s="27">
        <v>44734</v>
      </c>
      <c r="F28" s="28">
        <v>101243</v>
      </c>
      <c r="G28" s="572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0" t="s">
        <v>937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940</v>
      </c>
      <c r="E29" s="27">
        <v>44735</v>
      </c>
      <c r="F29" s="28">
        <v>172152</v>
      </c>
      <c r="G29" s="572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0" t="s">
        <v>937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941</v>
      </c>
      <c r="E30" s="27">
        <v>44736</v>
      </c>
      <c r="F30" s="28">
        <v>102159</v>
      </c>
      <c r="G30" s="572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0" t="s">
        <v>937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942</v>
      </c>
      <c r="E31" s="27">
        <v>44737</v>
      </c>
      <c r="F31" s="28">
        <v>108067</v>
      </c>
      <c r="G31" s="572"/>
      <c r="H31" s="29">
        <v>44737</v>
      </c>
      <c r="I31" s="30">
        <v>6744</v>
      </c>
      <c r="J31" s="56">
        <v>44737</v>
      </c>
      <c r="K31" s="566" t="s">
        <v>943</v>
      </c>
      <c r="L31" s="54">
        <v>17222</v>
      </c>
      <c r="M31" s="32">
        <f>840+24888</f>
        <v>25728</v>
      </c>
      <c r="N31" s="33">
        <v>44739</v>
      </c>
      <c r="O31" s="660" t="s">
        <v>937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944</v>
      </c>
      <c r="E32" s="27">
        <v>44738</v>
      </c>
      <c r="F32" s="28">
        <v>78446</v>
      </c>
      <c r="G32" s="572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0" t="s">
        <v>937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945</v>
      </c>
      <c r="E33" s="27">
        <v>44739</v>
      </c>
      <c r="F33" s="28">
        <v>114527</v>
      </c>
      <c r="G33" s="572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0" t="s">
        <v>937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946</v>
      </c>
      <c r="E34" s="27">
        <v>44740</v>
      </c>
      <c r="F34" s="28">
        <v>117654</v>
      </c>
      <c r="G34" s="572"/>
      <c r="H34" s="29">
        <v>44740</v>
      </c>
      <c r="I34" s="30">
        <v>3967</v>
      </c>
      <c r="J34" s="557"/>
      <c r="K34" s="567"/>
      <c r="L34" s="9"/>
      <c r="M34" s="32">
        <v>73988</v>
      </c>
      <c r="N34" s="33">
        <v>21085</v>
      </c>
      <c r="O34" s="660" t="s">
        <v>937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947</v>
      </c>
      <c r="E35" s="27">
        <v>44741</v>
      </c>
      <c r="F35" s="28">
        <v>89000</v>
      </c>
      <c r="G35" s="572"/>
      <c r="H35" s="29">
        <v>44741</v>
      </c>
      <c r="I35" s="30">
        <v>2889.5</v>
      </c>
      <c r="J35" s="557"/>
      <c r="K35" s="568"/>
      <c r="L35" s="69"/>
      <c r="M35" s="32">
        <v>35929.5</v>
      </c>
      <c r="N35" s="33">
        <v>28166</v>
      </c>
      <c r="O35" s="660" t="s">
        <v>937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948</v>
      </c>
      <c r="E36" s="27">
        <v>44742</v>
      </c>
      <c r="F36" s="28">
        <v>86153</v>
      </c>
      <c r="G36" s="662"/>
      <c r="H36" s="29">
        <v>44742</v>
      </c>
      <c r="I36" s="30">
        <v>2070.5</v>
      </c>
      <c r="J36" s="557"/>
      <c r="K36" s="569"/>
      <c r="L36" s="9"/>
      <c r="M36" s="32">
        <v>60715.5</v>
      </c>
      <c r="N36" s="33">
        <v>22827</v>
      </c>
      <c r="O36" s="660" t="s">
        <v>937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6" t="s">
        <v>949</v>
      </c>
      <c r="E37" s="27">
        <v>44743</v>
      </c>
      <c r="F37" s="28">
        <v>108790</v>
      </c>
      <c r="G37" s="662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0" t="s">
        <v>937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950</v>
      </c>
      <c r="E38" s="27">
        <v>44744</v>
      </c>
      <c r="F38" s="28">
        <v>129052</v>
      </c>
      <c r="G38" s="662"/>
      <c r="H38" s="29">
        <v>44744</v>
      </c>
      <c r="I38" s="30">
        <v>4915</v>
      </c>
      <c r="J38" s="56">
        <v>44744</v>
      </c>
      <c r="K38" s="663" t="s">
        <v>951</v>
      </c>
      <c r="L38" s="39">
        <v>15579</v>
      </c>
      <c r="M38" s="32">
        <v>39379.5</v>
      </c>
      <c r="N38" s="33">
        <v>58895</v>
      </c>
      <c r="O38" s="660" t="s">
        <v>937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952</v>
      </c>
      <c r="E39" s="27">
        <v>44745</v>
      </c>
      <c r="F39" s="508">
        <v>87809</v>
      </c>
      <c r="G39" s="662"/>
      <c r="H39" s="29">
        <v>44745</v>
      </c>
      <c r="I39" s="71">
        <v>243</v>
      </c>
      <c r="J39" s="56"/>
      <c r="K39" s="663"/>
      <c r="L39" s="39"/>
      <c r="M39" s="32">
        <v>48212</v>
      </c>
      <c r="N39" s="33">
        <v>29225</v>
      </c>
      <c r="O39" s="660" t="s">
        <v>937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/>
      <c r="K40" s="623"/>
      <c r="L40" s="624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>
        <v>44716</v>
      </c>
      <c r="K41" s="38" t="s">
        <v>907</v>
      </c>
      <c r="L41" s="39">
        <v>18992.37</v>
      </c>
      <c r="M41" s="925">
        <f>SUM(M5:M40)</f>
        <v>1737024</v>
      </c>
      <c r="N41" s="925">
        <f>SUM(N5:N40)</f>
        <v>1314313</v>
      </c>
      <c r="P41" s="505">
        <f>SUM(P5:P40)</f>
        <v>3810957.55</v>
      </c>
      <c r="Q41" s="979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1022</v>
      </c>
      <c r="E42" s="74"/>
      <c r="F42" s="75"/>
      <c r="G42" s="572"/>
      <c r="H42" s="76"/>
      <c r="I42" s="77"/>
      <c r="J42" s="51">
        <v>44723</v>
      </c>
      <c r="K42" s="173" t="s">
        <v>926</v>
      </c>
      <c r="L42" s="52">
        <v>17035.3</v>
      </c>
      <c r="M42" s="926"/>
      <c r="N42" s="926"/>
      <c r="P42" s="34"/>
      <c r="Q42" s="980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1023</v>
      </c>
      <c r="E43" s="74"/>
      <c r="F43" s="75"/>
      <c r="G43" s="572"/>
      <c r="H43" s="76"/>
      <c r="I43" s="77"/>
      <c r="J43" s="50">
        <v>44730</v>
      </c>
      <c r="K43" s="38" t="s">
        <v>934</v>
      </c>
      <c r="L43" s="54">
        <v>18951.07</v>
      </c>
      <c r="M43" s="643"/>
      <c r="N43" s="643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855</v>
      </c>
      <c r="E44" s="74"/>
      <c r="F44" s="75"/>
      <c r="G44" s="572"/>
      <c r="H44" s="76"/>
      <c r="I44" s="77"/>
      <c r="J44" s="56">
        <v>44737</v>
      </c>
      <c r="K44" s="661" t="s">
        <v>943</v>
      </c>
      <c r="L44" s="39">
        <v>18451</v>
      </c>
      <c r="M44" s="643"/>
      <c r="N44" s="643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978</v>
      </c>
      <c r="E45" s="74"/>
      <c r="F45" s="75"/>
      <c r="G45" s="572"/>
      <c r="H45" s="76"/>
      <c r="I45" s="77"/>
      <c r="J45" s="56">
        <v>44744</v>
      </c>
      <c r="K45" s="38" t="s">
        <v>951</v>
      </c>
      <c r="L45" s="39">
        <v>20521</v>
      </c>
      <c r="M45" s="981">
        <f>M41+N41</f>
        <v>3051337</v>
      </c>
      <c r="N45" s="982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979</v>
      </c>
      <c r="E46" s="74"/>
      <c r="F46" s="75"/>
      <c r="G46" s="572"/>
      <c r="H46" s="76"/>
      <c r="I46" s="77"/>
      <c r="J46" s="56"/>
      <c r="K46" s="38"/>
      <c r="L46" s="39"/>
      <c r="M46" s="643"/>
      <c r="N46" s="643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980</v>
      </c>
      <c r="E47" s="74"/>
      <c r="F47" s="75"/>
      <c r="G47" s="572"/>
      <c r="H47" s="76"/>
      <c r="I47" s="77"/>
      <c r="J47" s="56" t="s">
        <v>970</v>
      </c>
      <c r="K47" s="38" t="s">
        <v>1020</v>
      </c>
      <c r="L47" s="39">
        <v>10440</v>
      </c>
      <c r="M47" s="643"/>
      <c r="N47" s="643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981</v>
      </c>
      <c r="E48" s="74"/>
      <c r="F48" s="75"/>
      <c r="G48" s="572"/>
      <c r="H48" s="76"/>
      <c r="I48" s="77"/>
      <c r="J48" s="56" t="s">
        <v>970</v>
      </c>
      <c r="K48" s="38" t="s">
        <v>971</v>
      </c>
      <c r="L48" s="39">
        <v>6599.24</v>
      </c>
      <c r="M48" s="643"/>
      <c r="N48" s="643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979</v>
      </c>
      <c r="E49" s="74"/>
      <c r="F49" s="75"/>
      <c r="G49" s="572"/>
      <c r="H49" s="76"/>
      <c r="I49" s="77"/>
      <c r="J49" s="601" t="s">
        <v>970</v>
      </c>
      <c r="K49" s="38" t="s">
        <v>972</v>
      </c>
      <c r="L49" s="69">
        <v>1126.45</v>
      </c>
      <c r="M49" s="643"/>
      <c r="N49" s="643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982</v>
      </c>
      <c r="E50" s="74"/>
      <c r="F50" s="75"/>
      <c r="G50" s="572"/>
      <c r="H50" s="76"/>
      <c r="I50" s="77"/>
      <c r="J50" s="601" t="s">
        <v>970</v>
      </c>
      <c r="K50" s="38" t="s">
        <v>973</v>
      </c>
      <c r="L50" s="69">
        <f>4277+6757</f>
        <v>11034</v>
      </c>
      <c r="M50" s="643"/>
      <c r="N50" s="643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855</v>
      </c>
      <c r="E51" s="74"/>
      <c r="F51" s="75"/>
      <c r="G51" s="572"/>
      <c r="H51" s="76"/>
      <c r="I51" s="77"/>
      <c r="J51" s="601" t="s">
        <v>970</v>
      </c>
      <c r="K51" s="38" t="s">
        <v>974</v>
      </c>
      <c r="L51" s="69">
        <v>38488</v>
      </c>
      <c r="M51" s="643"/>
      <c r="N51" s="643"/>
      <c r="P51" s="34"/>
      <c r="Q51" s="13"/>
    </row>
    <row r="52" spans="1:17" ht="18" thickBot="1" x14ac:dyDescent="0.35">
      <c r="A52" s="23"/>
      <c r="B52" s="24"/>
      <c r="C52" s="25">
        <v>0</v>
      </c>
      <c r="D52" s="73"/>
      <c r="E52" s="74"/>
      <c r="F52" s="75"/>
      <c r="G52" s="572"/>
      <c r="H52" s="76"/>
      <c r="I52" s="77"/>
      <c r="J52" s="601" t="s">
        <v>975</v>
      </c>
      <c r="K52" s="38" t="s">
        <v>1021</v>
      </c>
      <c r="L52" s="69">
        <v>9171</v>
      </c>
      <c r="M52" s="643"/>
      <c r="N52" s="643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2"/>
      <c r="H53" s="76"/>
      <c r="I53" s="77"/>
      <c r="J53" s="601" t="s">
        <v>970</v>
      </c>
      <c r="K53" s="38" t="s">
        <v>824</v>
      </c>
      <c r="L53" s="69">
        <v>4006.5</v>
      </c>
      <c r="M53" s="643"/>
      <c r="N53" s="643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2"/>
      <c r="H54" s="76"/>
      <c r="I54" s="77"/>
      <c r="J54" s="601"/>
      <c r="K54" s="38"/>
      <c r="L54" s="69"/>
      <c r="M54" s="643"/>
      <c r="N54" s="643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2"/>
      <c r="H55" s="76"/>
      <c r="I55" s="77"/>
      <c r="J55" s="601" t="s">
        <v>970</v>
      </c>
      <c r="K55" s="38" t="s">
        <v>830</v>
      </c>
      <c r="L55" s="69">
        <v>1856</v>
      </c>
      <c r="M55" s="643"/>
      <c r="N55" s="643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 t="s">
        <v>970</v>
      </c>
      <c r="K56" s="38" t="s">
        <v>976</v>
      </c>
      <c r="L56" s="69">
        <v>8182.16</v>
      </c>
      <c r="M56" s="643"/>
      <c r="N56" s="643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 t="s">
        <v>977</v>
      </c>
      <c r="K57" s="38" t="s">
        <v>842</v>
      </c>
      <c r="L57" s="69">
        <v>3644.79</v>
      </c>
      <c r="M57" s="643"/>
      <c r="N57" s="643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01" t="s">
        <v>970</v>
      </c>
      <c r="K58" s="38" t="s">
        <v>825</v>
      </c>
      <c r="L58" s="69">
        <v>2320</v>
      </c>
      <c r="M58" s="643"/>
      <c r="N58" s="643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601" t="s">
        <v>983</v>
      </c>
      <c r="K59" s="38" t="s">
        <v>202</v>
      </c>
      <c r="L59" s="69">
        <v>14671.53</v>
      </c>
      <c r="M59" s="643"/>
      <c r="N59" s="643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 t="s">
        <v>984</v>
      </c>
      <c r="K60" s="174" t="s">
        <v>1017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 t="s">
        <v>970</v>
      </c>
      <c r="K61" s="671" t="s">
        <v>985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 t="s">
        <v>986</v>
      </c>
      <c r="K62" s="671" t="s">
        <v>826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 t="s">
        <v>970</v>
      </c>
      <c r="K63" s="671" t="s">
        <v>987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 t="s">
        <v>970</v>
      </c>
      <c r="K64" s="671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 t="s">
        <v>970</v>
      </c>
      <c r="K65" s="671" t="s">
        <v>1019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1364449.84</v>
      </c>
      <c r="D67" s="88"/>
      <c r="E67" s="91" t="s">
        <v>8</v>
      </c>
      <c r="F67" s="90">
        <f>SUM(F5:F60)</f>
        <v>3782162</v>
      </c>
      <c r="G67" s="573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80" t="s">
        <v>11</v>
      </c>
      <c r="I69" s="881"/>
      <c r="J69" s="559"/>
      <c r="K69" s="1013">
        <f>I67+L67</f>
        <v>534683.29</v>
      </c>
      <c r="L69" s="1014"/>
      <c r="M69" s="272"/>
      <c r="N69" s="272"/>
      <c r="P69" s="34"/>
      <c r="Q69" s="13"/>
    </row>
    <row r="70" spans="1:17" x14ac:dyDescent="0.25">
      <c r="D70" s="886" t="s">
        <v>12</v>
      </c>
      <c r="E70" s="886"/>
      <c r="F70" s="312">
        <f>F67-K69-C67</f>
        <v>1883028.8699999999</v>
      </c>
      <c r="I70" s="102"/>
      <c r="J70" s="560"/>
    </row>
    <row r="71" spans="1:17" ht="18.75" x14ac:dyDescent="0.3">
      <c r="D71" s="916" t="s">
        <v>95</v>
      </c>
      <c r="E71" s="916"/>
      <c r="F71" s="111">
        <v>-2122394.9</v>
      </c>
      <c r="I71" s="887" t="s">
        <v>13</v>
      </c>
      <c r="J71" s="888"/>
      <c r="K71" s="889">
        <f>F73+F74+F75</f>
        <v>2367293.46</v>
      </c>
      <c r="L71" s="889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-528841.08000000007</v>
      </c>
      <c r="H73" s="555"/>
      <c r="I73" s="108" t="s">
        <v>15</v>
      </c>
      <c r="J73" s="109"/>
      <c r="K73" s="1015">
        <f>-C4</f>
        <v>-2546982.16</v>
      </c>
      <c r="L73" s="889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869" t="s">
        <v>18</v>
      </c>
      <c r="E75" s="870"/>
      <c r="F75" s="113">
        <v>2355426.54</v>
      </c>
      <c r="I75" s="871" t="s">
        <v>97</v>
      </c>
      <c r="J75" s="872"/>
      <c r="K75" s="873">
        <f>K71+K73</f>
        <v>-179688.70000000019</v>
      </c>
      <c r="L75" s="873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42:D51">
    <sortCondition ref="B42:B51"/>
  </sortState>
  <mergeCells count="22">
    <mergeCell ref="B1:B2"/>
    <mergeCell ref="C1:M1"/>
    <mergeCell ref="B3:C3"/>
    <mergeCell ref="H3:I3"/>
    <mergeCell ref="P3:P4"/>
    <mergeCell ref="R3:R4"/>
    <mergeCell ref="E4:F4"/>
    <mergeCell ref="H4:I4"/>
    <mergeCell ref="M41:M42"/>
    <mergeCell ref="N41:N42"/>
    <mergeCell ref="Q41:Q42"/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E34" workbookViewId="0">
      <selection activeCell="L72" sqref="L72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8.710937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883</v>
      </c>
      <c r="C3" s="111">
        <v>66303.14</v>
      </c>
      <c r="D3" s="683">
        <v>44760</v>
      </c>
      <c r="E3" s="684">
        <v>66303.14</v>
      </c>
      <c r="F3" s="410">
        <f>C3-E3</f>
        <v>0</v>
      </c>
      <c r="H3" s="500" t="s">
        <v>988</v>
      </c>
      <c r="I3" s="501">
        <v>9423</v>
      </c>
      <c r="J3" s="502">
        <v>1393.2</v>
      </c>
      <c r="K3" s="720">
        <v>44766</v>
      </c>
      <c r="L3" s="721">
        <v>1393.2</v>
      </c>
      <c r="M3" s="183">
        <f>J3-L3</f>
        <v>0</v>
      </c>
    </row>
    <row r="4" spans="1:13" ht="18.75" x14ac:dyDescent="0.3">
      <c r="A4" s="454">
        <v>44712</v>
      </c>
      <c r="B4" s="246" t="s">
        <v>884</v>
      </c>
      <c r="C4" s="111">
        <v>111611.08</v>
      </c>
      <c r="D4" s="683">
        <v>44760</v>
      </c>
      <c r="E4" s="684">
        <v>111611.08</v>
      </c>
      <c r="F4" s="544">
        <f t="shared" ref="F4:F64" si="0">C4-E4</f>
        <v>0</v>
      </c>
      <c r="G4" s="138"/>
      <c r="H4" s="497" t="s">
        <v>989</v>
      </c>
      <c r="I4" s="498">
        <v>9432</v>
      </c>
      <c r="J4" s="499">
        <v>1519.7</v>
      </c>
      <c r="K4" s="720">
        <v>44766</v>
      </c>
      <c r="L4" s="719">
        <v>1519.7</v>
      </c>
      <c r="M4" s="137">
        <f>M3+J4-L4</f>
        <v>0</v>
      </c>
    </row>
    <row r="5" spans="1:13" ht="17.25" x14ac:dyDescent="0.3">
      <c r="A5" s="454">
        <v>44712</v>
      </c>
      <c r="B5" s="246" t="s">
        <v>885</v>
      </c>
      <c r="C5" s="111">
        <v>5816.4</v>
      </c>
      <c r="D5" s="683">
        <v>44760</v>
      </c>
      <c r="E5" s="684">
        <v>5816.4</v>
      </c>
      <c r="F5" s="544">
        <f t="shared" si="0"/>
        <v>0</v>
      </c>
      <c r="H5" s="672" t="s">
        <v>990</v>
      </c>
      <c r="I5" s="673">
        <v>9435</v>
      </c>
      <c r="J5" s="674">
        <v>1470</v>
      </c>
      <c r="K5" s="720">
        <v>44766</v>
      </c>
      <c r="L5" s="722">
        <v>1470</v>
      </c>
      <c r="M5" s="137">
        <f t="shared" ref="M5:M65" si="1">M4+J5-L5</f>
        <v>0</v>
      </c>
    </row>
    <row r="6" spans="1:13" ht="17.25" x14ac:dyDescent="0.3">
      <c r="A6" s="454">
        <v>44712</v>
      </c>
      <c r="B6" s="246" t="s">
        <v>886</v>
      </c>
      <c r="C6" s="111">
        <v>308.72000000000003</v>
      </c>
      <c r="D6" s="683">
        <v>44760</v>
      </c>
      <c r="E6" s="684">
        <v>308.72000000000003</v>
      </c>
      <c r="F6" s="544">
        <f t="shared" si="0"/>
        <v>0</v>
      </c>
      <c r="H6" s="672" t="s">
        <v>991</v>
      </c>
      <c r="I6" s="673">
        <v>9448</v>
      </c>
      <c r="J6" s="674">
        <v>550</v>
      </c>
      <c r="K6" s="720">
        <v>44766</v>
      </c>
      <c r="L6" s="722">
        <v>550</v>
      </c>
      <c r="M6" s="137">
        <f t="shared" si="1"/>
        <v>0</v>
      </c>
    </row>
    <row r="7" spans="1:13" ht="17.25" x14ac:dyDescent="0.3">
      <c r="A7" s="454">
        <v>44713</v>
      </c>
      <c r="B7" s="246" t="s">
        <v>887</v>
      </c>
      <c r="C7" s="111">
        <v>8698.7000000000007</v>
      </c>
      <c r="D7" s="683">
        <v>44760</v>
      </c>
      <c r="E7" s="684">
        <v>8698.7000000000007</v>
      </c>
      <c r="F7" s="544">
        <f t="shared" si="0"/>
        <v>0</v>
      </c>
      <c r="H7" s="675" t="s">
        <v>992</v>
      </c>
      <c r="I7" s="676">
        <v>9455</v>
      </c>
      <c r="J7" s="677">
        <v>2114</v>
      </c>
      <c r="K7" s="720">
        <v>44766</v>
      </c>
      <c r="L7" s="723">
        <v>2114</v>
      </c>
      <c r="M7" s="137">
        <f t="shared" si="1"/>
        <v>0</v>
      </c>
    </row>
    <row r="8" spans="1:13" ht="17.25" x14ac:dyDescent="0.3">
      <c r="A8" s="454">
        <v>44714</v>
      </c>
      <c r="B8" s="246" t="s">
        <v>888</v>
      </c>
      <c r="C8" s="111">
        <v>32020.98</v>
      </c>
      <c r="D8" s="683">
        <v>44760</v>
      </c>
      <c r="E8" s="684">
        <v>32020.98</v>
      </c>
      <c r="F8" s="544">
        <f t="shared" si="0"/>
        <v>0</v>
      </c>
      <c r="H8" s="675" t="s">
        <v>993</v>
      </c>
      <c r="I8" s="676">
        <v>9460</v>
      </c>
      <c r="J8" s="677">
        <v>14229.9</v>
      </c>
      <c r="K8" s="720">
        <v>44766</v>
      </c>
      <c r="L8" s="723">
        <v>14229.9</v>
      </c>
      <c r="M8" s="137">
        <f t="shared" si="1"/>
        <v>0</v>
      </c>
    </row>
    <row r="9" spans="1:13" ht="17.25" x14ac:dyDescent="0.3">
      <c r="A9" s="454">
        <v>44715</v>
      </c>
      <c r="B9" s="246" t="s">
        <v>889</v>
      </c>
      <c r="C9" s="111">
        <v>61048.800000000003</v>
      </c>
      <c r="D9" s="683">
        <v>44760</v>
      </c>
      <c r="E9" s="684">
        <v>61048.800000000003</v>
      </c>
      <c r="F9" s="544">
        <f t="shared" si="0"/>
        <v>0</v>
      </c>
      <c r="H9" s="672" t="s">
        <v>994</v>
      </c>
      <c r="I9" s="673">
        <v>9485</v>
      </c>
      <c r="J9" s="674">
        <v>6100</v>
      </c>
      <c r="K9" s="720">
        <v>44766</v>
      </c>
      <c r="L9" s="722">
        <v>6100</v>
      </c>
      <c r="M9" s="137">
        <f t="shared" si="1"/>
        <v>0</v>
      </c>
    </row>
    <row r="10" spans="1:13" ht="18.75" x14ac:dyDescent="0.3">
      <c r="A10" s="454">
        <v>44716</v>
      </c>
      <c r="B10" s="246" t="s">
        <v>890</v>
      </c>
      <c r="C10" s="111">
        <v>100170.2</v>
      </c>
      <c r="D10" s="683">
        <v>44760</v>
      </c>
      <c r="E10" s="684">
        <v>100170.2</v>
      </c>
      <c r="F10" s="544">
        <f t="shared" si="0"/>
        <v>0</v>
      </c>
      <c r="G10" s="138"/>
      <c r="H10" s="672" t="s">
        <v>995</v>
      </c>
      <c r="I10" s="673">
        <v>9490</v>
      </c>
      <c r="J10" s="674">
        <v>2232</v>
      </c>
      <c r="K10" s="720">
        <v>44766</v>
      </c>
      <c r="L10" s="722">
        <v>2232</v>
      </c>
      <c r="M10" s="137">
        <f t="shared" si="1"/>
        <v>0</v>
      </c>
    </row>
    <row r="11" spans="1:13" ht="17.25" x14ac:dyDescent="0.3">
      <c r="A11" s="454">
        <v>44718</v>
      </c>
      <c r="B11" s="246" t="s">
        <v>891</v>
      </c>
      <c r="C11" s="111">
        <v>49503.49</v>
      </c>
      <c r="D11" s="683">
        <v>44760</v>
      </c>
      <c r="E11" s="684">
        <v>49503.49</v>
      </c>
      <c r="F11" s="544">
        <f t="shared" si="0"/>
        <v>0</v>
      </c>
      <c r="H11" s="672" t="s">
        <v>996</v>
      </c>
      <c r="I11" s="673">
        <v>9496</v>
      </c>
      <c r="J11" s="674">
        <v>10033.6</v>
      </c>
      <c r="K11" s="720">
        <v>44766</v>
      </c>
      <c r="L11" s="722">
        <v>10033.6</v>
      </c>
      <c r="M11" s="137">
        <f t="shared" si="1"/>
        <v>0</v>
      </c>
    </row>
    <row r="12" spans="1:13" ht="17.25" x14ac:dyDescent="0.3">
      <c r="A12" s="454">
        <v>44718</v>
      </c>
      <c r="B12" s="246" t="s">
        <v>892</v>
      </c>
      <c r="C12" s="111">
        <v>47878.06</v>
      </c>
      <c r="D12" s="683">
        <v>44760</v>
      </c>
      <c r="E12" s="684">
        <v>47878.06</v>
      </c>
      <c r="F12" s="544">
        <f t="shared" si="0"/>
        <v>0</v>
      </c>
      <c r="H12" s="672" t="s">
        <v>997</v>
      </c>
      <c r="I12" s="673">
        <v>9504</v>
      </c>
      <c r="J12" s="674">
        <v>12212</v>
      </c>
      <c r="K12" s="720">
        <v>44766</v>
      </c>
      <c r="L12" s="722">
        <v>12212</v>
      </c>
      <c r="M12" s="137">
        <f t="shared" si="1"/>
        <v>0</v>
      </c>
    </row>
    <row r="13" spans="1:13" ht="17.25" x14ac:dyDescent="0.3">
      <c r="A13" s="454">
        <v>44719</v>
      </c>
      <c r="B13" s="246" t="s">
        <v>893</v>
      </c>
      <c r="C13" s="111">
        <v>15201.66</v>
      </c>
      <c r="D13" s="683">
        <v>44760</v>
      </c>
      <c r="E13" s="684">
        <v>15201.66</v>
      </c>
      <c r="F13" s="544">
        <f t="shared" si="0"/>
        <v>0</v>
      </c>
      <c r="H13" s="675" t="s">
        <v>998</v>
      </c>
      <c r="I13" s="676">
        <v>9511</v>
      </c>
      <c r="J13" s="677">
        <v>12465</v>
      </c>
      <c r="K13" s="720">
        <v>44766</v>
      </c>
      <c r="L13" s="723">
        <v>12465</v>
      </c>
      <c r="M13" s="137">
        <f t="shared" si="1"/>
        <v>0</v>
      </c>
    </row>
    <row r="14" spans="1:13" ht="17.25" x14ac:dyDescent="0.3">
      <c r="A14" s="454">
        <v>44719</v>
      </c>
      <c r="B14" s="246" t="s">
        <v>894</v>
      </c>
      <c r="C14" s="111">
        <v>1710</v>
      </c>
      <c r="D14" s="683">
        <v>44760</v>
      </c>
      <c r="E14" s="684">
        <v>1710</v>
      </c>
      <c r="F14" s="544">
        <f t="shared" si="0"/>
        <v>0</v>
      </c>
      <c r="H14" s="675" t="s">
        <v>999</v>
      </c>
      <c r="I14" s="676">
        <v>9517</v>
      </c>
      <c r="J14" s="677">
        <v>7129.75</v>
      </c>
      <c r="K14" s="720">
        <v>44766</v>
      </c>
      <c r="L14" s="723">
        <v>7129.75</v>
      </c>
      <c r="M14" s="137">
        <f t="shared" si="1"/>
        <v>0</v>
      </c>
    </row>
    <row r="15" spans="1:13" ht="17.25" x14ac:dyDescent="0.3">
      <c r="A15" s="454">
        <v>44719</v>
      </c>
      <c r="B15" s="246" t="s">
        <v>895</v>
      </c>
      <c r="C15" s="111">
        <v>45293.1</v>
      </c>
      <c r="D15" s="683">
        <v>44760</v>
      </c>
      <c r="E15" s="684">
        <v>45293.1</v>
      </c>
      <c r="F15" s="544">
        <f t="shared" si="0"/>
        <v>0</v>
      </c>
      <c r="H15" s="672" t="s">
        <v>999</v>
      </c>
      <c r="I15" s="673">
        <v>9518</v>
      </c>
      <c r="J15" s="674">
        <v>847</v>
      </c>
      <c r="K15" s="720">
        <v>44766</v>
      </c>
      <c r="L15" s="722">
        <v>847</v>
      </c>
      <c r="M15" s="137">
        <f t="shared" si="1"/>
        <v>0</v>
      </c>
    </row>
    <row r="16" spans="1:13" ht="17.25" x14ac:dyDescent="0.3">
      <c r="A16" s="454">
        <v>44720</v>
      </c>
      <c r="B16" s="246" t="s">
        <v>896</v>
      </c>
      <c r="C16" s="111">
        <v>45940.800000000003</v>
      </c>
      <c r="D16" s="683">
        <v>44760</v>
      </c>
      <c r="E16" s="684">
        <v>45940.800000000003</v>
      </c>
      <c r="F16" s="544">
        <f t="shared" si="0"/>
        <v>0</v>
      </c>
      <c r="H16" s="675" t="s">
        <v>1000</v>
      </c>
      <c r="I16" s="676">
        <v>9529</v>
      </c>
      <c r="J16" s="677">
        <v>31103.1</v>
      </c>
      <c r="K16" s="720">
        <v>44766</v>
      </c>
      <c r="L16" s="723">
        <v>31103.1</v>
      </c>
      <c r="M16" s="137">
        <f t="shared" si="1"/>
        <v>0</v>
      </c>
    </row>
    <row r="17" spans="1:13" ht="17.25" x14ac:dyDescent="0.3">
      <c r="A17" s="454">
        <v>44721</v>
      </c>
      <c r="B17" s="246" t="s">
        <v>897</v>
      </c>
      <c r="C17" s="111">
        <v>69162.899999999994</v>
      </c>
      <c r="D17" s="683">
        <v>44760</v>
      </c>
      <c r="E17" s="684">
        <v>69162.899999999994</v>
      </c>
      <c r="F17" s="544">
        <f t="shared" si="0"/>
        <v>0</v>
      </c>
      <c r="H17" s="675" t="s">
        <v>1001</v>
      </c>
      <c r="I17" s="676">
        <v>9533</v>
      </c>
      <c r="J17" s="677">
        <v>1016</v>
      </c>
      <c r="K17" s="720">
        <v>44766</v>
      </c>
      <c r="L17" s="723">
        <v>1016</v>
      </c>
      <c r="M17" s="137">
        <f t="shared" si="1"/>
        <v>0</v>
      </c>
    </row>
    <row r="18" spans="1:13" ht="17.25" x14ac:dyDescent="0.3">
      <c r="A18" s="454">
        <v>44722</v>
      </c>
      <c r="B18" s="246" t="s">
        <v>898</v>
      </c>
      <c r="C18" s="111">
        <v>157826.47</v>
      </c>
      <c r="D18" s="683">
        <v>44760</v>
      </c>
      <c r="E18" s="684">
        <v>157826.47</v>
      </c>
      <c r="F18" s="544">
        <f t="shared" si="0"/>
        <v>0</v>
      </c>
      <c r="H18" s="672" t="s">
        <v>1001</v>
      </c>
      <c r="I18" s="673">
        <v>9534</v>
      </c>
      <c r="J18" s="674">
        <v>2400</v>
      </c>
      <c r="K18" s="720">
        <v>44766</v>
      </c>
      <c r="L18" s="722">
        <v>2400</v>
      </c>
      <c r="M18" s="137">
        <f t="shared" si="1"/>
        <v>0</v>
      </c>
    </row>
    <row r="19" spans="1:13" ht="17.25" x14ac:dyDescent="0.3">
      <c r="A19" s="454">
        <v>44723</v>
      </c>
      <c r="B19" s="246" t="s">
        <v>916</v>
      </c>
      <c r="C19" s="111">
        <v>75251.399999999994</v>
      </c>
      <c r="D19" s="718">
        <v>44769</v>
      </c>
      <c r="E19" s="717">
        <v>75251.399999999994</v>
      </c>
      <c r="F19" s="544">
        <f t="shared" si="0"/>
        <v>0</v>
      </c>
      <c r="H19" s="675" t="s">
        <v>1002</v>
      </c>
      <c r="I19" s="676">
        <v>9543</v>
      </c>
      <c r="J19" s="677">
        <v>3150.5</v>
      </c>
      <c r="K19" s="720">
        <v>44766</v>
      </c>
      <c r="L19" s="723">
        <v>3150.5</v>
      </c>
      <c r="M19" s="137">
        <f t="shared" si="1"/>
        <v>0</v>
      </c>
    </row>
    <row r="20" spans="1:13" ht="17.25" x14ac:dyDescent="0.3">
      <c r="A20" s="454">
        <v>44725</v>
      </c>
      <c r="B20" s="246" t="s">
        <v>917</v>
      </c>
      <c r="C20" s="111">
        <v>59986.66</v>
      </c>
      <c r="D20" s="718">
        <v>44769</v>
      </c>
      <c r="E20" s="717">
        <v>59986.66</v>
      </c>
      <c r="F20" s="544">
        <f t="shared" si="0"/>
        <v>0</v>
      </c>
      <c r="H20" s="672" t="s">
        <v>1002</v>
      </c>
      <c r="I20" s="673">
        <v>9544</v>
      </c>
      <c r="J20" s="674">
        <v>40918.800000000003</v>
      </c>
      <c r="K20" s="720">
        <v>44766</v>
      </c>
      <c r="L20" s="722">
        <v>40918.800000000003</v>
      </c>
      <c r="M20" s="137">
        <f t="shared" si="1"/>
        <v>0</v>
      </c>
    </row>
    <row r="21" spans="1:13" ht="17.25" x14ac:dyDescent="0.3">
      <c r="A21" s="454">
        <v>44726</v>
      </c>
      <c r="B21" s="246" t="s">
        <v>918</v>
      </c>
      <c r="C21" s="111">
        <v>28057.52</v>
      </c>
      <c r="D21" s="718">
        <v>44769</v>
      </c>
      <c r="E21" s="717">
        <v>28057.52</v>
      </c>
      <c r="F21" s="544">
        <f t="shared" si="0"/>
        <v>0</v>
      </c>
      <c r="H21" s="675" t="s">
        <v>1003</v>
      </c>
      <c r="I21" s="676">
        <v>9551</v>
      </c>
      <c r="J21" s="677">
        <v>300</v>
      </c>
      <c r="K21" s="720">
        <v>44766</v>
      </c>
      <c r="L21" s="723">
        <v>300</v>
      </c>
      <c r="M21" s="137">
        <f t="shared" si="1"/>
        <v>0</v>
      </c>
    </row>
    <row r="22" spans="1:13" ht="18.75" x14ac:dyDescent="0.3">
      <c r="A22" s="454">
        <v>44726</v>
      </c>
      <c r="B22" s="246" t="s">
        <v>919</v>
      </c>
      <c r="C22" s="111">
        <v>4554</v>
      </c>
      <c r="D22" s="718">
        <v>44769</v>
      </c>
      <c r="E22" s="717">
        <v>4554</v>
      </c>
      <c r="F22" s="544">
        <f t="shared" si="0"/>
        <v>0</v>
      </c>
      <c r="G22" s="644"/>
      <c r="H22" s="672" t="s">
        <v>1004</v>
      </c>
      <c r="I22" s="673">
        <v>9558</v>
      </c>
      <c r="J22" s="674">
        <v>6240</v>
      </c>
      <c r="K22" s="720">
        <v>44766</v>
      </c>
      <c r="L22" s="722">
        <v>6240</v>
      </c>
      <c r="M22" s="137">
        <f t="shared" si="1"/>
        <v>0</v>
      </c>
    </row>
    <row r="23" spans="1:13" ht="17.25" x14ac:dyDescent="0.3">
      <c r="A23" s="454">
        <v>44727</v>
      </c>
      <c r="B23" s="246" t="s">
        <v>920</v>
      </c>
      <c r="C23" s="111">
        <v>20506.8</v>
      </c>
      <c r="D23" s="718">
        <v>44769</v>
      </c>
      <c r="E23" s="717">
        <v>20506.8</v>
      </c>
      <c r="F23" s="544">
        <f t="shared" si="0"/>
        <v>0</v>
      </c>
      <c r="G23" s="2"/>
      <c r="H23" s="672" t="s">
        <v>1005</v>
      </c>
      <c r="I23" s="673">
        <v>9568</v>
      </c>
      <c r="J23" s="674">
        <v>64859.8</v>
      </c>
      <c r="K23" s="720">
        <v>44766</v>
      </c>
      <c r="L23" s="722">
        <v>64859.8</v>
      </c>
      <c r="M23" s="137">
        <f t="shared" si="1"/>
        <v>0</v>
      </c>
    </row>
    <row r="24" spans="1:13" ht="17.25" x14ac:dyDescent="0.3">
      <c r="A24" s="454">
        <v>44728</v>
      </c>
      <c r="B24" s="246" t="s">
        <v>921</v>
      </c>
      <c r="C24" s="111">
        <v>70754.91</v>
      </c>
      <c r="D24" s="718">
        <v>44769</v>
      </c>
      <c r="E24" s="717">
        <v>70754.91</v>
      </c>
      <c r="F24" s="544">
        <f t="shared" si="0"/>
        <v>0</v>
      </c>
      <c r="G24" s="2"/>
      <c r="H24" s="672" t="s">
        <v>1005</v>
      </c>
      <c r="I24" s="673">
        <v>9569</v>
      </c>
      <c r="J24" s="674">
        <v>2900</v>
      </c>
      <c r="K24" s="720">
        <v>44766</v>
      </c>
      <c r="L24" s="722">
        <v>2900</v>
      </c>
      <c r="M24" s="137">
        <f t="shared" si="1"/>
        <v>0</v>
      </c>
    </row>
    <row r="25" spans="1:13" ht="17.25" x14ac:dyDescent="0.3">
      <c r="A25" s="454">
        <v>44729</v>
      </c>
      <c r="B25" s="246" t="s">
        <v>922</v>
      </c>
      <c r="C25" s="111">
        <v>102195.9</v>
      </c>
      <c r="D25" s="718">
        <v>44769</v>
      </c>
      <c r="E25" s="717">
        <v>102195.9</v>
      </c>
      <c r="F25" s="544">
        <f t="shared" si="0"/>
        <v>0</v>
      </c>
      <c r="G25" s="645"/>
      <c r="H25" s="675" t="s">
        <v>1005</v>
      </c>
      <c r="I25" s="676">
        <v>9570</v>
      </c>
      <c r="J25" s="677">
        <v>333.6</v>
      </c>
      <c r="K25" s="720">
        <v>44766</v>
      </c>
      <c r="L25" s="723">
        <v>333.6</v>
      </c>
      <c r="M25" s="137">
        <f t="shared" si="1"/>
        <v>0</v>
      </c>
    </row>
    <row r="26" spans="1:13" ht="17.25" x14ac:dyDescent="0.3">
      <c r="A26" s="454">
        <v>44730</v>
      </c>
      <c r="B26" s="580" t="s">
        <v>953</v>
      </c>
      <c r="C26" s="111">
        <v>64559.72</v>
      </c>
      <c r="D26" s="718">
        <v>44769</v>
      </c>
      <c r="E26" s="717">
        <v>64559.72</v>
      </c>
      <c r="F26" s="544">
        <f t="shared" si="0"/>
        <v>0</v>
      </c>
      <c r="G26" s="645"/>
      <c r="H26" s="672" t="s">
        <v>1005</v>
      </c>
      <c r="I26" s="673">
        <v>9572</v>
      </c>
      <c r="J26" s="674">
        <v>500</v>
      </c>
      <c r="K26" s="720">
        <v>44766</v>
      </c>
      <c r="L26" s="722">
        <v>500</v>
      </c>
      <c r="M26" s="137">
        <f t="shared" si="1"/>
        <v>0</v>
      </c>
    </row>
    <row r="27" spans="1:13" ht="17.25" x14ac:dyDescent="0.3">
      <c r="A27" s="454">
        <v>44732</v>
      </c>
      <c r="B27" s="246" t="s">
        <v>954</v>
      </c>
      <c r="C27" s="111">
        <v>68026</v>
      </c>
      <c r="D27" s="718">
        <v>44769</v>
      </c>
      <c r="E27" s="717">
        <v>68026</v>
      </c>
      <c r="F27" s="544">
        <f t="shared" si="0"/>
        <v>0</v>
      </c>
      <c r="G27" s="645"/>
      <c r="H27" s="675" t="s">
        <v>1006</v>
      </c>
      <c r="I27" s="676">
        <v>9583</v>
      </c>
      <c r="J27" s="677">
        <v>7288.2</v>
      </c>
      <c r="K27" s="720">
        <v>44766</v>
      </c>
      <c r="L27" s="723">
        <v>7288.2</v>
      </c>
      <c r="M27" s="137">
        <f t="shared" si="1"/>
        <v>0</v>
      </c>
    </row>
    <row r="28" spans="1:13" ht="17.25" x14ac:dyDescent="0.3">
      <c r="A28" s="454">
        <v>44733</v>
      </c>
      <c r="B28" s="246" t="s">
        <v>955</v>
      </c>
      <c r="C28" s="111">
        <v>66413.16</v>
      </c>
      <c r="D28" s="718">
        <v>44769</v>
      </c>
      <c r="E28" s="717">
        <v>66413.16</v>
      </c>
      <c r="F28" s="544">
        <f t="shared" si="0"/>
        <v>0</v>
      </c>
      <c r="G28" s="645"/>
      <c r="H28" s="675" t="s">
        <v>1007</v>
      </c>
      <c r="I28" s="676">
        <v>9591</v>
      </c>
      <c r="J28" s="677">
        <v>32983.1</v>
      </c>
      <c r="K28" s="720">
        <v>44766</v>
      </c>
      <c r="L28" s="723">
        <v>32983.1</v>
      </c>
      <c r="M28" s="137">
        <f t="shared" si="1"/>
        <v>0</v>
      </c>
    </row>
    <row r="29" spans="1:13" ht="17.25" x14ac:dyDescent="0.3">
      <c r="A29" s="454">
        <v>44733</v>
      </c>
      <c r="B29" s="246" t="s">
        <v>956</v>
      </c>
      <c r="C29" s="111">
        <v>2197.8000000000002</v>
      </c>
      <c r="D29" s="718">
        <v>44769</v>
      </c>
      <c r="E29" s="717">
        <v>2197.8000000000002</v>
      </c>
      <c r="F29" s="544">
        <f t="shared" si="0"/>
        <v>0</v>
      </c>
      <c r="G29" s="645"/>
      <c r="H29" s="675" t="s">
        <v>1008</v>
      </c>
      <c r="I29" s="676">
        <v>9599</v>
      </c>
      <c r="J29" s="677">
        <v>3363</v>
      </c>
      <c r="K29" s="720">
        <v>44766</v>
      </c>
      <c r="L29" s="723">
        <v>3363</v>
      </c>
      <c r="M29" s="137">
        <f t="shared" si="1"/>
        <v>0</v>
      </c>
    </row>
    <row r="30" spans="1:13" ht="17.25" x14ac:dyDescent="0.3">
      <c r="A30" s="454">
        <v>44734</v>
      </c>
      <c r="B30" s="246" t="s">
        <v>957</v>
      </c>
      <c r="C30" s="111">
        <v>55732.800000000003</v>
      </c>
      <c r="D30" s="718">
        <v>44769</v>
      </c>
      <c r="E30" s="717">
        <v>55732.800000000003</v>
      </c>
      <c r="F30" s="544">
        <f t="shared" si="0"/>
        <v>0</v>
      </c>
      <c r="G30" s="645"/>
      <c r="H30" s="675" t="s">
        <v>1009</v>
      </c>
      <c r="I30" s="676">
        <v>9607</v>
      </c>
      <c r="J30" s="677">
        <v>300</v>
      </c>
      <c r="K30" s="720">
        <v>44766</v>
      </c>
      <c r="L30" s="723">
        <v>300</v>
      </c>
      <c r="M30" s="137">
        <f t="shared" si="1"/>
        <v>0</v>
      </c>
    </row>
    <row r="31" spans="1:13" ht="17.25" x14ac:dyDescent="0.3">
      <c r="A31" s="454">
        <v>44735</v>
      </c>
      <c r="B31" s="246" t="s">
        <v>958</v>
      </c>
      <c r="C31" s="111">
        <v>106959.76</v>
      </c>
      <c r="D31" s="718">
        <v>44769</v>
      </c>
      <c r="E31" s="717">
        <v>106959.76</v>
      </c>
      <c r="F31" s="544">
        <f t="shared" si="0"/>
        <v>0</v>
      </c>
      <c r="G31" s="2"/>
      <c r="H31" s="675" t="s">
        <v>1010</v>
      </c>
      <c r="I31" s="676">
        <v>9623</v>
      </c>
      <c r="J31" s="677">
        <v>780</v>
      </c>
      <c r="K31" s="720">
        <v>44766</v>
      </c>
      <c r="L31" s="723">
        <v>780</v>
      </c>
      <c r="M31" s="137">
        <f t="shared" si="1"/>
        <v>0</v>
      </c>
    </row>
    <row r="32" spans="1:13" ht="17.25" x14ac:dyDescent="0.3">
      <c r="A32" s="454">
        <v>44736</v>
      </c>
      <c r="B32" s="246" t="s">
        <v>959</v>
      </c>
      <c r="C32" s="111">
        <v>69961.259999999995</v>
      </c>
      <c r="D32" s="718">
        <v>44769</v>
      </c>
      <c r="E32" s="717">
        <v>69961.259999999995</v>
      </c>
      <c r="F32" s="544">
        <f t="shared" si="0"/>
        <v>0</v>
      </c>
      <c r="G32" s="2"/>
      <c r="H32" s="672" t="s">
        <v>1011</v>
      </c>
      <c r="I32" s="673">
        <v>9630</v>
      </c>
      <c r="J32" s="674">
        <v>5345.6</v>
      </c>
      <c r="K32" s="720">
        <v>44766</v>
      </c>
      <c r="L32" s="722">
        <v>5345.6</v>
      </c>
      <c r="M32" s="137">
        <f t="shared" si="1"/>
        <v>0</v>
      </c>
    </row>
    <row r="33" spans="1:13" ht="17.25" x14ac:dyDescent="0.3">
      <c r="A33" s="454">
        <v>44737</v>
      </c>
      <c r="B33" s="246" t="s">
        <v>960</v>
      </c>
      <c r="C33" s="111">
        <v>81212.86</v>
      </c>
      <c r="D33" s="718">
        <v>44769</v>
      </c>
      <c r="E33" s="717">
        <v>81212.86</v>
      </c>
      <c r="F33" s="544">
        <f t="shared" si="0"/>
        <v>0</v>
      </c>
      <c r="H33" s="672" t="s">
        <v>1012</v>
      </c>
      <c r="I33" s="673">
        <v>9643</v>
      </c>
      <c r="J33" s="674">
        <v>1150</v>
      </c>
      <c r="K33" s="720">
        <v>44766</v>
      </c>
      <c r="L33" s="722">
        <v>1150</v>
      </c>
      <c r="M33" s="137">
        <f t="shared" si="1"/>
        <v>0</v>
      </c>
    </row>
    <row r="34" spans="1:13" ht="32.25" x14ac:dyDescent="0.3">
      <c r="A34" s="454">
        <v>44739</v>
      </c>
      <c r="B34" s="246" t="s">
        <v>961</v>
      </c>
      <c r="C34" s="111">
        <v>49528.800000000003</v>
      </c>
      <c r="D34" s="735" t="s">
        <v>1182</v>
      </c>
      <c r="E34" s="717">
        <f>24074.75+25454.05</f>
        <v>49528.800000000003</v>
      </c>
      <c r="F34" s="544">
        <f t="shared" si="0"/>
        <v>0</v>
      </c>
      <c r="H34" s="672" t="s">
        <v>1012</v>
      </c>
      <c r="I34" s="673">
        <v>9644</v>
      </c>
      <c r="J34" s="674">
        <v>6406.9</v>
      </c>
      <c r="K34" s="720">
        <v>44766</v>
      </c>
      <c r="L34" s="722">
        <v>6406.9</v>
      </c>
      <c r="M34" s="137">
        <f t="shared" si="1"/>
        <v>0</v>
      </c>
    </row>
    <row r="35" spans="1:13" ht="17.25" x14ac:dyDescent="0.3">
      <c r="A35" s="454">
        <v>44739</v>
      </c>
      <c r="B35" s="246" t="s">
        <v>962</v>
      </c>
      <c r="C35" s="111">
        <v>9215.3700000000008</v>
      </c>
      <c r="D35" s="736">
        <v>44799</v>
      </c>
      <c r="E35" s="737">
        <v>9215.3700000000008</v>
      </c>
      <c r="F35" s="544">
        <f t="shared" si="0"/>
        <v>0</v>
      </c>
      <c r="H35" s="675" t="s">
        <v>1013</v>
      </c>
      <c r="I35" s="676">
        <v>9649</v>
      </c>
      <c r="J35" s="677">
        <v>3200</v>
      </c>
      <c r="K35" s="720">
        <v>44766</v>
      </c>
      <c r="L35" s="723">
        <v>3200</v>
      </c>
      <c r="M35" s="137">
        <f t="shared" si="1"/>
        <v>0</v>
      </c>
    </row>
    <row r="36" spans="1:13" ht="17.25" x14ac:dyDescent="0.3">
      <c r="A36" s="454">
        <v>44740</v>
      </c>
      <c r="B36" s="246" t="s">
        <v>963</v>
      </c>
      <c r="C36" s="111">
        <v>96875.6</v>
      </c>
      <c r="D36" s="736">
        <v>44799</v>
      </c>
      <c r="E36" s="737">
        <v>96875.6</v>
      </c>
      <c r="F36" s="544">
        <f t="shared" si="0"/>
        <v>0</v>
      </c>
      <c r="H36" s="675" t="s">
        <v>1014</v>
      </c>
      <c r="I36" s="676">
        <v>9658</v>
      </c>
      <c r="J36" s="677">
        <v>550</v>
      </c>
      <c r="K36" s="720">
        <v>44766</v>
      </c>
      <c r="L36" s="723">
        <v>550</v>
      </c>
      <c r="M36" s="137">
        <f t="shared" si="1"/>
        <v>0</v>
      </c>
    </row>
    <row r="37" spans="1:13" ht="17.25" x14ac:dyDescent="0.3">
      <c r="A37" s="454">
        <v>44741</v>
      </c>
      <c r="B37" s="246" t="s">
        <v>964</v>
      </c>
      <c r="C37" s="111">
        <v>26574.6</v>
      </c>
      <c r="D37" s="736">
        <v>44799</v>
      </c>
      <c r="E37" s="737">
        <v>26574.6</v>
      </c>
      <c r="F37" s="544">
        <f t="shared" si="0"/>
        <v>0</v>
      </c>
      <c r="H37" s="672" t="s">
        <v>1015</v>
      </c>
      <c r="I37" s="673">
        <v>9678</v>
      </c>
      <c r="J37" s="674">
        <v>773.5</v>
      </c>
      <c r="K37" s="720">
        <v>44766</v>
      </c>
      <c r="L37" s="722">
        <v>773.5</v>
      </c>
      <c r="M37" s="137">
        <f t="shared" si="1"/>
        <v>0</v>
      </c>
    </row>
    <row r="38" spans="1:13" ht="17.25" x14ac:dyDescent="0.3">
      <c r="A38" s="454">
        <v>44742</v>
      </c>
      <c r="B38" s="246" t="s">
        <v>965</v>
      </c>
      <c r="C38" s="111">
        <v>110618.06</v>
      </c>
      <c r="D38" s="736">
        <v>44799</v>
      </c>
      <c r="E38" s="737">
        <v>110618.06</v>
      </c>
      <c r="F38" s="544">
        <f t="shared" si="0"/>
        <v>0</v>
      </c>
      <c r="H38" s="675" t="s">
        <v>1016</v>
      </c>
      <c r="I38" s="676">
        <v>9686</v>
      </c>
      <c r="J38" s="677">
        <v>1316.8</v>
      </c>
      <c r="K38" s="720">
        <v>44766</v>
      </c>
      <c r="L38" s="723">
        <v>1316.8</v>
      </c>
      <c r="M38" s="137">
        <f t="shared" si="1"/>
        <v>0</v>
      </c>
    </row>
    <row r="39" spans="1:13" ht="15.75" x14ac:dyDescent="0.25">
      <c r="A39" s="667">
        <v>44742</v>
      </c>
      <c r="B39" s="668" t="s">
        <v>966</v>
      </c>
      <c r="C39" s="111">
        <v>3223.2</v>
      </c>
      <c r="D39" s="736">
        <v>44799</v>
      </c>
      <c r="E39" s="737">
        <v>3223.2</v>
      </c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>
        <v>44743</v>
      </c>
      <c r="B40" s="668" t="s">
        <v>967</v>
      </c>
      <c r="C40" s="111">
        <v>65436.19</v>
      </c>
      <c r="D40" s="736">
        <v>44799</v>
      </c>
      <c r="E40" s="737">
        <v>65436.19</v>
      </c>
      <c r="F40" s="111">
        <f t="shared" si="0"/>
        <v>0</v>
      </c>
      <c r="H40" s="134"/>
      <c r="I40" s="139"/>
      <c r="J40" s="69"/>
      <c r="K40" s="253"/>
      <c r="L40" s="69"/>
      <c r="M40" s="137">
        <f t="shared" si="1"/>
        <v>0</v>
      </c>
    </row>
    <row r="41" spans="1:13" ht="15.75" x14ac:dyDescent="0.25">
      <c r="A41" s="667">
        <v>44744</v>
      </c>
      <c r="B41" s="668" t="s">
        <v>968</v>
      </c>
      <c r="C41" s="111">
        <v>60853.03</v>
      </c>
      <c r="D41" s="736">
        <v>44799</v>
      </c>
      <c r="E41" s="737">
        <v>60853.03</v>
      </c>
      <c r="F41" s="111">
        <f t="shared" si="0"/>
        <v>0</v>
      </c>
      <c r="H41" s="134"/>
      <c r="I41" s="139"/>
      <c r="J41" s="69"/>
      <c r="K41" s="253"/>
      <c r="L41" s="69"/>
      <c r="M41" s="137">
        <f t="shared" si="1"/>
        <v>0</v>
      </c>
    </row>
    <row r="42" spans="1:13" ht="15.75" x14ac:dyDescent="0.25">
      <c r="A42" s="667">
        <v>44744</v>
      </c>
      <c r="B42" s="668" t="s">
        <v>969</v>
      </c>
      <c r="C42" s="111">
        <v>5205</v>
      </c>
      <c r="D42" s="736">
        <v>44799</v>
      </c>
      <c r="E42" s="737">
        <v>5205</v>
      </c>
      <c r="F42" s="111">
        <f t="shared" si="0"/>
        <v>0</v>
      </c>
      <c r="H42" s="134"/>
      <c r="I42" s="13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973" t="s">
        <v>594</v>
      </c>
      <c r="I43" s="974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975"/>
      <c r="I44" s="976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977"/>
      <c r="I45" s="978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055" t="s">
        <v>1480</v>
      </c>
      <c r="J47" s="1056"/>
      <c r="K47" s="1056"/>
      <c r="L47" s="1057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058"/>
      <c r="J48" s="1059"/>
      <c r="K48" s="1059"/>
      <c r="L48" s="1060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2122394.9000000004</v>
      </c>
      <c r="F67" s="153">
        <f>SUM(F3:F66)</f>
        <v>0</v>
      </c>
      <c r="H67" s="969" t="s">
        <v>594</v>
      </c>
      <c r="I67" s="970"/>
      <c r="J67" s="642">
        <f>SUM(J3:J66)</f>
        <v>289475.05</v>
      </c>
      <c r="K67" s="713"/>
      <c r="L67" s="209">
        <f>SUM(L3:L66)</f>
        <v>289475.05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31" t="s">
        <v>207</v>
      </c>
      <c r="H68" s="971"/>
      <c r="I68" s="972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32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D74" s="456"/>
      <c r="E74"/>
      <c r="H74"/>
      <c r="I74"/>
      <c r="J74"/>
      <c r="L74"/>
      <c r="M74"/>
    </row>
    <row r="75" spans="1:13" x14ac:dyDescent="0.25">
      <c r="A75" s="98"/>
      <c r="B75" s="194"/>
      <c r="D75" s="456"/>
      <c r="H75"/>
      <c r="I75"/>
      <c r="J75"/>
      <c r="L75"/>
      <c r="M75"/>
    </row>
    <row r="76" spans="1:13" ht="49.5" customHeight="1" x14ac:dyDescent="0.25">
      <c r="E76" s="734"/>
      <c r="F76" s="733"/>
      <c r="H76"/>
      <c r="I76"/>
      <c r="J76"/>
      <c r="L76"/>
      <c r="M76"/>
    </row>
    <row r="77" spans="1:13" ht="15.75" x14ac:dyDescent="0.25">
      <c r="A77" s="1049"/>
      <c r="B77" s="1050"/>
      <c r="C77" s="1051"/>
      <c r="D77" s="851"/>
      <c r="E77" s="126"/>
      <c r="H77"/>
      <c r="I77"/>
      <c r="J77"/>
      <c r="L77"/>
      <c r="M77"/>
    </row>
    <row r="78" spans="1:13" ht="17.25" x14ac:dyDescent="0.3">
      <c r="A78" s="1049"/>
      <c r="B78" s="233"/>
      <c r="C78" s="233"/>
      <c r="D78" s="851"/>
      <c r="E78" s="1052"/>
      <c r="H78"/>
      <c r="I78"/>
      <c r="J78"/>
      <c r="L78"/>
      <c r="M78"/>
    </row>
    <row r="79" spans="1:13" ht="17.25" x14ac:dyDescent="0.3">
      <c r="A79" s="1049"/>
      <c r="B79" s="233"/>
      <c r="C79" s="233"/>
      <c r="D79" s="851"/>
      <c r="E79" s="1052"/>
      <c r="H79"/>
      <c r="I79"/>
      <c r="J79"/>
      <c r="L79"/>
      <c r="M79"/>
    </row>
    <row r="80" spans="1:13" ht="17.25" x14ac:dyDescent="0.3">
      <c r="A80" s="1049"/>
      <c r="B80" s="233"/>
      <c r="C80" s="233"/>
      <c r="D80" s="851"/>
      <c r="E80" s="1052"/>
      <c r="H80"/>
      <c r="I80"/>
      <c r="J80"/>
      <c r="L80"/>
      <c r="M80"/>
    </row>
    <row r="81" spans="1:13" ht="17.25" x14ac:dyDescent="0.3">
      <c r="A81" s="1049"/>
      <c r="B81" s="233"/>
      <c r="C81" s="233"/>
      <c r="D81" s="851"/>
      <c r="E81" s="1052"/>
      <c r="H81"/>
      <c r="I81"/>
      <c r="J81"/>
      <c r="L81"/>
      <c r="M81"/>
    </row>
    <row r="82" spans="1:13" ht="17.25" x14ac:dyDescent="0.3">
      <c r="A82" s="1049"/>
      <c r="B82" s="233"/>
      <c r="C82" s="233"/>
      <c r="D82" s="851"/>
      <c r="E82" s="1052"/>
      <c r="H82"/>
      <c r="I82"/>
      <c r="J82"/>
      <c r="L82"/>
      <c r="M82"/>
    </row>
    <row r="83" spans="1:13" ht="17.25" x14ac:dyDescent="0.3">
      <c r="A83" s="1049"/>
      <c r="B83" s="233"/>
      <c r="C83" s="233"/>
      <c r="D83" s="851"/>
      <c r="E83" s="1052"/>
      <c r="H83"/>
      <c r="I83"/>
      <c r="J83"/>
      <c r="L83"/>
      <c r="M83"/>
    </row>
    <row r="84" spans="1:13" ht="17.25" x14ac:dyDescent="0.3">
      <c r="A84" s="1049"/>
      <c r="B84" s="233"/>
      <c r="C84" s="233"/>
      <c r="D84" s="851"/>
      <c r="E84" s="1052"/>
      <c r="H84"/>
      <c r="I84"/>
      <c r="J84"/>
      <c r="L84"/>
      <c r="M84"/>
    </row>
    <row r="85" spans="1:13" ht="17.25" x14ac:dyDescent="0.3">
      <c r="A85" s="1049"/>
      <c r="B85" s="233"/>
      <c r="C85" s="233"/>
      <c r="D85" s="851"/>
      <c r="E85" s="1052"/>
      <c r="H85"/>
      <c r="I85"/>
      <c r="J85"/>
      <c r="L85"/>
      <c r="M85"/>
    </row>
    <row r="86" spans="1:13" ht="17.25" x14ac:dyDescent="0.3">
      <c r="A86" s="1049"/>
      <c r="B86" s="233"/>
      <c r="C86" s="233"/>
      <c r="D86" s="851"/>
      <c r="E86" s="1052"/>
      <c r="H86"/>
      <c r="I86"/>
      <c r="J86"/>
      <c r="L86"/>
      <c r="M86"/>
    </row>
    <row r="87" spans="1:13" ht="17.25" x14ac:dyDescent="0.3">
      <c r="A87" s="1049"/>
      <c r="B87" s="233"/>
      <c r="C87" s="233"/>
      <c r="D87" s="851"/>
      <c r="E87" s="1052"/>
      <c r="H87"/>
      <c r="I87"/>
      <c r="J87"/>
      <c r="L87"/>
      <c r="M87"/>
    </row>
    <row r="88" spans="1:13" ht="17.25" x14ac:dyDescent="0.3">
      <c r="A88" s="1049"/>
      <c r="B88" s="233"/>
      <c r="C88" s="233"/>
      <c r="D88" s="851"/>
      <c r="E88" s="1052"/>
      <c r="H88"/>
      <c r="I88"/>
      <c r="J88"/>
      <c r="L88"/>
      <c r="M88"/>
    </row>
    <row r="89" spans="1:13" ht="17.25" x14ac:dyDescent="0.3">
      <c r="A89" s="1049"/>
      <c r="B89" s="233"/>
      <c r="C89" s="233"/>
      <c r="D89" s="851"/>
      <c r="E89" s="1052"/>
      <c r="H89"/>
      <c r="I89"/>
      <c r="J89"/>
      <c r="L89"/>
      <c r="M89"/>
    </row>
    <row r="90" spans="1:13" ht="17.25" x14ac:dyDescent="0.3">
      <c r="A90" s="1049"/>
      <c r="B90" s="233"/>
      <c r="C90" s="233"/>
      <c r="D90" s="851"/>
      <c r="E90" s="1052"/>
      <c r="H90"/>
      <c r="I90"/>
      <c r="J90"/>
      <c r="L90"/>
      <c r="M90"/>
    </row>
    <row r="91" spans="1:13" ht="17.25" x14ac:dyDescent="0.3">
      <c r="A91" s="1049"/>
      <c r="B91" s="233"/>
      <c r="C91" s="233"/>
      <c r="D91" s="851"/>
      <c r="E91" s="1052"/>
      <c r="H91"/>
      <c r="I91"/>
      <c r="J91"/>
      <c r="L91"/>
      <c r="M91"/>
    </row>
    <row r="92" spans="1:13" ht="17.25" x14ac:dyDescent="0.3">
      <c r="A92" s="1049"/>
      <c r="B92" s="233"/>
      <c r="C92" s="233"/>
      <c r="D92" s="851"/>
      <c r="E92" s="1052"/>
      <c r="H92"/>
      <c r="I92"/>
      <c r="J92"/>
      <c r="L92"/>
      <c r="M92"/>
    </row>
    <row r="93" spans="1:13" ht="17.25" x14ac:dyDescent="0.3">
      <c r="A93" s="1049"/>
      <c r="B93" s="233"/>
      <c r="C93" s="233"/>
      <c r="D93" s="851"/>
      <c r="E93" s="1052"/>
      <c r="H93"/>
      <c r="I93"/>
      <c r="J93"/>
      <c r="L93"/>
      <c r="M93"/>
    </row>
    <row r="94" spans="1:13" ht="17.25" x14ac:dyDescent="0.3">
      <c r="A94" s="1049"/>
      <c r="B94" s="233"/>
      <c r="C94" s="233"/>
      <c r="D94" s="851"/>
      <c r="E94" s="1052"/>
      <c r="H94"/>
      <c r="I94"/>
      <c r="J94"/>
      <c r="L94"/>
      <c r="M94"/>
    </row>
    <row r="95" spans="1:13" ht="17.25" x14ac:dyDescent="0.3">
      <c r="A95" s="1049"/>
      <c r="B95" s="233"/>
      <c r="C95" s="233"/>
      <c r="D95" s="851"/>
      <c r="E95" s="1052"/>
      <c r="H95"/>
      <c r="I95"/>
      <c r="J95"/>
      <c r="L95"/>
      <c r="M95"/>
    </row>
    <row r="96" spans="1:13" ht="17.25" x14ac:dyDescent="0.3">
      <c r="A96" s="1049"/>
      <c r="B96" s="233"/>
      <c r="C96" s="233"/>
      <c r="D96" s="851"/>
      <c r="E96" s="1052"/>
      <c r="H96"/>
      <c r="I96"/>
      <c r="J96"/>
      <c r="L96"/>
      <c r="M96"/>
    </row>
    <row r="97" spans="1:13" ht="17.25" x14ac:dyDescent="0.3">
      <c r="A97" s="1049"/>
      <c r="B97" s="233"/>
      <c r="C97" s="233"/>
      <c r="D97" s="851"/>
      <c r="E97" s="1052"/>
      <c r="H97"/>
      <c r="I97"/>
      <c r="J97"/>
      <c r="L97"/>
      <c r="M97"/>
    </row>
    <row r="98" spans="1:13" ht="34.5" customHeight="1" x14ac:dyDescent="0.25">
      <c r="A98" s="1049"/>
      <c r="B98" s="233"/>
      <c r="C98" s="233"/>
      <c r="D98" s="851"/>
      <c r="E98" s="126"/>
      <c r="H98"/>
      <c r="I98"/>
      <c r="J98"/>
      <c r="L98"/>
      <c r="M98"/>
    </row>
    <row r="99" spans="1:13" ht="15.75" x14ac:dyDescent="0.25">
      <c r="A99" s="1049"/>
      <c r="B99" s="1050"/>
      <c r="C99" s="233"/>
      <c r="D99" s="851"/>
      <c r="E99" s="126"/>
      <c r="H99"/>
      <c r="I99"/>
      <c r="J99"/>
      <c r="L99"/>
      <c r="M99"/>
    </row>
    <row r="100" spans="1:13" ht="15.75" x14ac:dyDescent="0.25">
      <c r="A100" s="1049"/>
      <c r="B100" s="1053"/>
      <c r="C100" s="233"/>
      <c r="D100" s="851"/>
      <c r="E100" s="126"/>
      <c r="H100"/>
      <c r="I100"/>
      <c r="J100"/>
      <c r="L100"/>
      <c r="M100"/>
    </row>
    <row r="101" spans="1:13" ht="15.75" x14ac:dyDescent="0.25">
      <c r="A101" s="1054"/>
      <c r="B101" s="756"/>
      <c r="C101" s="233"/>
      <c r="D101" s="799"/>
      <c r="E101" s="126"/>
      <c r="H101"/>
      <c r="I101"/>
      <c r="J101"/>
      <c r="L101"/>
      <c r="M101"/>
    </row>
    <row r="102" spans="1:13" ht="15.75" x14ac:dyDescent="0.25">
      <c r="A102" s="1054"/>
      <c r="B102" s="756"/>
      <c r="C102" s="233"/>
      <c r="D102" s="799"/>
      <c r="E102" s="126"/>
      <c r="H102"/>
      <c r="I102"/>
      <c r="J102"/>
      <c r="L102"/>
      <c r="M102"/>
    </row>
    <row r="103" spans="1:13" ht="15.75" x14ac:dyDescent="0.25">
      <c r="A103" s="98"/>
      <c r="B103" s="756"/>
      <c r="C103" s="233"/>
      <c r="D103" s="799"/>
      <c r="E103" s="126"/>
      <c r="H103"/>
      <c r="I103"/>
      <c r="J103"/>
      <c r="L103"/>
      <c r="M103"/>
    </row>
    <row r="104" spans="1:13" ht="15.75" x14ac:dyDescent="0.25">
      <c r="A104" s="98"/>
      <c r="B104" s="756"/>
      <c r="C104" s="233"/>
      <c r="D104" s="799"/>
      <c r="E104" s="126"/>
      <c r="H104"/>
      <c r="I104"/>
      <c r="J104"/>
      <c r="L104"/>
      <c r="M104"/>
    </row>
    <row r="105" spans="1:13" ht="15.75" x14ac:dyDescent="0.25">
      <c r="A105" s="98"/>
      <c r="B105" s="756"/>
      <c r="C105" s="233"/>
      <c r="D105" s="799"/>
      <c r="E105" s="126"/>
      <c r="H105"/>
      <c r="I105"/>
      <c r="J105"/>
      <c r="L105"/>
      <c r="M105"/>
    </row>
    <row r="106" spans="1:13" ht="15.75" x14ac:dyDescent="0.25">
      <c r="A106" s="98"/>
      <c r="B106" s="756"/>
      <c r="C106" s="233"/>
      <c r="D106" s="799"/>
      <c r="E106" s="126"/>
      <c r="H106"/>
      <c r="I106"/>
      <c r="J106"/>
      <c r="L106"/>
      <c r="M106"/>
    </row>
    <row r="107" spans="1:13" ht="15.75" x14ac:dyDescent="0.25">
      <c r="A107" s="98"/>
      <c r="B107" s="756"/>
      <c r="C107" s="233"/>
      <c r="D107" s="799"/>
      <c r="E107" s="126"/>
      <c r="H107"/>
      <c r="I107"/>
      <c r="J107"/>
      <c r="L107"/>
      <c r="M107"/>
    </row>
    <row r="108" spans="1:13" ht="15.75" x14ac:dyDescent="0.25">
      <c r="A108" s="98"/>
      <c r="B108" s="756"/>
      <c r="C108" s="233"/>
      <c r="D108" s="799"/>
      <c r="E108" s="126"/>
      <c r="H108"/>
      <c r="I108"/>
      <c r="J108"/>
      <c r="L108"/>
      <c r="M108"/>
    </row>
    <row r="109" spans="1:13" ht="15.75" x14ac:dyDescent="0.25">
      <c r="A109" s="98"/>
      <c r="B109" s="756"/>
      <c r="C109" s="233"/>
      <c r="D109" s="799"/>
      <c r="E109" s="126"/>
      <c r="H109"/>
      <c r="I109"/>
      <c r="J109"/>
      <c r="L109"/>
      <c r="M109"/>
    </row>
    <row r="110" spans="1:13" ht="15.75" x14ac:dyDescent="0.25">
      <c r="A110" s="98"/>
      <c r="B110" s="756"/>
      <c r="C110" s="233"/>
      <c r="D110" s="799"/>
      <c r="E110" s="126"/>
      <c r="H110"/>
      <c r="I110"/>
      <c r="J110"/>
      <c r="L110"/>
      <c r="M110"/>
    </row>
    <row r="111" spans="1:13" ht="15.75" x14ac:dyDescent="0.25">
      <c r="A111" s="98"/>
      <c r="B111" s="756"/>
      <c r="C111" s="233"/>
      <c r="D111" s="799"/>
      <c r="E111" s="126"/>
      <c r="H111"/>
      <c r="I111"/>
      <c r="J111"/>
      <c r="L111"/>
      <c r="M111"/>
    </row>
    <row r="112" spans="1:13" ht="15.75" x14ac:dyDescent="0.25">
      <c r="A112" s="98"/>
      <c r="B112" s="756"/>
      <c r="C112" s="233"/>
      <c r="D112" s="799"/>
      <c r="E112" s="126"/>
      <c r="H112"/>
      <c r="I112"/>
      <c r="J112"/>
      <c r="L112"/>
      <c r="M112"/>
    </row>
    <row r="113" spans="1:13" ht="15.75" x14ac:dyDescent="0.25">
      <c r="A113" s="98"/>
      <c r="B113" s="756"/>
      <c r="C113" s="233"/>
      <c r="D113" s="799"/>
      <c r="E113" s="126"/>
      <c r="H113"/>
      <c r="I113"/>
      <c r="J113"/>
      <c r="L113"/>
      <c r="M113"/>
    </row>
    <row r="114" spans="1:13" x14ac:dyDescent="0.25">
      <c r="A114" s="98"/>
      <c r="B114" s="756"/>
      <c r="C114" s="126"/>
      <c r="D114" s="799"/>
      <c r="E114" s="126"/>
      <c r="H114"/>
      <c r="I114"/>
      <c r="J114"/>
      <c r="L114"/>
      <c r="M114"/>
    </row>
    <row r="115" spans="1:13" x14ac:dyDescent="0.25">
      <c r="A115" s="98"/>
      <c r="B115" s="756"/>
      <c r="C115" s="126"/>
      <c r="D115" s="799"/>
      <c r="E115" s="126"/>
      <c r="H115"/>
      <c r="I115"/>
      <c r="J115"/>
      <c r="L115"/>
      <c r="M115"/>
    </row>
    <row r="116" spans="1:13" x14ac:dyDescent="0.25">
      <c r="A116" s="98"/>
      <c r="B116" s="756"/>
      <c r="C116" s="126"/>
      <c r="D116" s="799"/>
      <c r="E116" s="126"/>
      <c r="H116"/>
      <c r="I116"/>
      <c r="J116"/>
      <c r="L116"/>
      <c r="M116"/>
    </row>
    <row r="117" spans="1:13" x14ac:dyDescent="0.25">
      <c r="A117" s="98"/>
      <c r="B117" s="756"/>
      <c r="C117" s="126"/>
      <c r="D117" s="799"/>
      <c r="E117" s="126"/>
      <c r="H117"/>
      <c r="I117"/>
      <c r="J117"/>
      <c r="L117"/>
      <c r="M117"/>
    </row>
    <row r="118" spans="1:13" x14ac:dyDescent="0.25">
      <c r="A118" s="98"/>
      <c r="B118" s="756"/>
      <c r="C118" s="126"/>
      <c r="D118" s="799"/>
      <c r="E118" s="126"/>
      <c r="H118"/>
      <c r="I118"/>
      <c r="J118"/>
      <c r="L118"/>
      <c r="M118"/>
    </row>
    <row r="119" spans="1:13" x14ac:dyDescent="0.25">
      <c r="A119" s="98"/>
      <c r="B119" s="756"/>
      <c r="C119" s="126"/>
      <c r="D119" s="799"/>
      <c r="E119" s="126"/>
      <c r="H119"/>
      <c r="I119"/>
      <c r="J119"/>
      <c r="L119"/>
      <c r="M119"/>
    </row>
    <row r="120" spans="1:13" x14ac:dyDescent="0.25">
      <c r="A120" s="98"/>
      <c r="B120" s="756"/>
      <c r="C120" s="126"/>
      <c r="D120" s="799"/>
      <c r="E120" s="126"/>
      <c r="H120"/>
      <c r="I120"/>
      <c r="J120"/>
      <c r="L120"/>
      <c r="M120"/>
    </row>
    <row r="121" spans="1:13" x14ac:dyDescent="0.25">
      <c r="A121" s="98"/>
      <c r="B121" s="756"/>
      <c r="C121" s="126"/>
      <c r="D121" s="799"/>
      <c r="E121" s="12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4">
    <mergeCell ref="F68:F69"/>
    <mergeCell ref="H67:I68"/>
    <mergeCell ref="H43:I45"/>
    <mergeCell ref="I47:L48"/>
  </mergeCells>
  <pageMargins left="0.52" right="0.25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43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904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905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97"/>
  <sheetViews>
    <sheetView topLeftCell="A25" workbookViewId="0">
      <selection activeCell="F67" sqref="F67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93"/>
      <c r="C1" s="935" t="s">
        <v>1025</v>
      </c>
      <c r="D1" s="936"/>
      <c r="E1" s="936"/>
      <c r="F1" s="936"/>
      <c r="G1" s="936"/>
      <c r="H1" s="936"/>
      <c r="I1" s="936"/>
      <c r="J1" s="936"/>
      <c r="K1" s="936"/>
      <c r="L1" s="936"/>
      <c r="M1" s="936"/>
    </row>
    <row r="2" spans="1:18" ht="16.5" thickBot="1" x14ac:dyDescent="0.3">
      <c r="B2" s="894"/>
      <c r="C2" s="3"/>
      <c r="H2" s="5"/>
      <c r="I2" s="6"/>
      <c r="J2" s="7"/>
      <c r="L2" s="8"/>
      <c r="M2" s="6"/>
      <c r="N2" s="9"/>
    </row>
    <row r="3" spans="1:18" ht="21.75" thickBot="1" x14ac:dyDescent="0.35">
      <c r="B3" s="897" t="s">
        <v>0</v>
      </c>
      <c r="C3" s="898"/>
      <c r="D3" s="10"/>
      <c r="E3" s="553"/>
      <c r="F3" s="11"/>
      <c r="H3" s="899" t="s">
        <v>26</v>
      </c>
      <c r="I3" s="899"/>
      <c r="K3" s="165"/>
      <c r="L3" s="13"/>
      <c r="M3" s="14"/>
      <c r="P3" s="923" t="s">
        <v>6</v>
      </c>
      <c r="R3" s="933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900" t="s">
        <v>2</v>
      </c>
      <c r="F4" s="901"/>
      <c r="H4" s="902" t="s">
        <v>3</v>
      </c>
      <c r="I4" s="903"/>
      <c r="J4" s="556"/>
      <c r="K4" s="562"/>
      <c r="L4" s="563"/>
      <c r="M4" s="21" t="s">
        <v>4</v>
      </c>
      <c r="N4" s="22" t="s">
        <v>5</v>
      </c>
      <c r="P4" s="924"/>
      <c r="Q4" s="322" t="s">
        <v>217</v>
      </c>
      <c r="R4" s="934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1026</v>
      </c>
      <c r="E5" s="27">
        <v>44746</v>
      </c>
      <c r="F5" s="28">
        <v>120812</v>
      </c>
      <c r="G5" s="572"/>
      <c r="H5" s="29">
        <v>44746</v>
      </c>
      <c r="I5" s="30">
        <v>4929.5</v>
      </c>
      <c r="J5" s="37"/>
      <c r="K5" s="31"/>
      <c r="L5" s="9"/>
      <c r="M5" s="533">
        <v>62065.5</v>
      </c>
      <c r="N5" s="33">
        <v>40005</v>
      </c>
      <c r="O5" s="682" t="s">
        <v>1035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1027</v>
      </c>
      <c r="E6" s="27">
        <v>44747</v>
      </c>
      <c r="F6" s="28">
        <v>96271</v>
      </c>
      <c r="G6" s="572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0" t="s">
        <v>764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1028</v>
      </c>
      <c r="E7" s="27">
        <v>44748</v>
      </c>
      <c r="F7" s="28">
        <v>85317</v>
      </c>
      <c r="G7" s="572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0" t="s">
        <v>764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1029</v>
      </c>
      <c r="E8" s="27">
        <v>44749</v>
      </c>
      <c r="F8" s="28">
        <v>117714</v>
      </c>
      <c r="G8" s="572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0" t="s">
        <v>764</v>
      </c>
      <c r="P8" s="39">
        <f t="shared" ref="P8:P33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1030</v>
      </c>
      <c r="E9" s="27">
        <v>44750</v>
      </c>
      <c r="F9" s="28">
        <v>100306</v>
      </c>
      <c r="G9" s="572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0" t="s">
        <v>764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1031</v>
      </c>
      <c r="E10" s="27">
        <v>44751</v>
      </c>
      <c r="F10" s="28">
        <v>132964</v>
      </c>
      <c r="G10" s="572"/>
      <c r="H10" s="29">
        <v>44751</v>
      </c>
      <c r="I10" s="30">
        <v>12175</v>
      </c>
      <c r="J10" s="37">
        <v>44751</v>
      </c>
      <c r="K10" s="167" t="s">
        <v>1032</v>
      </c>
      <c r="L10" s="45">
        <v>18134</v>
      </c>
      <c r="M10" s="32">
        <f>43500+200</f>
        <v>43700</v>
      </c>
      <c r="N10" s="33">
        <v>52577</v>
      </c>
      <c r="O10" s="660" t="s">
        <v>764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1034</v>
      </c>
      <c r="E11" s="27">
        <v>44752</v>
      </c>
      <c r="F11" s="28">
        <v>83625</v>
      </c>
      <c r="G11" s="572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0" t="s">
        <v>764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>
        <v>18901</v>
      </c>
      <c r="D12" s="35" t="s">
        <v>1036</v>
      </c>
      <c r="E12" s="27">
        <v>44753</v>
      </c>
      <c r="F12" s="28">
        <v>98705</v>
      </c>
      <c r="G12" s="572"/>
      <c r="H12" s="29">
        <v>44753</v>
      </c>
      <c r="I12" s="30">
        <v>1170</v>
      </c>
      <c r="J12" s="37"/>
      <c r="K12" s="169"/>
      <c r="L12" s="39"/>
      <c r="M12" s="32">
        <f>42175</f>
        <v>42175</v>
      </c>
      <c r="N12" s="33">
        <v>36459</v>
      </c>
      <c r="O12" s="660" t="s">
        <v>764</v>
      </c>
      <c r="P12" s="39">
        <f t="shared" si="1"/>
        <v>98705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>
        <v>14752</v>
      </c>
      <c r="D13" s="42" t="s">
        <v>1037</v>
      </c>
      <c r="E13" s="27">
        <v>44754</v>
      </c>
      <c r="F13" s="28">
        <v>94269</v>
      </c>
      <c r="G13" s="572"/>
      <c r="H13" s="29">
        <v>44754</v>
      </c>
      <c r="I13" s="30">
        <v>3628</v>
      </c>
      <c r="J13" s="37"/>
      <c r="K13" s="38"/>
      <c r="L13" s="39"/>
      <c r="M13" s="32">
        <f>34935+1550</f>
        <v>36485</v>
      </c>
      <c r="N13" s="33">
        <v>39404</v>
      </c>
      <c r="O13" s="660" t="s">
        <v>764</v>
      </c>
      <c r="P13" s="39">
        <f t="shared" si="1"/>
        <v>94269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>
        <v>9603</v>
      </c>
      <c r="D14" s="40" t="s">
        <v>1038</v>
      </c>
      <c r="E14" s="27">
        <v>44755</v>
      </c>
      <c r="F14" s="28">
        <v>95496</v>
      </c>
      <c r="G14" s="572"/>
      <c r="H14" s="29">
        <v>44755</v>
      </c>
      <c r="I14" s="30">
        <v>1390</v>
      </c>
      <c r="J14" s="37"/>
      <c r="K14" s="38"/>
      <c r="L14" s="39"/>
      <c r="M14" s="32">
        <v>40724</v>
      </c>
      <c r="N14" s="33">
        <v>43779</v>
      </c>
      <c r="O14" s="681" t="s">
        <v>764</v>
      </c>
      <c r="P14" s="39">
        <f t="shared" si="1"/>
        <v>95496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>
        <v>17228</v>
      </c>
      <c r="D15" s="40" t="s">
        <v>1039</v>
      </c>
      <c r="E15" s="27">
        <v>44756</v>
      </c>
      <c r="F15" s="28">
        <v>91015</v>
      </c>
      <c r="G15" s="572"/>
      <c r="H15" s="29">
        <v>44756</v>
      </c>
      <c r="I15" s="30">
        <v>2244</v>
      </c>
      <c r="J15" s="37"/>
      <c r="K15" s="38"/>
      <c r="L15" s="39"/>
      <c r="M15" s="32">
        <v>49006</v>
      </c>
      <c r="N15" s="33">
        <v>22537</v>
      </c>
      <c r="O15" s="660" t="s">
        <v>764</v>
      </c>
      <c r="P15" s="39">
        <f t="shared" si="1"/>
        <v>91015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>
        <v>11698.5</v>
      </c>
      <c r="D16" s="35" t="s">
        <v>1040</v>
      </c>
      <c r="E16" s="27">
        <v>44757</v>
      </c>
      <c r="F16" s="28">
        <v>128377</v>
      </c>
      <c r="G16" s="572"/>
      <c r="H16" s="29">
        <v>44757</v>
      </c>
      <c r="I16" s="30">
        <v>1863</v>
      </c>
      <c r="J16" s="37"/>
      <c r="K16" s="169"/>
      <c r="L16" s="9"/>
      <c r="M16" s="32">
        <f>61056+936.5</f>
        <v>61992.5</v>
      </c>
      <c r="N16" s="33">
        <v>52823</v>
      </c>
      <c r="O16" s="660" t="s">
        <v>764</v>
      </c>
      <c r="P16" s="39">
        <f t="shared" si="1"/>
        <v>128377</v>
      </c>
      <c r="Q16" s="325">
        <f t="shared" si="0"/>
        <v>0</v>
      </c>
      <c r="R16" s="319">
        <v>0</v>
      </c>
    </row>
    <row r="17" spans="1:19" ht="18" thickBot="1" x14ac:dyDescent="0.35">
      <c r="A17" s="23"/>
      <c r="B17" s="24">
        <v>44758</v>
      </c>
      <c r="C17" s="25">
        <v>18820</v>
      </c>
      <c r="D17" s="42" t="s">
        <v>1041</v>
      </c>
      <c r="E17" s="27">
        <v>44758</v>
      </c>
      <c r="F17" s="28">
        <v>130337</v>
      </c>
      <c r="G17" s="572"/>
      <c r="H17" s="29">
        <v>44758</v>
      </c>
      <c r="I17" s="30">
        <v>4008</v>
      </c>
      <c r="J17" s="37">
        <v>44758</v>
      </c>
      <c r="K17" s="38" t="s">
        <v>1042</v>
      </c>
      <c r="L17" s="45">
        <v>19573</v>
      </c>
      <c r="M17" s="32">
        <f>32228.5+1009.5</f>
        <v>33238</v>
      </c>
      <c r="N17" s="33">
        <v>54698</v>
      </c>
      <c r="O17" s="577" t="s">
        <v>1045</v>
      </c>
      <c r="P17" s="39">
        <f t="shared" si="1"/>
        <v>130337</v>
      </c>
      <c r="Q17" s="325">
        <f t="shared" si="0"/>
        <v>0</v>
      </c>
      <c r="R17" s="319">
        <v>0</v>
      </c>
    </row>
    <row r="18" spans="1:19" ht="18" thickBot="1" x14ac:dyDescent="0.35">
      <c r="A18" s="23"/>
      <c r="B18" s="24">
        <v>44759</v>
      </c>
      <c r="C18" s="25">
        <v>13508</v>
      </c>
      <c r="D18" s="35" t="s">
        <v>1044</v>
      </c>
      <c r="E18" s="27">
        <v>44759</v>
      </c>
      <c r="F18" s="28">
        <v>128173</v>
      </c>
      <c r="G18" s="572"/>
      <c r="H18" s="29">
        <v>44759</v>
      </c>
      <c r="I18" s="30">
        <v>1634</v>
      </c>
      <c r="J18" s="37"/>
      <c r="K18" s="564"/>
      <c r="L18" s="39"/>
      <c r="M18" s="32">
        <v>83166</v>
      </c>
      <c r="N18" s="33">
        <v>29065</v>
      </c>
      <c r="O18" s="577" t="s">
        <v>1045</v>
      </c>
      <c r="P18" s="39">
        <f t="shared" si="1"/>
        <v>127373</v>
      </c>
      <c r="Q18" s="386">
        <f t="shared" si="0"/>
        <v>-800</v>
      </c>
      <c r="R18" s="319">
        <v>0</v>
      </c>
    </row>
    <row r="19" spans="1:19" ht="18" customHeight="1" thickBot="1" x14ac:dyDescent="0.35">
      <c r="A19" s="23"/>
      <c r="B19" s="24">
        <v>44760</v>
      </c>
      <c r="C19" s="25">
        <v>15257</v>
      </c>
      <c r="D19" s="35" t="s">
        <v>1046</v>
      </c>
      <c r="E19" s="27">
        <v>44760</v>
      </c>
      <c r="F19" s="28">
        <v>153702</v>
      </c>
      <c r="G19" s="572"/>
      <c r="H19" s="29">
        <v>44760</v>
      </c>
      <c r="I19" s="30">
        <v>1745</v>
      </c>
      <c r="J19" s="37"/>
      <c r="K19" s="46"/>
      <c r="L19" s="47"/>
      <c r="M19" s="32">
        <v>92159</v>
      </c>
      <c r="N19" s="33">
        <v>45141</v>
      </c>
      <c r="O19" s="577" t="s">
        <v>1045</v>
      </c>
      <c r="P19" s="39">
        <f t="shared" si="1"/>
        <v>154302</v>
      </c>
      <c r="Q19" s="325">
        <f t="shared" si="0"/>
        <v>600</v>
      </c>
      <c r="R19" s="319">
        <v>0</v>
      </c>
    </row>
    <row r="20" spans="1:19" ht="18" customHeight="1" thickBot="1" x14ac:dyDescent="0.35">
      <c r="A20" s="23"/>
      <c r="B20" s="24">
        <v>44761</v>
      </c>
      <c r="C20" s="25">
        <v>5532</v>
      </c>
      <c r="D20" s="35" t="s">
        <v>1047</v>
      </c>
      <c r="E20" s="27">
        <v>44761</v>
      </c>
      <c r="F20" s="28">
        <v>100478</v>
      </c>
      <c r="G20" s="572"/>
      <c r="H20" s="29">
        <v>44761</v>
      </c>
      <c r="I20" s="30">
        <v>3379</v>
      </c>
      <c r="J20" s="37"/>
      <c r="K20" s="171"/>
      <c r="L20" s="45"/>
      <c r="M20" s="32">
        <v>100000</v>
      </c>
      <c r="N20" s="33">
        <v>30790</v>
      </c>
      <c r="O20" s="657" t="s">
        <v>1049</v>
      </c>
      <c r="P20" s="39">
        <f t="shared" si="1"/>
        <v>139701</v>
      </c>
      <c r="Q20" s="685">
        <f t="shared" si="0"/>
        <v>39223</v>
      </c>
      <c r="R20" s="319">
        <v>0</v>
      </c>
    </row>
    <row r="21" spans="1:19" ht="18" thickBot="1" x14ac:dyDescent="0.35">
      <c r="A21" s="23"/>
      <c r="B21" s="24">
        <v>44762</v>
      </c>
      <c r="C21" s="25">
        <v>21598</v>
      </c>
      <c r="D21" s="35" t="s">
        <v>1048</v>
      </c>
      <c r="E21" s="27">
        <v>44762</v>
      </c>
      <c r="F21" s="28">
        <v>116923</v>
      </c>
      <c r="G21" s="572"/>
      <c r="H21" s="29">
        <v>44762</v>
      </c>
      <c r="I21" s="30">
        <v>1707</v>
      </c>
      <c r="J21" s="37"/>
      <c r="K21" s="565"/>
      <c r="L21" s="45"/>
      <c r="M21" s="32">
        <f>14700+14714</f>
        <v>29414</v>
      </c>
      <c r="N21" s="33">
        <v>31157</v>
      </c>
      <c r="O21" s="689" t="s">
        <v>1067</v>
      </c>
      <c r="P21" s="39">
        <f t="shared" si="1"/>
        <v>83876</v>
      </c>
      <c r="Q21" s="386">
        <f t="shared" si="0"/>
        <v>-33047</v>
      </c>
      <c r="R21" s="319">
        <v>0</v>
      </c>
    </row>
    <row r="22" spans="1:19" ht="18" thickBot="1" x14ac:dyDescent="0.35">
      <c r="A22" s="23"/>
      <c r="B22" s="24">
        <v>44763</v>
      </c>
      <c r="C22" s="25">
        <v>7375</v>
      </c>
      <c r="D22" s="35" t="s">
        <v>1050</v>
      </c>
      <c r="E22" s="27">
        <v>44763</v>
      </c>
      <c r="F22" s="28">
        <v>131922</v>
      </c>
      <c r="G22" s="572"/>
      <c r="H22" s="29">
        <v>44763</v>
      </c>
      <c r="I22" s="30">
        <v>3065</v>
      </c>
      <c r="J22" s="37"/>
      <c r="K22" s="31"/>
      <c r="L22" s="49"/>
      <c r="M22" s="32">
        <v>80325</v>
      </c>
      <c r="N22" s="33">
        <v>34984</v>
      </c>
      <c r="O22" s="660" t="s">
        <v>764</v>
      </c>
      <c r="P22" s="39">
        <f t="shared" si="1"/>
        <v>125749</v>
      </c>
      <c r="Q22" s="386">
        <f t="shared" si="0"/>
        <v>-6173</v>
      </c>
      <c r="R22" s="319">
        <v>0</v>
      </c>
    </row>
    <row r="23" spans="1:19" ht="18" customHeight="1" thickBot="1" x14ac:dyDescent="0.35">
      <c r="A23" s="23"/>
      <c r="B23" s="24">
        <v>44764</v>
      </c>
      <c r="C23" s="25">
        <v>11382</v>
      </c>
      <c r="D23" s="35" t="s">
        <v>1051</v>
      </c>
      <c r="E23" s="27">
        <v>44764</v>
      </c>
      <c r="F23" s="28">
        <v>80421</v>
      </c>
      <c r="G23" s="572"/>
      <c r="H23" s="29">
        <v>44764</v>
      </c>
      <c r="I23" s="30">
        <v>3798</v>
      </c>
      <c r="J23" s="50" t="s">
        <v>7</v>
      </c>
      <c r="K23" s="172"/>
      <c r="L23" s="45"/>
      <c r="M23" s="32">
        <v>40907</v>
      </c>
      <c r="N23" s="33">
        <v>24334</v>
      </c>
      <c r="O23" s="660" t="s">
        <v>764</v>
      </c>
      <c r="P23" s="39">
        <f t="shared" si="1"/>
        <v>80421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44765</v>
      </c>
      <c r="C24" s="25">
        <v>11080.5</v>
      </c>
      <c r="D24" s="42" t="s">
        <v>1052</v>
      </c>
      <c r="E24" s="27">
        <v>44765</v>
      </c>
      <c r="F24" s="28">
        <v>158449</v>
      </c>
      <c r="G24" s="572"/>
      <c r="H24" s="29">
        <v>44765</v>
      </c>
      <c r="I24" s="30">
        <v>6764</v>
      </c>
      <c r="J24" s="51">
        <v>44765</v>
      </c>
      <c r="K24" s="173" t="s">
        <v>1053</v>
      </c>
      <c r="L24" s="52">
        <v>20533</v>
      </c>
      <c r="M24" s="32">
        <v>72303.5</v>
      </c>
      <c r="N24" s="33">
        <v>47768</v>
      </c>
      <c r="O24" s="660" t="s">
        <v>764</v>
      </c>
      <c r="P24" s="39">
        <f>N24+M24+L24+I24+C24</f>
        <v>158449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44766</v>
      </c>
      <c r="C25" s="25">
        <v>15427</v>
      </c>
      <c r="D25" s="35" t="s">
        <v>1055</v>
      </c>
      <c r="E25" s="27">
        <v>44766</v>
      </c>
      <c r="F25" s="28">
        <v>82806</v>
      </c>
      <c r="G25" s="572"/>
      <c r="H25" s="29">
        <v>44766</v>
      </c>
      <c r="I25" s="30">
        <v>2454</v>
      </c>
      <c r="J25" s="50"/>
      <c r="K25" s="38"/>
      <c r="L25" s="54"/>
      <c r="M25" s="32">
        <v>36105</v>
      </c>
      <c r="N25" s="33">
        <v>28820</v>
      </c>
      <c r="O25" s="660" t="s">
        <v>764</v>
      </c>
      <c r="P25" s="283">
        <f t="shared" si="1"/>
        <v>82806</v>
      </c>
      <c r="Q25" s="325">
        <f t="shared" si="0"/>
        <v>0</v>
      </c>
      <c r="R25" s="319" t="s">
        <v>7</v>
      </c>
    </row>
    <row r="26" spans="1:19" ht="18" thickBot="1" x14ac:dyDescent="0.35">
      <c r="A26" s="23"/>
      <c r="B26" s="24">
        <v>44767</v>
      </c>
      <c r="C26" s="25">
        <v>49226</v>
      </c>
      <c r="D26" s="35" t="s">
        <v>1056</v>
      </c>
      <c r="E26" s="27">
        <v>44767</v>
      </c>
      <c r="F26" s="28">
        <v>902338</v>
      </c>
      <c r="G26" s="572"/>
      <c r="H26" s="29">
        <v>44767</v>
      </c>
      <c r="I26" s="30">
        <v>1301</v>
      </c>
      <c r="J26" s="37">
        <v>44767</v>
      </c>
      <c r="K26" s="686" t="s">
        <v>1057</v>
      </c>
      <c r="L26" s="687">
        <v>869292.83</v>
      </c>
      <c r="M26" s="32">
        <f>789401+3510</f>
        <v>792911</v>
      </c>
      <c r="N26" s="33">
        <v>58900</v>
      </c>
      <c r="O26" s="660" t="s">
        <v>764</v>
      </c>
      <c r="P26" s="283">
        <f t="shared" si="1"/>
        <v>1771630.83</v>
      </c>
      <c r="Q26" s="325">
        <v>0</v>
      </c>
      <c r="R26" s="389">
        <v>869292.83</v>
      </c>
    </row>
    <row r="27" spans="1:19" ht="18" customHeight="1" thickBot="1" x14ac:dyDescent="0.35">
      <c r="A27" s="23"/>
      <c r="B27" s="24">
        <v>44768</v>
      </c>
      <c r="C27" s="25">
        <v>3967</v>
      </c>
      <c r="D27" s="42" t="s">
        <v>1058</v>
      </c>
      <c r="E27" s="27">
        <v>44768</v>
      </c>
      <c r="F27" s="28">
        <v>116279</v>
      </c>
      <c r="G27" s="572"/>
      <c r="H27" s="29">
        <v>44768</v>
      </c>
      <c r="I27" s="30">
        <v>1764</v>
      </c>
      <c r="J27" s="55">
        <v>44768</v>
      </c>
      <c r="K27" s="732" t="s">
        <v>1146</v>
      </c>
      <c r="L27" s="54">
        <v>50000</v>
      </c>
      <c r="M27" s="32">
        <v>17556</v>
      </c>
      <c r="N27" s="33">
        <v>42992</v>
      </c>
      <c r="O27" s="660" t="s">
        <v>764</v>
      </c>
      <c r="P27" s="283">
        <f t="shared" si="1"/>
        <v>116279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44769</v>
      </c>
      <c r="C28" s="25">
        <v>15785</v>
      </c>
      <c r="D28" s="42" t="s">
        <v>1059</v>
      </c>
      <c r="E28" s="27">
        <v>44769</v>
      </c>
      <c r="F28" s="28">
        <v>91203</v>
      </c>
      <c r="G28" s="572"/>
      <c r="H28" s="29">
        <v>44769</v>
      </c>
      <c r="I28" s="30">
        <v>1610</v>
      </c>
      <c r="J28" s="56"/>
      <c r="K28" s="57"/>
      <c r="L28" s="54"/>
      <c r="M28" s="32">
        <v>41640</v>
      </c>
      <c r="N28" s="33">
        <v>32168</v>
      </c>
      <c r="O28" s="660" t="s">
        <v>764</v>
      </c>
      <c r="P28" s="283">
        <f t="shared" si="1"/>
        <v>91203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44770</v>
      </c>
      <c r="C29" s="25">
        <v>22377</v>
      </c>
      <c r="D29" s="58" t="s">
        <v>1060</v>
      </c>
      <c r="E29" s="27">
        <v>44770</v>
      </c>
      <c r="F29" s="28">
        <v>109445</v>
      </c>
      <c r="G29" s="572"/>
      <c r="H29" s="29">
        <v>44770</v>
      </c>
      <c r="I29" s="30">
        <v>1705.5</v>
      </c>
      <c r="J29" s="59"/>
      <c r="K29" s="175"/>
      <c r="L29" s="54"/>
      <c r="M29" s="32">
        <v>37988.5</v>
      </c>
      <c r="N29" s="33">
        <v>47374</v>
      </c>
      <c r="O29" s="660" t="s">
        <v>764</v>
      </c>
      <c r="P29" s="283">
        <f t="shared" si="1"/>
        <v>109445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44771</v>
      </c>
      <c r="C30" s="25">
        <v>7542</v>
      </c>
      <c r="D30" s="58" t="s">
        <v>1061</v>
      </c>
      <c r="E30" s="27">
        <v>44771</v>
      </c>
      <c r="F30" s="28">
        <v>110277</v>
      </c>
      <c r="G30" s="572"/>
      <c r="H30" s="29">
        <v>44771</v>
      </c>
      <c r="I30" s="30">
        <v>1936</v>
      </c>
      <c r="J30" s="56"/>
      <c r="K30" s="38"/>
      <c r="L30" s="39"/>
      <c r="M30" s="32">
        <v>56000</v>
      </c>
      <c r="N30" s="33">
        <v>44801</v>
      </c>
      <c r="O30" s="660" t="s">
        <v>764</v>
      </c>
      <c r="P30" s="283">
        <f t="shared" si="1"/>
        <v>110279</v>
      </c>
      <c r="Q30" s="325" t="s">
        <v>1062</v>
      </c>
      <c r="R30" s="319">
        <v>0</v>
      </c>
    </row>
    <row r="31" spans="1:19" ht="26.25" thickBot="1" x14ac:dyDescent="0.35">
      <c r="A31" s="23"/>
      <c r="B31" s="24">
        <v>44772</v>
      </c>
      <c r="C31" s="25">
        <v>8919</v>
      </c>
      <c r="D31" s="67" t="s">
        <v>1063</v>
      </c>
      <c r="E31" s="27">
        <v>44772</v>
      </c>
      <c r="F31" s="28">
        <v>128622</v>
      </c>
      <c r="G31" s="572"/>
      <c r="H31" s="29">
        <v>44772</v>
      </c>
      <c r="I31" s="30">
        <v>2688</v>
      </c>
      <c r="J31" s="56">
        <v>44772</v>
      </c>
      <c r="K31" s="566" t="s">
        <v>1064</v>
      </c>
      <c r="L31" s="54">
        <v>22490</v>
      </c>
      <c r="M31" s="32">
        <v>50983</v>
      </c>
      <c r="N31" s="33">
        <v>43542</v>
      </c>
      <c r="O31" s="660" t="s">
        <v>764</v>
      </c>
      <c r="P31" s="34">
        <f t="shared" si="1"/>
        <v>128622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44773</v>
      </c>
      <c r="C32" s="25">
        <v>8964</v>
      </c>
      <c r="D32" s="64" t="s">
        <v>1066</v>
      </c>
      <c r="E32" s="27">
        <v>44773</v>
      </c>
      <c r="F32" s="28">
        <v>86594</v>
      </c>
      <c r="G32" s="572"/>
      <c r="H32" s="29">
        <v>44773</v>
      </c>
      <c r="I32" s="30">
        <v>0</v>
      </c>
      <c r="J32" s="56">
        <v>44773</v>
      </c>
      <c r="K32" s="38" t="s">
        <v>1064</v>
      </c>
      <c r="L32" s="39">
        <v>200</v>
      </c>
      <c r="M32" s="32">
        <v>46721</v>
      </c>
      <c r="N32" s="33">
        <v>30709</v>
      </c>
      <c r="O32" s="660" t="s">
        <v>764</v>
      </c>
      <c r="P32" s="34">
        <f t="shared" si="1"/>
        <v>86594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57">
        <v>44751</v>
      </c>
      <c r="K34" s="567" t="s">
        <v>1033</v>
      </c>
      <c r="L34" s="9">
        <v>19463.41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44743</v>
      </c>
      <c r="C35" s="690">
        <v>200000</v>
      </c>
      <c r="D35" s="67" t="s">
        <v>1024</v>
      </c>
      <c r="E35" s="27"/>
      <c r="F35" s="28"/>
      <c r="G35" s="572"/>
      <c r="H35" s="29"/>
      <c r="I35" s="30"/>
      <c r="J35" s="557">
        <v>44758</v>
      </c>
      <c r="K35" s="568" t="s">
        <v>1043</v>
      </c>
      <c r="L35" s="69">
        <v>19849.560000000001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44746</v>
      </c>
      <c r="C36" s="693">
        <v>5681.25</v>
      </c>
      <c r="D36" s="696" t="s">
        <v>1114</v>
      </c>
      <c r="E36" s="27"/>
      <c r="F36" s="28"/>
      <c r="G36" s="662"/>
      <c r="H36" s="29"/>
      <c r="I36" s="30"/>
      <c r="J36" s="557">
        <v>44765</v>
      </c>
      <c r="K36" s="688" t="s">
        <v>1054</v>
      </c>
      <c r="L36" s="9">
        <v>18868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44747</v>
      </c>
      <c r="C37" s="692">
        <v>96768</v>
      </c>
      <c r="D37" s="695" t="s">
        <v>49</v>
      </c>
      <c r="E37" s="27"/>
      <c r="F37" s="28"/>
      <c r="G37" s="662"/>
      <c r="H37" s="29"/>
      <c r="I37" s="30"/>
      <c r="J37" s="56">
        <v>44772</v>
      </c>
      <c r="K37" s="57" t="s">
        <v>1065</v>
      </c>
      <c r="L37" s="39">
        <v>19092.5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44747</v>
      </c>
      <c r="C38" s="692">
        <v>187187.20000000001</v>
      </c>
      <c r="D38" s="695" t="s">
        <v>49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44748</v>
      </c>
      <c r="C39" s="692">
        <v>26640</v>
      </c>
      <c r="D39" s="695" t="s">
        <v>1115</v>
      </c>
      <c r="E39" s="27"/>
      <c r="F39" s="508"/>
      <c r="G39" s="662"/>
      <c r="H39" s="29"/>
      <c r="I39" s="71"/>
      <c r="J39" s="56">
        <v>44746</v>
      </c>
      <c r="K39" s="663" t="s">
        <v>1098</v>
      </c>
      <c r="L39" s="39">
        <v>5738.11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44753</v>
      </c>
      <c r="C40" s="692">
        <v>5337.5</v>
      </c>
      <c r="D40" s="696" t="s">
        <v>1103</v>
      </c>
      <c r="E40" s="27"/>
      <c r="F40" s="70"/>
      <c r="G40" s="572"/>
      <c r="H40" s="36"/>
      <c r="I40" s="71"/>
      <c r="J40" s="56">
        <v>44747</v>
      </c>
      <c r="K40" s="38" t="s">
        <v>1099</v>
      </c>
      <c r="L40" s="39">
        <v>5714.55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44757</v>
      </c>
      <c r="C41" s="692">
        <v>200000</v>
      </c>
      <c r="D41" s="697" t="s">
        <v>49</v>
      </c>
      <c r="E41" s="74"/>
      <c r="F41" s="75"/>
      <c r="G41" s="572"/>
      <c r="H41" s="76"/>
      <c r="I41" s="77"/>
      <c r="J41" s="56">
        <v>44749</v>
      </c>
      <c r="K41" s="661" t="s">
        <v>1101</v>
      </c>
      <c r="L41" s="39">
        <v>3442.5</v>
      </c>
      <c r="M41" s="925">
        <f>SUM(M5:M40)</f>
        <v>2180659.5</v>
      </c>
      <c r="N41" s="925">
        <f>SUM(N5:N40)</f>
        <v>1072718</v>
      </c>
      <c r="P41" s="505">
        <f>SUM(P5:P40)</f>
        <v>4807723.83</v>
      </c>
      <c r="Q41" s="979">
        <f>SUM(Q5:Q40)</f>
        <v>12</v>
      </c>
    </row>
    <row r="42" spans="1:18" ht="18" thickBot="1" x14ac:dyDescent="0.35">
      <c r="A42" s="23"/>
      <c r="B42" s="24">
        <v>44761</v>
      </c>
      <c r="C42" s="692">
        <v>189760</v>
      </c>
      <c r="D42" s="697" t="s">
        <v>49</v>
      </c>
      <c r="E42" s="74"/>
      <c r="F42" s="75"/>
      <c r="G42" s="572"/>
      <c r="H42" s="76"/>
      <c r="I42" s="77"/>
      <c r="J42" s="698">
        <v>44750</v>
      </c>
      <c r="K42" s="701" t="s">
        <v>1102</v>
      </c>
      <c r="L42" s="702">
        <v>28000</v>
      </c>
      <c r="M42" s="926"/>
      <c r="N42" s="926"/>
      <c r="P42" s="34"/>
      <c r="Q42" s="980"/>
    </row>
    <row r="43" spans="1:18" ht="18" thickBot="1" x14ac:dyDescent="0.35">
      <c r="A43" s="23"/>
      <c r="B43" s="24">
        <v>44762</v>
      </c>
      <c r="C43" s="692">
        <v>379843.2</v>
      </c>
      <c r="D43" s="697" t="s">
        <v>1109</v>
      </c>
      <c r="E43" s="74"/>
      <c r="F43" s="75"/>
      <c r="G43" s="572"/>
      <c r="H43" s="76"/>
      <c r="I43" s="77"/>
      <c r="J43" s="56">
        <v>44750</v>
      </c>
      <c r="K43" s="38" t="s">
        <v>1100</v>
      </c>
      <c r="L43" s="39">
        <v>1856</v>
      </c>
      <c r="M43" s="680"/>
      <c r="N43" s="680"/>
      <c r="P43" s="34"/>
      <c r="Q43" s="13"/>
    </row>
    <row r="44" spans="1:18" ht="18" thickBot="1" x14ac:dyDescent="0.35">
      <c r="A44" s="23"/>
      <c r="B44" s="24">
        <v>44768</v>
      </c>
      <c r="C44" s="692">
        <v>18528.64</v>
      </c>
      <c r="D44" s="697" t="s">
        <v>1112</v>
      </c>
      <c r="E44" s="74"/>
      <c r="F44" s="75"/>
      <c r="G44" s="572"/>
      <c r="H44" s="76"/>
      <c r="I44" s="77"/>
      <c r="J44" s="56">
        <v>44753</v>
      </c>
      <c r="K44" s="38" t="s">
        <v>1104</v>
      </c>
      <c r="L44" s="39">
        <v>2521.11</v>
      </c>
      <c r="M44" s="680"/>
      <c r="N44" s="68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44754</v>
      </c>
      <c r="K45" s="38" t="s">
        <v>1105</v>
      </c>
      <c r="L45" s="39">
        <v>1061.9100000000001</v>
      </c>
      <c r="M45" s="981">
        <f>M41+N41</f>
        <v>3253377.5</v>
      </c>
      <c r="N45" s="982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44755</v>
      </c>
      <c r="K46" s="38" t="s">
        <v>1098</v>
      </c>
      <c r="L46" s="39">
        <v>5071.04</v>
      </c>
      <c r="M46" s="680"/>
      <c r="N46" s="68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44755</v>
      </c>
      <c r="K47" s="38" t="s">
        <v>1106</v>
      </c>
      <c r="L47" s="39">
        <v>10440</v>
      </c>
      <c r="M47" s="680"/>
      <c r="N47" s="68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56">
        <v>44757</v>
      </c>
      <c r="K48" s="38" t="s">
        <v>1107</v>
      </c>
      <c r="L48" s="39">
        <v>549</v>
      </c>
      <c r="M48" s="680"/>
      <c r="N48" s="68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44760</v>
      </c>
      <c r="K49" s="38" t="s">
        <v>1108</v>
      </c>
      <c r="L49" s="69">
        <v>42467.6</v>
      </c>
      <c r="M49" s="680"/>
      <c r="N49" s="68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44760</v>
      </c>
      <c r="K50" s="38" t="s">
        <v>1098</v>
      </c>
      <c r="L50" s="69">
        <v>8328.08</v>
      </c>
      <c r="M50" s="680"/>
      <c r="N50" s="68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44762</v>
      </c>
      <c r="K51" s="38" t="s">
        <v>1110</v>
      </c>
      <c r="L51" s="69">
        <v>4006.5</v>
      </c>
      <c r="M51" s="680"/>
      <c r="N51" s="68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44762</v>
      </c>
      <c r="K52" s="38" t="s">
        <v>1111</v>
      </c>
      <c r="L52" s="69">
        <v>2320</v>
      </c>
      <c r="M52" s="680"/>
      <c r="N52" s="680"/>
      <c r="P52" s="34"/>
      <c r="Q52" s="13"/>
    </row>
    <row r="53" spans="1:17" ht="18" thickBot="1" x14ac:dyDescent="0.35">
      <c r="A53" s="23"/>
      <c r="B53" s="24"/>
      <c r="C53" s="692">
        <v>0</v>
      </c>
      <c r="D53" s="73"/>
      <c r="E53" s="74"/>
      <c r="F53" s="75"/>
      <c r="G53" s="572"/>
      <c r="H53" s="76"/>
      <c r="I53" s="77"/>
      <c r="J53" s="601">
        <v>44764</v>
      </c>
      <c r="K53" s="38" t="s">
        <v>1102</v>
      </c>
      <c r="L53" s="69">
        <v>28000</v>
      </c>
      <c r="M53" s="680"/>
      <c r="N53" s="680"/>
      <c r="P53" s="34"/>
      <c r="Q53" s="13"/>
    </row>
    <row r="54" spans="1:17" ht="18" thickBot="1" x14ac:dyDescent="0.35">
      <c r="A54" s="23"/>
      <c r="B54" s="24"/>
      <c r="C54" s="694">
        <v>0</v>
      </c>
      <c r="D54" s="73"/>
      <c r="E54" s="74"/>
      <c r="F54" s="75"/>
      <c r="G54" s="572"/>
      <c r="H54" s="76"/>
      <c r="I54" s="77"/>
      <c r="J54" s="601">
        <v>44767</v>
      </c>
      <c r="K54" s="38" t="s">
        <v>1098</v>
      </c>
      <c r="L54" s="69">
        <v>6204.65</v>
      </c>
      <c r="M54" s="680"/>
      <c r="N54" s="680"/>
      <c r="P54" s="34"/>
      <c r="Q54" s="13"/>
    </row>
    <row r="55" spans="1:17" ht="18.75" thickTop="1" thickBot="1" x14ac:dyDescent="0.35">
      <c r="A55" s="23"/>
      <c r="B55" s="24"/>
      <c r="C55" s="691">
        <v>0</v>
      </c>
      <c r="D55" s="73"/>
      <c r="E55" s="74"/>
      <c r="F55" s="75"/>
      <c r="G55" s="572"/>
      <c r="H55" s="76"/>
      <c r="I55" s="77"/>
      <c r="J55" s="601">
        <v>44767</v>
      </c>
      <c r="K55" s="38" t="s">
        <v>973</v>
      </c>
      <c r="L55" s="69">
        <v>40412.400000000001</v>
      </c>
      <c r="M55" s="680"/>
      <c r="N55" s="680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>
        <v>44771</v>
      </c>
      <c r="K56" s="38" t="s">
        <v>840</v>
      </c>
      <c r="L56" s="69">
        <v>1126.45</v>
      </c>
      <c r="M56" s="680"/>
      <c r="N56" s="680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>
        <v>44771</v>
      </c>
      <c r="K57" s="38" t="s">
        <v>1113</v>
      </c>
      <c r="L57" s="69">
        <v>4640</v>
      </c>
      <c r="M57" s="680"/>
      <c r="N57" s="680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99">
        <v>44771</v>
      </c>
      <c r="K58" s="623" t="s">
        <v>1116</v>
      </c>
      <c r="L58" s="703">
        <v>24956.78</v>
      </c>
      <c r="M58" s="680"/>
      <c r="N58" s="680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466"/>
      <c r="K59" s="700"/>
      <c r="L59" s="54"/>
      <c r="M59" s="680"/>
      <c r="N59" s="680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1783150.7899999998</v>
      </c>
      <c r="D67" s="88"/>
      <c r="E67" s="91" t="s">
        <v>8</v>
      </c>
      <c r="F67" s="90">
        <f>SUM(F5:F60)</f>
        <v>3872840</v>
      </c>
      <c r="G67" s="573"/>
      <c r="H67" s="91" t="s">
        <v>9</v>
      </c>
      <c r="I67" s="92">
        <f>SUM(I5:I60)</f>
        <v>80718.5</v>
      </c>
      <c r="J67" s="93"/>
      <c r="K67" s="94" t="s">
        <v>10</v>
      </c>
      <c r="L67" s="95">
        <f>SUM(L5:L65)-L26</f>
        <v>435060.15000000026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80" t="s">
        <v>11</v>
      </c>
      <c r="I69" s="881"/>
      <c r="J69" s="559"/>
      <c r="K69" s="1013">
        <f>I67+L67</f>
        <v>515778.65000000026</v>
      </c>
      <c r="L69" s="1014"/>
      <c r="M69" s="272"/>
      <c r="N69" s="272"/>
      <c r="P69" s="34"/>
      <c r="Q69" s="13"/>
    </row>
    <row r="70" spans="1:17" x14ac:dyDescent="0.25">
      <c r="D70" s="886" t="s">
        <v>12</v>
      </c>
      <c r="E70" s="886"/>
      <c r="F70" s="312">
        <f>F67-K69-C67</f>
        <v>1573910.5599999998</v>
      </c>
      <c r="I70" s="102"/>
      <c r="J70" s="560"/>
    </row>
    <row r="71" spans="1:17" ht="18.75" x14ac:dyDescent="0.3">
      <c r="D71" s="916" t="s">
        <v>95</v>
      </c>
      <c r="E71" s="916"/>
      <c r="F71" s="111">
        <v>-1727771.26</v>
      </c>
      <c r="I71" s="887" t="s">
        <v>13</v>
      </c>
      <c r="J71" s="888"/>
      <c r="K71" s="889">
        <f>F73+F74+F75</f>
        <v>2141254.8899999997</v>
      </c>
      <c r="L71" s="889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-128507.5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-282368.20000000019</v>
      </c>
      <c r="H73" s="555"/>
      <c r="I73" s="108" t="s">
        <v>15</v>
      </c>
      <c r="J73" s="109"/>
      <c r="K73" s="1015">
        <f>-C4</f>
        <v>-2355426.54</v>
      </c>
      <c r="L73" s="889"/>
    </row>
    <row r="74" spans="1:17" ht="16.5" thickBot="1" x14ac:dyDescent="0.3">
      <c r="D74" s="110" t="s">
        <v>16</v>
      </c>
      <c r="E74" s="98" t="s">
        <v>17</v>
      </c>
      <c r="F74" s="111">
        <v>148970</v>
      </c>
    </row>
    <row r="75" spans="1:17" ht="20.25" thickTop="1" thickBot="1" x14ac:dyDescent="0.35">
      <c r="C75" s="112">
        <v>44773</v>
      </c>
      <c r="D75" s="869" t="s">
        <v>18</v>
      </c>
      <c r="E75" s="870"/>
      <c r="F75" s="113">
        <v>2274653.09</v>
      </c>
      <c r="I75" s="1010" t="s">
        <v>97</v>
      </c>
      <c r="J75" s="1011"/>
      <c r="K75" s="1012">
        <f>K71+K73</f>
        <v>-214171.65000000037</v>
      </c>
      <c r="L75" s="1012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35:D44">
    <sortCondition ref="B35:B44"/>
  </sortState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tabSelected="1" topLeftCell="C16" workbookViewId="0">
      <selection activeCell="L40" sqref="L40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44746</v>
      </c>
      <c r="B3" s="246" t="s">
        <v>1068</v>
      </c>
      <c r="C3" s="111">
        <v>67911.399999999994</v>
      </c>
      <c r="D3" s="736">
        <v>44799</v>
      </c>
      <c r="E3" s="737">
        <v>67911.399999999994</v>
      </c>
      <c r="F3" s="410">
        <f>C3-E3</f>
        <v>0</v>
      </c>
      <c r="H3" s="704" t="s">
        <v>1117</v>
      </c>
      <c r="I3" s="705">
        <v>9701</v>
      </c>
      <c r="J3" s="706">
        <v>18214.599999999999</v>
      </c>
      <c r="K3" s="720">
        <v>44766</v>
      </c>
      <c r="L3" s="722">
        <v>18214.599999999999</v>
      </c>
      <c r="M3" s="183">
        <f>J3-L3</f>
        <v>0</v>
      </c>
    </row>
    <row r="4" spans="1:13" ht="18.75" x14ac:dyDescent="0.3">
      <c r="A4" s="454">
        <v>44746</v>
      </c>
      <c r="B4" s="246" t="s">
        <v>1069</v>
      </c>
      <c r="C4" s="111">
        <v>73363.8</v>
      </c>
      <c r="D4" s="736">
        <v>44799</v>
      </c>
      <c r="E4" s="737">
        <v>73363.8</v>
      </c>
      <c r="F4" s="544">
        <f t="shared" ref="F4:F65" si="0">C4-E4</f>
        <v>0</v>
      </c>
      <c r="G4" s="138"/>
      <c r="H4" s="704" t="s">
        <v>1118</v>
      </c>
      <c r="I4" s="705">
        <v>9713</v>
      </c>
      <c r="J4" s="706">
        <v>2634.6</v>
      </c>
      <c r="K4" s="720">
        <v>44766</v>
      </c>
      <c r="L4" s="722">
        <v>2634.6</v>
      </c>
      <c r="M4" s="137">
        <f>M3+J4-L4</f>
        <v>0</v>
      </c>
    </row>
    <row r="5" spans="1:13" ht="17.25" x14ac:dyDescent="0.3">
      <c r="A5" s="454">
        <v>44747</v>
      </c>
      <c r="B5" s="246" t="s">
        <v>1070</v>
      </c>
      <c r="C5" s="111">
        <v>31164.35</v>
      </c>
      <c r="D5" s="736">
        <v>44799</v>
      </c>
      <c r="E5" s="737">
        <v>31164.35</v>
      </c>
      <c r="F5" s="544">
        <f t="shared" si="0"/>
        <v>0</v>
      </c>
      <c r="H5" s="704" t="s">
        <v>1119</v>
      </c>
      <c r="I5" s="705">
        <v>9719</v>
      </c>
      <c r="J5" s="706">
        <v>370</v>
      </c>
      <c r="K5" s="720">
        <v>44766</v>
      </c>
      <c r="L5" s="722">
        <v>370</v>
      </c>
      <c r="M5" s="137">
        <f t="shared" ref="M5:M65" si="1">M4+J5-L5</f>
        <v>0</v>
      </c>
    </row>
    <row r="6" spans="1:13" ht="17.25" x14ac:dyDescent="0.3">
      <c r="A6" s="454">
        <v>44748</v>
      </c>
      <c r="B6" s="246" t="s">
        <v>1071</v>
      </c>
      <c r="C6" s="111">
        <v>58616</v>
      </c>
      <c r="D6" s="736">
        <v>44799</v>
      </c>
      <c r="E6" s="737">
        <v>58616</v>
      </c>
      <c r="F6" s="544">
        <f t="shared" si="0"/>
        <v>0</v>
      </c>
      <c r="H6" s="704" t="s">
        <v>1120</v>
      </c>
      <c r="I6" s="705">
        <v>9736</v>
      </c>
      <c r="J6" s="706">
        <v>10040</v>
      </c>
      <c r="K6" s="720">
        <v>44766</v>
      </c>
      <c r="L6" s="722">
        <v>10040</v>
      </c>
      <c r="M6" s="137">
        <f t="shared" si="1"/>
        <v>0</v>
      </c>
    </row>
    <row r="7" spans="1:13" ht="17.25" x14ac:dyDescent="0.3">
      <c r="A7" s="454">
        <v>44749</v>
      </c>
      <c r="B7" s="246" t="s">
        <v>1072</v>
      </c>
      <c r="C7" s="111">
        <v>106705.96</v>
      </c>
      <c r="D7" s="736">
        <v>44799</v>
      </c>
      <c r="E7" s="737">
        <v>106705.96</v>
      </c>
      <c r="F7" s="544">
        <f t="shared" si="0"/>
        <v>0</v>
      </c>
      <c r="H7" s="704" t="s">
        <v>1121</v>
      </c>
      <c r="I7" s="705">
        <v>9745</v>
      </c>
      <c r="J7" s="706">
        <v>4921.2</v>
      </c>
      <c r="K7" s="720">
        <v>44766</v>
      </c>
      <c r="L7" s="722">
        <v>4921.2</v>
      </c>
      <c r="M7" s="137">
        <f t="shared" si="1"/>
        <v>0</v>
      </c>
    </row>
    <row r="8" spans="1:13" ht="17.25" x14ac:dyDescent="0.3">
      <c r="A8" s="454">
        <v>44750</v>
      </c>
      <c r="B8" s="246" t="s">
        <v>1073</v>
      </c>
      <c r="C8" s="111">
        <v>68357.89</v>
      </c>
      <c r="D8" s="736">
        <v>44799</v>
      </c>
      <c r="E8" s="737">
        <v>68357.89</v>
      </c>
      <c r="F8" s="544">
        <f t="shared" si="0"/>
        <v>0</v>
      </c>
      <c r="H8" s="704" t="s">
        <v>1122</v>
      </c>
      <c r="I8" s="705">
        <v>9756</v>
      </c>
      <c r="J8" s="706">
        <v>6859</v>
      </c>
      <c r="K8" s="720">
        <v>44766</v>
      </c>
      <c r="L8" s="722">
        <v>6859</v>
      </c>
      <c r="M8" s="137">
        <f t="shared" si="1"/>
        <v>0</v>
      </c>
    </row>
    <row r="9" spans="1:13" ht="17.25" x14ac:dyDescent="0.3">
      <c r="A9" s="454">
        <v>44751</v>
      </c>
      <c r="B9" s="246" t="s">
        <v>1074</v>
      </c>
      <c r="C9" s="111">
        <v>39927.050000000003</v>
      </c>
      <c r="D9" s="736">
        <v>44799</v>
      </c>
      <c r="E9" s="737">
        <v>39927.050000000003</v>
      </c>
      <c r="F9" s="544">
        <f t="shared" si="0"/>
        <v>0</v>
      </c>
      <c r="H9" s="704" t="s">
        <v>1122</v>
      </c>
      <c r="I9" s="705">
        <v>9764</v>
      </c>
      <c r="J9" s="706">
        <v>9300</v>
      </c>
      <c r="K9" s="720">
        <v>44766</v>
      </c>
      <c r="L9" s="722">
        <v>9300</v>
      </c>
      <c r="M9" s="137">
        <f t="shared" si="1"/>
        <v>0</v>
      </c>
    </row>
    <row r="10" spans="1:13" ht="18.75" x14ac:dyDescent="0.3">
      <c r="A10" s="454">
        <v>44753</v>
      </c>
      <c r="B10" s="246" t="s">
        <v>1075</v>
      </c>
      <c r="C10" s="111">
        <v>121513</v>
      </c>
      <c r="D10" s="736">
        <v>44799</v>
      </c>
      <c r="E10" s="737">
        <v>121513</v>
      </c>
      <c r="F10" s="544">
        <f t="shared" si="0"/>
        <v>0</v>
      </c>
      <c r="G10" s="138"/>
      <c r="H10" s="704" t="s">
        <v>1123</v>
      </c>
      <c r="I10" s="705">
        <v>9765</v>
      </c>
      <c r="J10" s="706">
        <v>0</v>
      </c>
      <c r="K10" s="720">
        <v>44766</v>
      </c>
      <c r="L10" s="722">
        <v>0</v>
      </c>
      <c r="M10" s="137">
        <f t="shared" si="1"/>
        <v>0</v>
      </c>
    </row>
    <row r="11" spans="1:13" ht="17.25" x14ac:dyDescent="0.3">
      <c r="A11" s="454">
        <v>44754</v>
      </c>
      <c r="B11" s="246" t="s">
        <v>1076</v>
      </c>
      <c r="C11" s="111">
        <v>60297.8</v>
      </c>
      <c r="D11" s="736">
        <v>44799</v>
      </c>
      <c r="E11" s="737">
        <v>60297.8</v>
      </c>
      <c r="F11" s="544">
        <f t="shared" si="0"/>
        <v>0</v>
      </c>
      <c r="H11" s="704" t="s">
        <v>1123</v>
      </c>
      <c r="I11" s="705">
        <v>9767</v>
      </c>
      <c r="J11" s="706">
        <v>20290</v>
      </c>
      <c r="K11" s="720">
        <v>44766</v>
      </c>
      <c r="L11" s="722">
        <v>20290</v>
      </c>
      <c r="M11" s="137">
        <f t="shared" si="1"/>
        <v>0</v>
      </c>
    </row>
    <row r="12" spans="1:13" ht="17.25" x14ac:dyDescent="0.3">
      <c r="A12" s="454">
        <v>44755</v>
      </c>
      <c r="B12" s="246" t="s">
        <v>1077</v>
      </c>
      <c r="C12" s="111">
        <v>105453.7</v>
      </c>
      <c r="D12" s="736">
        <v>44799</v>
      </c>
      <c r="E12" s="737">
        <v>105453.7</v>
      </c>
      <c r="F12" s="544">
        <f t="shared" si="0"/>
        <v>0</v>
      </c>
      <c r="H12" s="704" t="s">
        <v>1124</v>
      </c>
      <c r="I12" s="705">
        <v>9771</v>
      </c>
      <c r="J12" s="706">
        <v>300</v>
      </c>
      <c r="K12" s="720">
        <v>44766</v>
      </c>
      <c r="L12" s="722">
        <v>300</v>
      </c>
      <c r="M12" s="137">
        <f t="shared" si="1"/>
        <v>0</v>
      </c>
    </row>
    <row r="13" spans="1:13" ht="17.25" x14ac:dyDescent="0.3">
      <c r="A13" s="454">
        <v>44756</v>
      </c>
      <c r="B13" s="246" t="s">
        <v>1078</v>
      </c>
      <c r="C13" s="111">
        <v>65012.85</v>
      </c>
      <c r="D13" s="736">
        <v>44799</v>
      </c>
      <c r="E13" s="737">
        <v>65012.85</v>
      </c>
      <c r="F13" s="544">
        <f t="shared" si="0"/>
        <v>0</v>
      </c>
      <c r="H13" s="704" t="s">
        <v>1125</v>
      </c>
      <c r="I13" s="705">
        <v>9780</v>
      </c>
      <c r="J13" s="706">
        <v>12180</v>
      </c>
      <c r="K13" s="720">
        <v>44766</v>
      </c>
      <c r="L13" s="722">
        <v>12180</v>
      </c>
      <c r="M13" s="137">
        <f t="shared" si="1"/>
        <v>0</v>
      </c>
    </row>
    <row r="14" spans="1:13" ht="17.25" x14ac:dyDescent="0.3">
      <c r="A14" s="454">
        <v>44757</v>
      </c>
      <c r="B14" s="246" t="s">
        <v>1079</v>
      </c>
      <c r="C14" s="111">
        <v>83843.7</v>
      </c>
      <c r="D14" s="736">
        <v>44799</v>
      </c>
      <c r="E14" s="737">
        <v>83843.7</v>
      </c>
      <c r="F14" s="544">
        <f t="shared" si="0"/>
        <v>0</v>
      </c>
      <c r="H14" s="704" t="s">
        <v>1126</v>
      </c>
      <c r="I14" s="705">
        <v>9807</v>
      </c>
      <c r="J14" s="706">
        <v>5600.2</v>
      </c>
      <c r="K14" s="720">
        <v>44766</v>
      </c>
      <c r="L14" s="722">
        <v>5600.2</v>
      </c>
      <c r="M14" s="137">
        <f t="shared" si="1"/>
        <v>0</v>
      </c>
    </row>
    <row r="15" spans="1:13" ht="17.25" x14ac:dyDescent="0.3">
      <c r="A15" s="454">
        <v>44757</v>
      </c>
      <c r="B15" s="246" t="s">
        <v>1080</v>
      </c>
      <c r="C15" s="111">
        <v>11248</v>
      </c>
      <c r="D15" s="736">
        <v>44799</v>
      </c>
      <c r="E15" s="737">
        <v>11248</v>
      </c>
      <c r="F15" s="544">
        <f t="shared" si="0"/>
        <v>0</v>
      </c>
      <c r="H15" s="704" t="s">
        <v>1126</v>
      </c>
      <c r="I15" s="705">
        <v>9811</v>
      </c>
      <c r="J15" s="706">
        <v>1830</v>
      </c>
      <c r="K15" s="720">
        <v>44766</v>
      </c>
      <c r="L15" s="722">
        <v>1830</v>
      </c>
      <c r="M15" s="137">
        <f t="shared" si="1"/>
        <v>0</v>
      </c>
    </row>
    <row r="16" spans="1:13" ht="17.25" x14ac:dyDescent="0.3">
      <c r="A16" s="454">
        <v>44758</v>
      </c>
      <c r="B16" s="246" t="s">
        <v>1081</v>
      </c>
      <c r="C16" s="111">
        <v>30498.9</v>
      </c>
      <c r="D16" s="736">
        <v>44799</v>
      </c>
      <c r="E16" s="737">
        <v>30498.9</v>
      </c>
      <c r="F16" s="544">
        <f t="shared" si="0"/>
        <v>0</v>
      </c>
      <c r="H16" s="704" t="s">
        <v>1127</v>
      </c>
      <c r="I16" s="705">
        <v>9816</v>
      </c>
      <c r="J16" s="706">
        <v>500</v>
      </c>
      <c r="K16" s="720">
        <v>44766</v>
      </c>
      <c r="L16" s="722">
        <v>500</v>
      </c>
      <c r="M16" s="137">
        <f t="shared" si="1"/>
        <v>0</v>
      </c>
    </row>
    <row r="17" spans="1:13" ht="17.25" x14ac:dyDescent="0.3">
      <c r="A17" s="454">
        <v>44758</v>
      </c>
      <c r="B17" s="246" t="s">
        <v>1082</v>
      </c>
      <c r="C17" s="111">
        <v>4920</v>
      </c>
      <c r="D17" s="736">
        <v>44799</v>
      </c>
      <c r="E17" s="737">
        <v>4920</v>
      </c>
      <c r="F17" s="544">
        <f t="shared" si="0"/>
        <v>0</v>
      </c>
      <c r="H17" s="704" t="s">
        <v>1128</v>
      </c>
      <c r="I17" s="705">
        <v>9819</v>
      </c>
      <c r="J17" s="706">
        <v>300</v>
      </c>
      <c r="K17" s="720">
        <v>44766</v>
      </c>
      <c r="L17" s="722">
        <v>300</v>
      </c>
      <c r="M17" s="137">
        <f t="shared" si="1"/>
        <v>0</v>
      </c>
    </row>
    <row r="18" spans="1:13" ht="17.25" x14ac:dyDescent="0.3">
      <c r="A18" s="454">
        <v>44760</v>
      </c>
      <c r="B18" s="246" t="s">
        <v>1083</v>
      </c>
      <c r="C18" s="111">
        <v>97808.75</v>
      </c>
      <c r="D18" s="736">
        <v>44799</v>
      </c>
      <c r="E18" s="737">
        <v>97808.75</v>
      </c>
      <c r="F18" s="544">
        <f t="shared" si="0"/>
        <v>0</v>
      </c>
      <c r="H18" s="704" t="s">
        <v>1129</v>
      </c>
      <c r="I18" s="705">
        <v>9827</v>
      </c>
      <c r="J18" s="706">
        <v>10437.4</v>
      </c>
      <c r="K18" s="720">
        <v>44766</v>
      </c>
      <c r="L18" s="722">
        <v>10437.4</v>
      </c>
      <c r="M18" s="137">
        <f t="shared" si="1"/>
        <v>0</v>
      </c>
    </row>
    <row r="19" spans="1:13" ht="17.25" x14ac:dyDescent="0.3">
      <c r="A19" s="454">
        <v>44761</v>
      </c>
      <c r="B19" s="246" t="s">
        <v>1084</v>
      </c>
      <c r="C19" s="111">
        <v>70509.3</v>
      </c>
      <c r="D19" s="736">
        <v>44799</v>
      </c>
      <c r="E19" s="737">
        <v>70509.3</v>
      </c>
      <c r="F19" s="544">
        <f t="shared" si="0"/>
        <v>0</v>
      </c>
      <c r="H19" s="704" t="s">
        <v>1130</v>
      </c>
      <c r="I19" s="705">
        <v>9831</v>
      </c>
      <c r="J19" s="706">
        <v>4367.8999999999996</v>
      </c>
      <c r="K19" s="720">
        <v>44766</v>
      </c>
      <c r="L19" s="722">
        <v>4367.8999999999996</v>
      </c>
      <c r="M19" s="137">
        <f t="shared" si="1"/>
        <v>0</v>
      </c>
    </row>
    <row r="20" spans="1:13" ht="17.25" x14ac:dyDescent="0.3">
      <c r="A20" s="454">
        <v>44762</v>
      </c>
      <c r="B20" s="246" t="s">
        <v>1085</v>
      </c>
      <c r="C20" s="111">
        <v>72783.5</v>
      </c>
      <c r="D20" s="736">
        <v>44799</v>
      </c>
      <c r="E20" s="737">
        <v>72783.5</v>
      </c>
      <c r="F20" s="544">
        <f t="shared" si="0"/>
        <v>0</v>
      </c>
      <c r="H20" s="704" t="s">
        <v>1131</v>
      </c>
      <c r="I20" s="705">
        <v>9840</v>
      </c>
      <c r="J20" s="706">
        <v>300</v>
      </c>
      <c r="K20" s="720">
        <v>44766</v>
      </c>
      <c r="L20" s="722">
        <v>300</v>
      </c>
      <c r="M20" s="137">
        <f t="shared" si="1"/>
        <v>0</v>
      </c>
    </row>
    <row r="21" spans="1:13" ht="17.25" x14ac:dyDescent="0.3">
      <c r="A21" s="454">
        <v>44763</v>
      </c>
      <c r="B21" s="246" t="s">
        <v>1086</v>
      </c>
      <c r="C21" s="111">
        <v>40894.36</v>
      </c>
      <c r="D21" s="736">
        <v>44799</v>
      </c>
      <c r="E21" s="737">
        <v>40894.36</v>
      </c>
      <c r="F21" s="544">
        <f t="shared" si="0"/>
        <v>0</v>
      </c>
      <c r="H21" s="704" t="s">
        <v>1132</v>
      </c>
      <c r="I21" s="705">
        <v>9857</v>
      </c>
      <c r="J21" s="706">
        <v>8199.4</v>
      </c>
      <c r="K21" s="720">
        <v>44766</v>
      </c>
      <c r="L21" s="722">
        <v>8199.4</v>
      </c>
      <c r="M21" s="137">
        <f t="shared" si="1"/>
        <v>0</v>
      </c>
    </row>
    <row r="22" spans="1:13" ht="18.75" x14ac:dyDescent="0.3">
      <c r="A22" s="454">
        <v>44764</v>
      </c>
      <c r="B22" s="246" t="s">
        <v>1087</v>
      </c>
      <c r="C22" s="111">
        <v>69612.42</v>
      </c>
      <c r="D22" s="736">
        <v>44799</v>
      </c>
      <c r="E22" s="737">
        <v>69612.42</v>
      </c>
      <c r="F22" s="544">
        <f t="shared" si="0"/>
        <v>0</v>
      </c>
      <c r="G22" s="644"/>
      <c r="H22" s="704" t="s">
        <v>1133</v>
      </c>
      <c r="I22" s="705">
        <v>9867</v>
      </c>
      <c r="J22" s="706">
        <v>1520.4</v>
      </c>
      <c r="K22" s="720">
        <v>44766</v>
      </c>
      <c r="L22" s="722">
        <v>1520.4</v>
      </c>
      <c r="M22" s="137">
        <f t="shared" si="1"/>
        <v>0</v>
      </c>
    </row>
    <row r="23" spans="1:13" ht="17.25" x14ac:dyDescent="0.3">
      <c r="A23" s="454">
        <v>44765</v>
      </c>
      <c r="B23" s="246" t="s">
        <v>1088</v>
      </c>
      <c r="C23" s="111">
        <v>111046</v>
      </c>
      <c r="D23" s="736">
        <v>44799</v>
      </c>
      <c r="E23" s="737">
        <v>111046</v>
      </c>
      <c r="F23" s="544">
        <f t="shared" si="0"/>
        <v>0</v>
      </c>
      <c r="G23" s="2"/>
      <c r="H23" s="704" t="s">
        <v>1134</v>
      </c>
      <c r="I23" s="705">
        <v>9874</v>
      </c>
      <c r="J23" s="706">
        <v>300</v>
      </c>
      <c r="K23" s="582">
        <v>44853</v>
      </c>
      <c r="L23" s="860">
        <v>300</v>
      </c>
      <c r="M23" s="137">
        <f t="shared" si="1"/>
        <v>0</v>
      </c>
    </row>
    <row r="24" spans="1:13" ht="21" customHeight="1" x14ac:dyDescent="0.3">
      <c r="A24" s="724">
        <v>44765</v>
      </c>
      <c r="B24" s="725" t="s">
        <v>1089</v>
      </c>
      <c r="C24" s="583">
        <v>3984</v>
      </c>
      <c r="D24" s="736">
        <v>44799</v>
      </c>
      <c r="E24" s="737">
        <v>3984</v>
      </c>
      <c r="F24" s="205">
        <f t="shared" si="0"/>
        <v>0</v>
      </c>
      <c r="G24" s="2"/>
      <c r="H24" s="704" t="s">
        <v>1135</v>
      </c>
      <c r="I24" s="705">
        <v>9881</v>
      </c>
      <c r="J24" s="706">
        <v>4003.3</v>
      </c>
      <c r="K24" s="582">
        <v>44853</v>
      </c>
      <c r="L24" s="860">
        <v>4003.3</v>
      </c>
      <c r="M24" s="137">
        <f t="shared" si="1"/>
        <v>0</v>
      </c>
    </row>
    <row r="25" spans="1:13" ht="17.25" x14ac:dyDescent="0.3">
      <c r="A25" s="454">
        <v>44767</v>
      </c>
      <c r="B25" s="246" t="s">
        <v>1090</v>
      </c>
      <c r="C25" s="111">
        <v>26094.639999999999</v>
      </c>
      <c r="D25" s="652">
        <v>44837</v>
      </c>
      <c r="E25" s="653">
        <v>26094.639999999999</v>
      </c>
      <c r="F25" s="544">
        <f t="shared" si="0"/>
        <v>0</v>
      </c>
      <c r="G25" s="645"/>
      <c r="H25" s="704" t="s">
        <v>1136</v>
      </c>
      <c r="I25" s="705">
        <v>9891</v>
      </c>
      <c r="J25" s="706">
        <v>300</v>
      </c>
      <c r="K25" s="582">
        <v>44853</v>
      </c>
      <c r="L25" s="860">
        <v>300</v>
      </c>
      <c r="M25" s="137">
        <f t="shared" si="1"/>
        <v>0</v>
      </c>
    </row>
    <row r="26" spans="1:13" ht="17.25" x14ac:dyDescent="0.3">
      <c r="A26" s="454">
        <v>44767</v>
      </c>
      <c r="B26" s="580" t="s">
        <v>1091</v>
      </c>
      <c r="C26" s="111">
        <v>6990.16</v>
      </c>
      <c r="D26" s="652">
        <v>44837</v>
      </c>
      <c r="E26" s="653">
        <v>6990.16</v>
      </c>
      <c r="F26" s="544">
        <f t="shared" si="0"/>
        <v>0</v>
      </c>
      <c r="G26" s="645"/>
      <c r="H26" s="704" t="s">
        <v>1137</v>
      </c>
      <c r="I26" s="705">
        <v>9897</v>
      </c>
      <c r="J26" s="706">
        <v>880</v>
      </c>
      <c r="K26" s="582">
        <v>44853</v>
      </c>
      <c r="L26" s="860">
        <v>880</v>
      </c>
      <c r="M26" s="137">
        <f t="shared" si="1"/>
        <v>0</v>
      </c>
    </row>
    <row r="27" spans="1:13" ht="17.25" x14ac:dyDescent="0.3">
      <c r="A27" s="454">
        <v>44768</v>
      </c>
      <c r="B27" s="246" t="s">
        <v>1092</v>
      </c>
      <c r="C27" s="111">
        <v>97965.58</v>
      </c>
      <c r="D27" s="652">
        <v>44837</v>
      </c>
      <c r="E27" s="653">
        <v>97965.58</v>
      </c>
      <c r="F27" s="544">
        <f t="shared" si="0"/>
        <v>0</v>
      </c>
      <c r="G27" s="645"/>
      <c r="H27" s="704" t="s">
        <v>1137</v>
      </c>
      <c r="I27" s="705">
        <v>9898</v>
      </c>
      <c r="J27" s="706">
        <v>2989.5</v>
      </c>
      <c r="K27" s="582">
        <v>44853</v>
      </c>
      <c r="L27" s="860">
        <v>2989.5</v>
      </c>
      <c r="M27" s="137">
        <f t="shared" si="1"/>
        <v>0</v>
      </c>
    </row>
    <row r="28" spans="1:13" ht="17.25" x14ac:dyDescent="0.3">
      <c r="A28" s="454">
        <v>44769</v>
      </c>
      <c r="B28" s="246" t="s">
        <v>1093</v>
      </c>
      <c r="C28" s="111">
        <v>10947.2</v>
      </c>
      <c r="D28" s="652">
        <v>44837</v>
      </c>
      <c r="E28" s="653">
        <v>10947.2</v>
      </c>
      <c r="F28" s="544">
        <f t="shared" si="0"/>
        <v>0</v>
      </c>
      <c r="G28" s="645"/>
      <c r="H28" s="704" t="s">
        <v>1137</v>
      </c>
      <c r="I28" s="705">
        <v>9902</v>
      </c>
      <c r="J28" s="706">
        <v>300</v>
      </c>
      <c r="K28" s="582">
        <v>44853</v>
      </c>
      <c r="L28" s="860">
        <v>300</v>
      </c>
      <c r="M28" s="137">
        <f t="shared" si="1"/>
        <v>0</v>
      </c>
    </row>
    <row r="29" spans="1:13" ht="17.25" x14ac:dyDescent="0.3">
      <c r="A29" s="454">
        <v>44770</v>
      </c>
      <c r="B29" s="246" t="s">
        <v>1094</v>
      </c>
      <c r="C29" s="111">
        <v>29495.85</v>
      </c>
      <c r="D29" s="652">
        <v>44837</v>
      </c>
      <c r="E29" s="653">
        <v>29495.85</v>
      </c>
      <c r="F29" s="544">
        <f t="shared" si="0"/>
        <v>0</v>
      </c>
      <c r="G29" s="645"/>
      <c r="H29" s="704" t="s">
        <v>1138</v>
      </c>
      <c r="I29" s="705">
        <v>9905</v>
      </c>
      <c r="J29" s="706">
        <v>300</v>
      </c>
      <c r="K29" s="582">
        <v>44853</v>
      </c>
      <c r="L29" s="860">
        <v>300</v>
      </c>
      <c r="M29" s="137">
        <f t="shared" si="1"/>
        <v>0</v>
      </c>
    </row>
    <row r="30" spans="1:13" ht="17.25" x14ac:dyDescent="0.3">
      <c r="A30" s="454">
        <v>44771</v>
      </c>
      <c r="B30" s="246" t="s">
        <v>1095</v>
      </c>
      <c r="C30" s="111">
        <v>9222</v>
      </c>
      <c r="D30" s="652">
        <v>44837</v>
      </c>
      <c r="E30" s="653">
        <v>9222</v>
      </c>
      <c r="F30" s="544">
        <f t="shared" si="0"/>
        <v>0</v>
      </c>
      <c r="G30" s="645"/>
      <c r="H30" s="704" t="s">
        <v>1139</v>
      </c>
      <c r="I30" s="705">
        <v>9919</v>
      </c>
      <c r="J30" s="706">
        <v>440</v>
      </c>
      <c r="K30" s="582">
        <v>44853</v>
      </c>
      <c r="L30" s="860">
        <v>440</v>
      </c>
      <c r="M30" s="137">
        <f t="shared" si="1"/>
        <v>0</v>
      </c>
    </row>
    <row r="31" spans="1:13" ht="17.25" x14ac:dyDescent="0.3">
      <c r="A31" s="454">
        <v>44771</v>
      </c>
      <c r="B31" s="246" t="s">
        <v>1096</v>
      </c>
      <c r="C31" s="111">
        <v>73071.5</v>
      </c>
      <c r="D31" s="652">
        <v>44837</v>
      </c>
      <c r="E31" s="653">
        <v>73071.5</v>
      </c>
      <c r="F31" s="544">
        <f t="shared" si="0"/>
        <v>0</v>
      </c>
      <c r="G31" s="2"/>
      <c r="H31" s="704" t="s">
        <v>1140</v>
      </c>
      <c r="I31" s="705">
        <v>9929</v>
      </c>
      <c r="J31" s="706">
        <v>500</v>
      </c>
      <c r="K31" s="582">
        <v>44853</v>
      </c>
      <c r="L31" s="860">
        <v>500</v>
      </c>
      <c r="M31" s="137">
        <f t="shared" si="1"/>
        <v>0</v>
      </c>
    </row>
    <row r="32" spans="1:13" ht="17.25" x14ac:dyDescent="0.3">
      <c r="A32" s="454">
        <v>44772</v>
      </c>
      <c r="B32" s="246" t="s">
        <v>1097</v>
      </c>
      <c r="C32" s="111">
        <v>78511.600000000006</v>
      </c>
      <c r="D32" s="652">
        <v>44837</v>
      </c>
      <c r="E32" s="653">
        <v>78511.600000000006</v>
      </c>
      <c r="F32" s="544">
        <f t="shared" si="0"/>
        <v>0</v>
      </c>
      <c r="G32" s="2"/>
      <c r="H32" s="704"/>
      <c r="I32" s="705"/>
      <c r="J32" s="706"/>
      <c r="K32" s="412"/>
      <c r="L32" s="111"/>
      <c r="M32" s="137">
        <f t="shared" si="1"/>
        <v>0</v>
      </c>
    </row>
    <row r="33" spans="1:13" ht="17.25" customHeight="1" x14ac:dyDescent="0.25">
      <c r="A33" s="454"/>
      <c r="B33" s="246"/>
      <c r="C33" s="111"/>
      <c r="D33" s="412"/>
      <c r="E33" s="111"/>
      <c r="F33" s="544">
        <f t="shared" si="0"/>
        <v>0</v>
      </c>
      <c r="H33" s="1024" t="s">
        <v>1455</v>
      </c>
      <c r="I33" s="1025"/>
      <c r="J33" s="1025"/>
      <c r="K33" s="1026"/>
      <c r="L33" s="111"/>
      <c r="M33" s="137">
        <f t="shared" si="1"/>
        <v>0</v>
      </c>
    </row>
    <row r="34" spans="1:13" ht="17.25" customHeight="1" x14ac:dyDescent="0.25">
      <c r="A34" s="454"/>
      <c r="B34" s="246"/>
      <c r="C34" s="111"/>
      <c r="D34" s="412"/>
      <c r="E34" s="111"/>
      <c r="F34" s="544">
        <f t="shared" si="0"/>
        <v>0</v>
      </c>
      <c r="H34" s="1024"/>
      <c r="I34" s="1025"/>
      <c r="J34" s="1025"/>
      <c r="K34" s="1026"/>
      <c r="L34" s="111"/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customHeight="1" x14ac:dyDescent="0.25">
      <c r="A36" s="454"/>
      <c r="B36" s="246"/>
      <c r="C36" s="111"/>
      <c r="D36" s="412"/>
      <c r="E36" s="111"/>
      <c r="F36" s="544">
        <f t="shared" si="0"/>
        <v>0</v>
      </c>
      <c r="H36" s="1069" t="s">
        <v>1481</v>
      </c>
      <c r="I36" s="1070"/>
      <c r="J36" s="1070"/>
      <c r="K36" s="1070"/>
      <c r="L36" s="1071"/>
      <c r="M36" s="137">
        <f t="shared" si="1"/>
        <v>0</v>
      </c>
    </row>
    <row r="37" spans="1:13" ht="17.25" customHeight="1" x14ac:dyDescent="0.25">
      <c r="A37" s="454"/>
      <c r="B37" s="246"/>
      <c r="C37" s="111"/>
      <c r="D37" s="412"/>
      <c r="E37" s="111"/>
      <c r="F37" s="544">
        <f t="shared" si="0"/>
        <v>0</v>
      </c>
      <c r="H37" s="1069"/>
      <c r="I37" s="1070"/>
      <c r="J37" s="1070"/>
      <c r="K37" s="1070"/>
      <c r="L37" s="1071"/>
      <c r="M37" s="137">
        <f t="shared" si="1"/>
        <v>0</v>
      </c>
    </row>
    <row r="38" spans="1:13" ht="17.25" customHeight="1" x14ac:dyDescent="0.25">
      <c r="A38" s="454"/>
      <c r="B38" s="246"/>
      <c r="C38" s="111"/>
      <c r="D38" s="412"/>
      <c r="E38" s="111"/>
      <c r="F38" s="544">
        <f t="shared" si="0"/>
        <v>0</v>
      </c>
      <c r="H38" s="1072"/>
      <c r="I38" s="1073"/>
      <c r="J38" s="1073"/>
      <c r="K38" s="1073"/>
      <c r="L38" s="1074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973" t="s">
        <v>594</v>
      </c>
      <c r="I40" s="974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975"/>
      <c r="I41" s="976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977"/>
      <c r="I42" s="978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1727771.26</v>
      </c>
      <c r="D67" s="407"/>
      <c r="E67" s="395">
        <f>SUM(E3:E66)</f>
        <v>1727771.26</v>
      </c>
      <c r="F67" s="153">
        <f>SUM(F3:F66)</f>
        <v>0</v>
      </c>
      <c r="H67" s="969" t="s">
        <v>594</v>
      </c>
      <c r="I67" s="970"/>
      <c r="J67" s="642">
        <f>SUM(J3:J66)</f>
        <v>128177.49999999997</v>
      </c>
      <c r="K67" s="713"/>
      <c r="L67" s="209">
        <f>SUM(L3:L66)</f>
        <v>128177.49999999997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31" t="s">
        <v>207</v>
      </c>
      <c r="H68" s="971"/>
      <c r="I68" s="972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32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5">
    <mergeCell ref="H67:I68"/>
    <mergeCell ref="F68:F69"/>
    <mergeCell ref="H40:I42"/>
    <mergeCell ref="H33:K34"/>
    <mergeCell ref="H36:L38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97"/>
  <sheetViews>
    <sheetView zoomScaleNormal="100" workbookViewId="0">
      <pane xSplit="3" ySplit="4" topLeftCell="D50" activePane="bottomRight" state="frozen"/>
      <selection pane="topRight" activeCell="D1" sqref="D1"/>
      <selection pane="bottomLeft" activeCell="A5" sqref="A5"/>
      <selection pane="bottomRight" activeCell="H82" sqref="H82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9" ht="23.25" x14ac:dyDescent="0.35">
      <c r="B1" s="893"/>
      <c r="C1" s="935" t="s">
        <v>1142</v>
      </c>
      <c r="D1" s="936"/>
      <c r="E1" s="936"/>
      <c r="F1" s="936"/>
      <c r="G1" s="936"/>
      <c r="H1" s="936"/>
      <c r="I1" s="936"/>
      <c r="J1" s="936"/>
      <c r="K1" s="936"/>
      <c r="L1" s="936"/>
      <c r="M1" s="936"/>
    </row>
    <row r="2" spans="1:19" ht="16.5" thickBot="1" x14ac:dyDescent="0.3">
      <c r="B2" s="894"/>
      <c r="C2" s="3"/>
      <c r="H2" s="5"/>
      <c r="I2" s="6"/>
      <c r="J2" s="7"/>
      <c r="L2" s="8"/>
      <c r="M2" s="6"/>
      <c r="N2" s="9"/>
    </row>
    <row r="3" spans="1:19" ht="21.75" thickBot="1" x14ac:dyDescent="0.35">
      <c r="B3" s="897" t="s">
        <v>0</v>
      </c>
      <c r="C3" s="898"/>
      <c r="D3" s="10"/>
      <c r="E3" s="553"/>
      <c r="F3" s="11"/>
      <c r="H3" s="899" t="s">
        <v>26</v>
      </c>
      <c r="I3" s="899"/>
      <c r="K3" s="165"/>
      <c r="L3" s="13"/>
      <c r="M3" s="14"/>
      <c r="P3" s="923" t="s">
        <v>6</v>
      </c>
      <c r="R3" s="933" t="s">
        <v>216</v>
      </c>
    </row>
    <row r="4" spans="1:19" ht="32.25" thickTop="1" thickBot="1" x14ac:dyDescent="0.35">
      <c r="A4" s="15" t="s">
        <v>1</v>
      </c>
      <c r="B4" s="16"/>
      <c r="C4" s="17">
        <v>2274653.09</v>
      </c>
      <c r="D4" s="18">
        <v>44773</v>
      </c>
      <c r="E4" s="900" t="s">
        <v>2</v>
      </c>
      <c r="F4" s="901"/>
      <c r="H4" s="902" t="s">
        <v>3</v>
      </c>
      <c r="I4" s="903"/>
      <c r="J4" s="556"/>
      <c r="K4" s="562"/>
      <c r="L4" s="563"/>
      <c r="M4" s="21" t="s">
        <v>4</v>
      </c>
      <c r="N4" s="22" t="s">
        <v>5</v>
      </c>
      <c r="P4" s="924"/>
      <c r="Q4" s="322" t="s">
        <v>217</v>
      </c>
      <c r="R4" s="934"/>
    </row>
    <row r="5" spans="1:19" ht="18" thickBot="1" x14ac:dyDescent="0.35">
      <c r="A5" s="23" t="s">
        <v>7</v>
      </c>
      <c r="B5" s="24">
        <v>44774</v>
      </c>
      <c r="C5" s="25">
        <v>19880</v>
      </c>
      <c r="D5" s="26" t="s">
        <v>1143</v>
      </c>
      <c r="E5" s="27">
        <v>44774</v>
      </c>
      <c r="F5" s="28">
        <v>165468</v>
      </c>
      <c r="G5" s="572"/>
      <c r="H5" s="29">
        <v>44774</v>
      </c>
      <c r="I5" s="30">
        <v>3851</v>
      </c>
      <c r="J5" s="37"/>
      <c r="K5" s="31"/>
      <c r="L5" s="9"/>
      <c r="M5" s="32">
        <v>79607</v>
      </c>
      <c r="N5" s="33">
        <v>62130</v>
      </c>
      <c r="O5" s="729" t="s">
        <v>937</v>
      </c>
      <c r="P5" s="34">
        <f>N5+M5+L5+I5+C5</f>
        <v>165468</v>
      </c>
      <c r="Q5" s="325">
        <f>P5-F5</f>
        <v>0</v>
      </c>
      <c r="R5" s="379">
        <v>0</v>
      </c>
    </row>
    <row r="6" spans="1:19" ht="18" thickBot="1" x14ac:dyDescent="0.35">
      <c r="A6" s="23"/>
      <c r="B6" s="24">
        <v>44775</v>
      </c>
      <c r="C6" s="25">
        <v>27654</v>
      </c>
      <c r="D6" s="35" t="s">
        <v>1144</v>
      </c>
      <c r="E6" s="27">
        <v>44775</v>
      </c>
      <c r="F6" s="28">
        <v>132085</v>
      </c>
      <c r="G6" s="572"/>
      <c r="H6" s="29">
        <v>44775</v>
      </c>
      <c r="I6" s="30">
        <v>572</v>
      </c>
      <c r="J6" s="37"/>
      <c r="K6" s="38"/>
      <c r="L6" s="39"/>
      <c r="M6" s="32">
        <v>64513</v>
      </c>
      <c r="N6" s="33">
        <v>39346</v>
      </c>
      <c r="O6" s="577" t="s">
        <v>937</v>
      </c>
      <c r="P6" s="39">
        <f>N6+M6+L6+I6+C6</f>
        <v>132085</v>
      </c>
      <c r="Q6" s="325">
        <f t="shared" ref="Q6:Q40" si="0">P6-F6</f>
        <v>0</v>
      </c>
      <c r="R6" s="319">
        <v>0</v>
      </c>
    </row>
    <row r="7" spans="1:19" ht="18" thickBot="1" x14ac:dyDescent="0.35">
      <c r="A7" s="23"/>
      <c r="B7" s="24">
        <v>44776</v>
      </c>
      <c r="C7" s="25">
        <v>22217</v>
      </c>
      <c r="D7" s="40" t="s">
        <v>1145</v>
      </c>
      <c r="E7" s="27">
        <v>44776</v>
      </c>
      <c r="F7" s="28">
        <v>118970</v>
      </c>
      <c r="G7" s="572"/>
      <c r="H7" s="29">
        <v>44776</v>
      </c>
      <c r="I7" s="30">
        <v>2177</v>
      </c>
      <c r="J7" s="37"/>
      <c r="K7" s="38"/>
      <c r="L7" s="39"/>
      <c r="M7" s="32">
        <v>45403</v>
      </c>
      <c r="N7" s="33">
        <v>50819</v>
      </c>
      <c r="O7" s="577" t="s">
        <v>937</v>
      </c>
      <c r="P7" s="39">
        <f>N7+M7+L7+I7+C7</f>
        <v>120616</v>
      </c>
      <c r="Q7" s="325">
        <v>0</v>
      </c>
      <c r="R7" s="388">
        <v>1646</v>
      </c>
    </row>
    <row r="8" spans="1:19" ht="18" thickBot="1" x14ac:dyDescent="0.35">
      <c r="A8" s="23"/>
      <c r="B8" s="24">
        <v>44777</v>
      </c>
      <c r="C8" s="25">
        <v>7307</v>
      </c>
      <c r="D8" s="42" t="s">
        <v>1147</v>
      </c>
      <c r="E8" s="27">
        <v>44777</v>
      </c>
      <c r="F8" s="28">
        <v>121211</v>
      </c>
      <c r="G8" s="572"/>
      <c r="H8" s="29">
        <v>44777</v>
      </c>
      <c r="I8" s="30">
        <v>2459</v>
      </c>
      <c r="J8" s="43"/>
      <c r="K8" s="38"/>
      <c r="L8" s="39"/>
      <c r="M8" s="32">
        <v>156941</v>
      </c>
      <c r="N8" s="33">
        <v>29250</v>
      </c>
      <c r="O8" s="577" t="s">
        <v>937</v>
      </c>
      <c r="P8" s="39">
        <f t="shared" ref="P8:P32" si="1">N8+M8+L8+I8+C8</f>
        <v>195957</v>
      </c>
      <c r="Q8" s="325">
        <v>0</v>
      </c>
      <c r="R8" s="388">
        <v>74746</v>
      </c>
      <c r="S8" t="s">
        <v>1148</v>
      </c>
    </row>
    <row r="9" spans="1:19" ht="18" thickBot="1" x14ac:dyDescent="0.35">
      <c r="A9" s="23"/>
      <c r="B9" s="24">
        <v>44778</v>
      </c>
      <c r="C9" s="25">
        <v>13782</v>
      </c>
      <c r="D9" s="42" t="s">
        <v>102</v>
      </c>
      <c r="E9" s="27">
        <v>44778</v>
      </c>
      <c r="F9" s="28">
        <v>136795</v>
      </c>
      <c r="G9" s="572"/>
      <c r="H9" s="29">
        <v>44778</v>
      </c>
      <c r="I9" s="30">
        <v>2786</v>
      </c>
      <c r="J9" s="37"/>
      <c r="K9" s="223"/>
      <c r="L9" s="39"/>
      <c r="M9" s="32">
        <f>72825+500</f>
        <v>73325</v>
      </c>
      <c r="N9" s="33">
        <v>46902</v>
      </c>
      <c r="O9" s="577" t="s">
        <v>937</v>
      </c>
      <c r="P9" s="39">
        <f t="shared" si="1"/>
        <v>136795</v>
      </c>
      <c r="Q9" s="325">
        <f t="shared" si="0"/>
        <v>0</v>
      </c>
      <c r="R9" s="319">
        <v>0</v>
      </c>
    </row>
    <row r="10" spans="1:19" ht="18" thickBot="1" x14ac:dyDescent="0.35">
      <c r="A10" s="23"/>
      <c r="B10" s="24">
        <v>44779</v>
      </c>
      <c r="C10" s="25">
        <v>15115</v>
      </c>
      <c r="D10" s="40" t="s">
        <v>1149</v>
      </c>
      <c r="E10" s="27">
        <v>44779</v>
      </c>
      <c r="F10" s="28">
        <v>150888</v>
      </c>
      <c r="G10" s="572"/>
      <c r="H10" s="29">
        <v>44779</v>
      </c>
      <c r="I10" s="30">
        <v>11535</v>
      </c>
      <c r="J10" s="37">
        <v>44779</v>
      </c>
      <c r="K10" s="167" t="s">
        <v>1157</v>
      </c>
      <c r="L10" s="45">
        <v>17752</v>
      </c>
      <c r="M10" s="32">
        <v>33319</v>
      </c>
      <c r="N10" s="33">
        <v>73167</v>
      </c>
      <c r="O10" s="577" t="s">
        <v>937</v>
      </c>
      <c r="P10" s="39">
        <f>N10+M10+L10+I10+C10</f>
        <v>150888</v>
      </c>
      <c r="Q10" s="325">
        <f t="shared" si="0"/>
        <v>0</v>
      </c>
      <c r="R10" s="319">
        <v>0</v>
      </c>
    </row>
    <row r="11" spans="1:19" ht="18" thickBot="1" x14ac:dyDescent="0.35">
      <c r="A11" s="23"/>
      <c r="B11" s="24">
        <v>44780</v>
      </c>
      <c r="C11" s="25">
        <v>7874</v>
      </c>
      <c r="D11" s="35" t="s">
        <v>1150</v>
      </c>
      <c r="E11" s="27">
        <v>44780</v>
      </c>
      <c r="F11" s="28">
        <v>88541</v>
      </c>
      <c r="G11" s="572"/>
      <c r="H11" s="29">
        <v>44780</v>
      </c>
      <c r="I11" s="30">
        <v>2678</v>
      </c>
      <c r="J11" s="43"/>
      <c r="K11" s="168"/>
      <c r="L11" s="39"/>
      <c r="M11" s="32">
        <v>44630</v>
      </c>
      <c r="N11" s="33">
        <v>33359</v>
      </c>
      <c r="O11" s="577" t="s">
        <v>937</v>
      </c>
      <c r="P11" s="39">
        <f t="shared" si="1"/>
        <v>88541</v>
      </c>
      <c r="Q11" s="325">
        <f t="shared" si="0"/>
        <v>0</v>
      </c>
      <c r="R11" s="319">
        <v>0</v>
      </c>
    </row>
    <row r="12" spans="1:19" ht="18" thickBot="1" x14ac:dyDescent="0.35">
      <c r="A12" s="23"/>
      <c r="B12" s="24">
        <v>44781</v>
      </c>
      <c r="C12" s="25">
        <v>26522</v>
      </c>
      <c r="D12" s="35" t="s">
        <v>1151</v>
      </c>
      <c r="E12" s="27">
        <v>44781</v>
      </c>
      <c r="F12" s="28">
        <v>110315</v>
      </c>
      <c r="G12" s="572"/>
      <c r="H12" s="29">
        <v>44781</v>
      </c>
      <c r="I12" s="30">
        <v>1627</v>
      </c>
      <c r="J12" s="37"/>
      <c r="K12" s="169"/>
      <c r="L12" s="39"/>
      <c r="M12" s="32">
        <v>47182</v>
      </c>
      <c r="N12" s="33">
        <v>34984</v>
      </c>
      <c r="O12" s="577" t="s">
        <v>937</v>
      </c>
      <c r="P12" s="39">
        <f t="shared" si="1"/>
        <v>110315</v>
      </c>
      <c r="Q12" s="325">
        <f t="shared" si="0"/>
        <v>0</v>
      </c>
      <c r="R12" s="319">
        <v>0</v>
      </c>
    </row>
    <row r="13" spans="1:19" ht="18" thickBot="1" x14ac:dyDescent="0.35">
      <c r="A13" s="23"/>
      <c r="B13" s="24">
        <v>44782</v>
      </c>
      <c r="C13" s="25">
        <v>18936</v>
      </c>
      <c r="D13" s="42" t="s">
        <v>1152</v>
      </c>
      <c r="E13" s="27">
        <v>44782</v>
      </c>
      <c r="F13" s="28">
        <v>117529</v>
      </c>
      <c r="G13" s="572"/>
      <c r="H13" s="29">
        <v>44782</v>
      </c>
      <c r="I13" s="30">
        <v>1003</v>
      </c>
      <c r="J13" s="37"/>
      <c r="K13" s="38"/>
      <c r="L13" s="39"/>
      <c r="M13" s="32">
        <v>54684</v>
      </c>
      <c r="N13" s="33">
        <v>42906</v>
      </c>
      <c r="O13" s="577" t="s">
        <v>937</v>
      </c>
      <c r="P13" s="39">
        <f t="shared" si="1"/>
        <v>117529</v>
      </c>
      <c r="Q13" s="325">
        <f t="shared" si="0"/>
        <v>0</v>
      </c>
      <c r="R13" s="319">
        <v>0</v>
      </c>
    </row>
    <row r="14" spans="1:19" ht="18" thickBot="1" x14ac:dyDescent="0.35">
      <c r="A14" s="23"/>
      <c r="B14" s="24">
        <v>44783</v>
      </c>
      <c r="C14" s="25">
        <v>20568</v>
      </c>
      <c r="D14" s="40" t="s">
        <v>330</v>
      </c>
      <c r="E14" s="27">
        <v>44783</v>
      </c>
      <c r="F14" s="28">
        <v>104010</v>
      </c>
      <c r="G14" s="572"/>
      <c r="H14" s="29">
        <v>44783</v>
      </c>
      <c r="I14" s="30">
        <v>2073</v>
      </c>
      <c r="J14" s="37"/>
      <c r="K14" s="38"/>
      <c r="L14" s="39"/>
      <c r="M14" s="32">
        <v>40412</v>
      </c>
      <c r="N14" s="33">
        <v>40957</v>
      </c>
      <c r="O14" s="730" t="s">
        <v>937</v>
      </c>
      <c r="P14" s="39">
        <f t="shared" si="1"/>
        <v>104010</v>
      </c>
      <c r="Q14" s="325">
        <f t="shared" si="0"/>
        <v>0</v>
      </c>
      <c r="R14" s="319">
        <v>0</v>
      </c>
    </row>
    <row r="15" spans="1:19" ht="18" thickBot="1" x14ac:dyDescent="0.35">
      <c r="A15" s="23"/>
      <c r="B15" s="24">
        <v>44784</v>
      </c>
      <c r="C15" s="25">
        <v>14635</v>
      </c>
      <c r="D15" s="40" t="s">
        <v>1153</v>
      </c>
      <c r="E15" s="27">
        <v>44784</v>
      </c>
      <c r="F15" s="28">
        <v>107642</v>
      </c>
      <c r="G15" s="572"/>
      <c r="H15" s="29">
        <v>44784</v>
      </c>
      <c r="I15" s="30">
        <v>2553</v>
      </c>
      <c r="J15" s="37"/>
      <c r="K15" s="38"/>
      <c r="L15" s="39"/>
      <c r="M15" s="32">
        <v>48105</v>
      </c>
      <c r="N15" s="33">
        <v>42349</v>
      </c>
      <c r="O15" s="577" t="s">
        <v>937</v>
      </c>
      <c r="P15" s="39">
        <f t="shared" si="1"/>
        <v>107642</v>
      </c>
      <c r="Q15" s="325">
        <f t="shared" si="0"/>
        <v>0</v>
      </c>
      <c r="R15" s="319">
        <v>0</v>
      </c>
    </row>
    <row r="16" spans="1:19" ht="18" thickBot="1" x14ac:dyDescent="0.35">
      <c r="A16" s="23"/>
      <c r="B16" s="24">
        <v>44785</v>
      </c>
      <c r="C16" s="25">
        <v>5114</v>
      </c>
      <c r="D16" s="35" t="s">
        <v>1154</v>
      </c>
      <c r="E16" s="27">
        <v>44785</v>
      </c>
      <c r="F16" s="28">
        <v>102325</v>
      </c>
      <c r="G16" s="572"/>
      <c r="H16" s="29">
        <v>44785</v>
      </c>
      <c r="I16" s="30">
        <v>2096</v>
      </c>
      <c r="J16" s="37"/>
      <c r="K16" s="169"/>
      <c r="L16" s="9"/>
      <c r="M16" s="32">
        <v>63682</v>
      </c>
      <c r="N16" s="33">
        <v>31433</v>
      </c>
      <c r="O16" s="577" t="s">
        <v>937</v>
      </c>
      <c r="P16" s="39">
        <f t="shared" si="1"/>
        <v>102325</v>
      </c>
      <c r="Q16" s="325">
        <f t="shared" si="0"/>
        <v>0</v>
      </c>
      <c r="R16" s="319" t="s">
        <v>7</v>
      </c>
    </row>
    <row r="17" spans="1:19" ht="18" thickBot="1" x14ac:dyDescent="0.35">
      <c r="A17" s="23"/>
      <c r="B17" s="24">
        <v>44786</v>
      </c>
      <c r="C17" s="25">
        <v>24730</v>
      </c>
      <c r="D17" s="42" t="s">
        <v>1155</v>
      </c>
      <c r="E17" s="27">
        <v>44786</v>
      </c>
      <c r="F17" s="28">
        <v>121083</v>
      </c>
      <c r="G17" s="572"/>
      <c r="H17" s="29">
        <v>44786</v>
      </c>
      <c r="I17" s="30">
        <v>3433</v>
      </c>
      <c r="J17" s="37">
        <v>44786</v>
      </c>
      <c r="K17" s="38" t="s">
        <v>1156</v>
      </c>
      <c r="L17" s="45">
        <v>17689</v>
      </c>
      <c r="M17" s="32">
        <v>25200</v>
      </c>
      <c r="N17" s="33">
        <v>50035</v>
      </c>
      <c r="O17" s="577" t="s">
        <v>937</v>
      </c>
      <c r="P17" s="39">
        <f t="shared" si="1"/>
        <v>121087</v>
      </c>
      <c r="Q17" s="325">
        <f t="shared" si="0"/>
        <v>4</v>
      </c>
      <c r="R17" s="319">
        <v>0</v>
      </c>
    </row>
    <row r="18" spans="1:19" ht="18" thickBot="1" x14ac:dyDescent="0.35">
      <c r="A18" s="23"/>
      <c r="B18" s="24">
        <v>44787</v>
      </c>
      <c r="C18" s="25">
        <v>16104</v>
      </c>
      <c r="D18" s="35" t="s">
        <v>1159</v>
      </c>
      <c r="E18" s="27">
        <v>44787</v>
      </c>
      <c r="F18" s="28">
        <v>128828</v>
      </c>
      <c r="G18" s="572"/>
      <c r="H18" s="29">
        <v>44787</v>
      </c>
      <c r="I18" s="30">
        <v>917</v>
      </c>
      <c r="J18" s="37"/>
      <c r="K18" s="564"/>
      <c r="L18" s="39"/>
      <c r="M18" s="32">
        <f>500+71526</f>
        <v>72026</v>
      </c>
      <c r="N18" s="33">
        <v>39781</v>
      </c>
      <c r="O18" s="577" t="s">
        <v>937</v>
      </c>
      <c r="P18" s="39">
        <f t="shared" si="1"/>
        <v>128828</v>
      </c>
      <c r="Q18" s="325">
        <f t="shared" si="0"/>
        <v>0</v>
      </c>
      <c r="R18" s="319">
        <v>0</v>
      </c>
    </row>
    <row r="19" spans="1:19" ht="18" customHeight="1" thickBot="1" x14ac:dyDescent="0.35">
      <c r="A19" s="23"/>
      <c r="B19" s="24">
        <v>44788</v>
      </c>
      <c r="C19" s="25">
        <v>7635</v>
      </c>
      <c r="D19" s="35" t="s">
        <v>1160</v>
      </c>
      <c r="E19" s="27">
        <v>44788</v>
      </c>
      <c r="F19" s="28">
        <v>103454</v>
      </c>
      <c r="G19" s="572"/>
      <c r="H19" s="29">
        <v>44788</v>
      </c>
      <c r="I19" s="30">
        <v>1759</v>
      </c>
      <c r="J19" s="37"/>
      <c r="K19" s="46"/>
      <c r="L19" s="47"/>
      <c r="M19" s="32">
        <v>50554</v>
      </c>
      <c r="N19" s="33">
        <v>43506</v>
      </c>
      <c r="O19" s="577" t="s">
        <v>937</v>
      </c>
      <c r="P19" s="39">
        <f t="shared" si="1"/>
        <v>103454</v>
      </c>
      <c r="Q19" s="325">
        <f t="shared" si="0"/>
        <v>0</v>
      </c>
      <c r="R19" s="319">
        <v>0</v>
      </c>
    </row>
    <row r="20" spans="1:19" ht="18" customHeight="1" thickBot="1" x14ac:dyDescent="0.35">
      <c r="A20" s="23"/>
      <c r="B20" s="24">
        <v>44789</v>
      </c>
      <c r="C20" s="25">
        <v>42672</v>
      </c>
      <c r="D20" s="35" t="s">
        <v>1161</v>
      </c>
      <c r="E20" s="27">
        <v>44789</v>
      </c>
      <c r="F20" s="28">
        <v>113037</v>
      </c>
      <c r="G20" s="572"/>
      <c r="H20" s="29">
        <v>44789</v>
      </c>
      <c r="I20" s="30">
        <v>127</v>
      </c>
      <c r="J20" s="37"/>
      <c r="K20" s="171"/>
      <c r="L20" s="45"/>
      <c r="M20" s="32">
        <f>26596+1098.68+22615</f>
        <v>50309.68</v>
      </c>
      <c r="N20" s="33">
        <v>46524</v>
      </c>
      <c r="O20" s="577" t="s">
        <v>937</v>
      </c>
      <c r="P20" s="39">
        <f t="shared" si="1"/>
        <v>139632.68</v>
      </c>
      <c r="Q20" s="325">
        <v>0</v>
      </c>
      <c r="R20" s="388">
        <v>26596</v>
      </c>
    </row>
    <row r="21" spans="1:19" ht="18" thickBot="1" x14ac:dyDescent="0.35">
      <c r="A21" s="23"/>
      <c r="B21" s="24">
        <v>44790</v>
      </c>
      <c r="C21" s="25">
        <v>32654</v>
      </c>
      <c r="D21" s="35" t="s">
        <v>1183</v>
      </c>
      <c r="E21" s="27">
        <v>44790</v>
      </c>
      <c r="F21" s="28">
        <v>107301</v>
      </c>
      <c r="G21" s="572"/>
      <c r="H21" s="29">
        <v>44790</v>
      </c>
      <c r="I21" s="30">
        <v>6395</v>
      </c>
      <c r="J21" s="37"/>
      <c r="K21" s="565"/>
      <c r="L21" s="45"/>
      <c r="M21" s="32">
        <v>21525</v>
      </c>
      <c r="N21" s="33">
        <v>46727</v>
      </c>
      <c r="O21" s="577" t="s">
        <v>937</v>
      </c>
      <c r="P21" s="39">
        <f t="shared" si="1"/>
        <v>107301</v>
      </c>
      <c r="Q21" s="325">
        <f t="shared" si="0"/>
        <v>0</v>
      </c>
      <c r="R21" s="319">
        <v>0</v>
      </c>
    </row>
    <row r="22" spans="1:19" ht="18" thickBot="1" x14ac:dyDescent="0.35">
      <c r="A22" s="23"/>
      <c r="B22" s="24">
        <v>44791</v>
      </c>
      <c r="C22" s="25">
        <v>14097.5</v>
      </c>
      <c r="D22" s="35" t="s">
        <v>1184</v>
      </c>
      <c r="E22" s="27">
        <v>44791</v>
      </c>
      <c r="F22" s="28">
        <v>98340</v>
      </c>
      <c r="G22" s="572"/>
      <c r="H22" s="29">
        <v>44791</v>
      </c>
      <c r="I22" s="30">
        <v>3128</v>
      </c>
      <c r="J22" s="37"/>
      <c r="K22" s="31"/>
      <c r="L22" s="49"/>
      <c r="M22" s="32">
        <v>46128.5</v>
      </c>
      <c r="N22" s="33">
        <v>34986</v>
      </c>
      <c r="O22" s="577" t="s">
        <v>937</v>
      </c>
      <c r="P22" s="39">
        <f t="shared" si="1"/>
        <v>98340</v>
      </c>
      <c r="Q22" s="325">
        <f t="shared" si="0"/>
        <v>0</v>
      </c>
      <c r="R22" s="319">
        <v>0</v>
      </c>
    </row>
    <row r="23" spans="1:19" ht="18" customHeight="1" thickBot="1" x14ac:dyDescent="0.35">
      <c r="A23" s="23"/>
      <c r="B23" s="24">
        <v>44792</v>
      </c>
      <c r="C23" s="25">
        <v>7873</v>
      </c>
      <c r="D23" s="35" t="s">
        <v>1185</v>
      </c>
      <c r="E23" s="27">
        <v>44792</v>
      </c>
      <c r="F23" s="28">
        <v>105758</v>
      </c>
      <c r="G23" s="572"/>
      <c r="H23" s="29">
        <v>44792</v>
      </c>
      <c r="I23" s="30">
        <v>2018.5</v>
      </c>
      <c r="J23" s="50"/>
      <c r="K23" s="172"/>
      <c r="L23" s="45"/>
      <c r="M23" s="32">
        <v>58983.5</v>
      </c>
      <c r="N23" s="33">
        <v>42623</v>
      </c>
      <c r="O23" s="577" t="s">
        <v>937</v>
      </c>
      <c r="P23" s="39">
        <f t="shared" si="1"/>
        <v>111498</v>
      </c>
      <c r="Q23" s="325">
        <v>0</v>
      </c>
      <c r="R23" s="388">
        <v>5740</v>
      </c>
    </row>
    <row r="24" spans="1:19" ht="18" customHeight="1" thickBot="1" x14ac:dyDescent="0.35">
      <c r="A24" s="23"/>
      <c r="B24" s="24">
        <v>44793</v>
      </c>
      <c r="C24" s="25">
        <v>18797</v>
      </c>
      <c r="D24" s="42" t="s">
        <v>1186</v>
      </c>
      <c r="E24" s="27">
        <v>44793</v>
      </c>
      <c r="F24" s="28">
        <v>113402</v>
      </c>
      <c r="G24" s="572"/>
      <c r="H24" s="29">
        <v>44793</v>
      </c>
      <c r="I24" s="30">
        <v>4714</v>
      </c>
      <c r="J24" s="51">
        <v>44793</v>
      </c>
      <c r="K24" s="173" t="s">
        <v>1187</v>
      </c>
      <c r="L24" s="52">
        <v>18064</v>
      </c>
      <c r="M24" s="32">
        <v>100977</v>
      </c>
      <c r="N24" s="33">
        <v>44844</v>
      </c>
      <c r="O24" s="577" t="s">
        <v>937</v>
      </c>
      <c r="P24" s="39">
        <f>N24+M24+L24+I24+C24</f>
        <v>187396</v>
      </c>
      <c r="Q24" s="325">
        <v>0</v>
      </c>
      <c r="R24" s="388">
        <v>73994</v>
      </c>
    </row>
    <row r="25" spans="1:19" ht="18" thickBot="1" x14ac:dyDescent="0.35">
      <c r="A25" s="23"/>
      <c r="B25" s="24">
        <v>44794</v>
      </c>
      <c r="C25" s="25">
        <v>11074.5</v>
      </c>
      <c r="D25" s="35" t="s">
        <v>1188</v>
      </c>
      <c r="E25" s="27">
        <v>44794</v>
      </c>
      <c r="F25" s="28">
        <v>95169</v>
      </c>
      <c r="G25" s="572"/>
      <c r="H25" s="29">
        <v>44794</v>
      </c>
      <c r="I25" s="30">
        <v>1353</v>
      </c>
      <c r="J25" s="50"/>
      <c r="K25" s="38"/>
      <c r="L25" s="54"/>
      <c r="M25" s="32">
        <v>53500.5</v>
      </c>
      <c r="N25" s="33">
        <v>29241</v>
      </c>
      <c r="O25" s="577" t="s">
        <v>937</v>
      </c>
      <c r="P25" s="283">
        <f t="shared" si="1"/>
        <v>95169</v>
      </c>
      <c r="Q25" s="325">
        <f t="shared" si="0"/>
        <v>0</v>
      </c>
      <c r="R25" s="319">
        <v>0</v>
      </c>
    </row>
    <row r="26" spans="1:19" ht="18" thickBot="1" x14ac:dyDescent="0.35">
      <c r="A26" s="23"/>
      <c r="B26" s="24">
        <v>44795</v>
      </c>
      <c r="C26" s="25">
        <v>15886.5</v>
      </c>
      <c r="D26" s="35" t="s">
        <v>1189</v>
      </c>
      <c r="E26" s="27">
        <v>44795</v>
      </c>
      <c r="F26" s="28">
        <v>99660</v>
      </c>
      <c r="G26" s="572"/>
      <c r="H26" s="29">
        <v>44795</v>
      </c>
      <c r="I26" s="30">
        <v>956</v>
      </c>
      <c r="J26" s="37"/>
      <c r="K26" s="727"/>
      <c r="L26" s="728"/>
      <c r="M26" s="32">
        <f>10000+23209.5</f>
        <v>33209.5</v>
      </c>
      <c r="N26" s="33">
        <v>49608</v>
      </c>
      <c r="O26" s="577" t="s">
        <v>937</v>
      </c>
      <c r="P26" s="283">
        <f t="shared" si="1"/>
        <v>99660</v>
      </c>
      <c r="Q26" s="325">
        <f t="shared" si="0"/>
        <v>0</v>
      </c>
      <c r="R26" s="319">
        <v>0</v>
      </c>
    </row>
    <row r="27" spans="1:19" ht="18" customHeight="1" thickBot="1" x14ac:dyDescent="0.35">
      <c r="A27" s="23"/>
      <c r="B27" s="24">
        <v>44796</v>
      </c>
      <c r="C27" s="25">
        <v>14311</v>
      </c>
      <c r="D27" s="42" t="s">
        <v>1190</v>
      </c>
      <c r="E27" s="27">
        <v>44796</v>
      </c>
      <c r="F27" s="28">
        <v>111550</v>
      </c>
      <c r="G27" s="572"/>
      <c r="H27" s="29">
        <v>44796</v>
      </c>
      <c r="I27" s="30">
        <v>2408</v>
      </c>
      <c r="J27" s="55"/>
      <c r="K27" s="174"/>
      <c r="L27" s="54"/>
      <c r="M27" s="32">
        <v>63665</v>
      </c>
      <c r="N27" s="33">
        <v>31166</v>
      </c>
      <c r="O27" s="577" t="s">
        <v>937</v>
      </c>
      <c r="P27" s="283">
        <f t="shared" si="1"/>
        <v>111550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44797</v>
      </c>
      <c r="C28" s="25">
        <v>20577</v>
      </c>
      <c r="D28" s="42" t="s">
        <v>1191</v>
      </c>
      <c r="E28" s="27">
        <v>44797</v>
      </c>
      <c r="F28" s="28">
        <v>108964</v>
      </c>
      <c r="G28" s="572"/>
      <c r="H28" s="29">
        <v>44797</v>
      </c>
      <c r="I28" s="30">
        <v>4385</v>
      </c>
      <c r="J28" s="56"/>
      <c r="K28" s="57"/>
      <c r="L28" s="54"/>
      <c r="M28" s="32">
        <f>14701+9372+24359</f>
        <v>48432</v>
      </c>
      <c r="N28" s="33">
        <v>35570</v>
      </c>
      <c r="O28" s="577" t="s">
        <v>937</v>
      </c>
      <c r="P28" s="283">
        <f t="shared" si="1"/>
        <v>108964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44798</v>
      </c>
      <c r="C29" s="25">
        <v>20490</v>
      </c>
      <c r="D29" s="58" t="s">
        <v>1197</v>
      </c>
      <c r="E29" s="27">
        <v>44798</v>
      </c>
      <c r="F29" s="28">
        <v>104807</v>
      </c>
      <c r="G29" s="572"/>
      <c r="H29" s="29">
        <v>44798</v>
      </c>
      <c r="I29" s="30">
        <v>3229</v>
      </c>
      <c r="J29" s="59"/>
      <c r="K29" s="175"/>
      <c r="L29" s="54"/>
      <c r="M29" s="32">
        <v>54088</v>
      </c>
      <c r="N29" s="33">
        <v>27000</v>
      </c>
      <c r="O29" s="577" t="s">
        <v>937</v>
      </c>
      <c r="P29" s="283">
        <f t="shared" si="1"/>
        <v>104807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44799</v>
      </c>
      <c r="C30" s="25">
        <v>12414</v>
      </c>
      <c r="D30" s="58" t="s">
        <v>1198</v>
      </c>
      <c r="E30" s="27">
        <v>44799</v>
      </c>
      <c r="F30" s="28">
        <v>97054</v>
      </c>
      <c r="G30" s="572"/>
      <c r="H30" s="29">
        <v>44799</v>
      </c>
      <c r="I30" s="30">
        <v>3496</v>
      </c>
      <c r="J30" s="56"/>
      <c r="K30" s="38"/>
      <c r="L30" s="39"/>
      <c r="M30" s="32">
        <v>41955</v>
      </c>
      <c r="N30" s="33">
        <v>39189</v>
      </c>
      <c r="O30" s="577" t="s">
        <v>937</v>
      </c>
      <c r="P30" s="283">
        <f t="shared" si="1"/>
        <v>97054</v>
      </c>
      <c r="Q30" s="325">
        <f t="shared" si="0"/>
        <v>0</v>
      </c>
      <c r="R30" s="319">
        <v>0</v>
      </c>
    </row>
    <row r="31" spans="1:19" ht="18" thickBot="1" x14ac:dyDescent="0.35">
      <c r="A31" s="23"/>
      <c r="B31" s="24">
        <v>44800</v>
      </c>
      <c r="C31" s="25">
        <v>23381</v>
      </c>
      <c r="D31" s="67" t="s">
        <v>1199</v>
      </c>
      <c r="E31" s="27">
        <v>44800</v>
      </c>
      <c r="F31" s="28">
        <v>134624</v>
      </c>
      <c r="G31" s="572"/>
      <c r="H31" s="29">
        <v>44800</v>
      </c>
      <c r="I31" s="30">
        <v>5400</v>
      </c>
      <c r="J31" s="56">
        <v>44800</v>
      </c>
      <c r="K31" s="566" t="s">
        <v>1200</v>
      </c>
      <c r="L31" s="54">
        <v>18009</v>
      </c>
      <c r="M31" s="32">
        <v>26081</v>
      </c>
      <c r="N31" s="33">
        <v>61753</v>
      </c>
      <c r="O31" s="577" t="s">
        <v>937</v>
      </c>
      <c r="P31" s="34">
        <f t="shared" si="1"/>
        <v>134624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44801</v>
      </c>
      <c r="C32" s="25">
        <v>0</v>
      </c>
      <c r="D32" s="64"/>
      <c r="E32" s="27">
        <v>44801</v>
      </c>
      <c r="F32" s="28">
        <v>103403</v>
      </c>
      <c r="G32" s="572"/>
      <c r="H32" s="29">
        <v>44801</v>
      </c>
      <c r="I32" s="30">
        <v>120.5</v>
      </c>
      <c r="J32" s="56"/>
      <c r="K32" s="38"/>
      <c r="L32" s="39"/>
      <c r="M32" s="32">
        <v>55305.5</v>
      </c>
      <c r="N32" s="33">
        <v>47977</v>
      </c>
      <c r="O32" s="577" t="s">
        <v>937</v>
      </c>
      <c r="P32" s="34">
        <f t="shared" si="1"/>
        <v>103403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>
        <v>0</v>
      </c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v>0</v>
      </c>
      <c r="Q33" s="325">
        <v>0</v>
      </c>
      <c r="R33" s="319">
        <v>0</v>
      </c>
    </row>
    <row r="34" spans="1:18" ht="18" thickBot="1" x14ac:dyDescent="0.35">
      <c r="A34" s="23"/>
      <c r="B34" s="24">
        <v>44774</v>
      </c>
      <c r="C34" s="25">
        <v>3786</v>
      </c>
      <c r="D34" s="64" t="s">
        <v>1201</v>
      </c>
      <c r="E34" s="27"/>
      <c r="F34" s="28"/>
      <c r="G34" s="572"/>
      <c r="H34" s="29"/>
      <c r="I34" s="30"/>
      <c r="J34" s="56">
        <v>44779</v>
      </c>
      <c r="K34" s="738" t="s">
        <v>1157</v>
      </c>
      <c r="L34" s="39">
        <v>15889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44781</v>
      </c>
      <c r="C35" s="690">
        <v>8782.75</v>
      </c>
      <c r="D35" s="67" t="s">
        <v>1206</v>
      </c>
      <c r="E35" s="27"/>
      <c r="F35" s="28"/>
      <c r="G35" s="572"/>
      <c r="H35" s="29"/>
      <c r="I35" s="30"/>
      <c r="J35" s="698">
        <v>44786</v>
      </c>
      <c r="K35" s="739" t="s">
        <v>1158</v>
      </c>
      <c r="L35" s="702">
        <v>17693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44782</v>
      </c>
      <c r="C36" s="693">
        <v>2543.0700000000002</v>
      </c>
      <c r="D36" s="740" t="s">
        <v>1206</v>
      </c>
      <c r="E36" s="27"/>
      <c r="F36" s="28"/>
      <c r="G36" s="662"/>
      <c r="H36" s="29"/>
      <c r="I36" s="30"/>
      <c r="J36" s="56">
        <v>44793</v>
      </c>
      <c r="K36" s="738" t="s">
        <v>1187</v>
      </c>
      <c r="L36" s="39">
        <v>19292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44784</v>
      </c>
      <c r="C37" s="692">
        <v>36840</v>
      </c>
      <c r="D37" s="741" t="s">
        <v>1205</v>
      </c>
      <c r="E37" s="27"/>
      <c r="F37" s="28"/>
      <c r="G37" s="662"/>
      <c r="H37" s="29"/>
      <c r="I37" s="30"/>
      <c r="J37" s="56">
        <v>44800</v>
      </c>
      <c r="K37" s="738" t="s">
        <v>1200</v>
      </c>
      <c r="L37" s="39">
        <v>19291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44790</v>
      </c>
      <c r="C38" s="692">
        <v>7629.21</v>
      </c>
      <c r="D38" s="741" t="s">
        <v>1206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44792</v>
      </c>
      <c r="C39" s="692">
        <v>200000</v>
      </c>
      <c r="D39" s="695" t="s">
        <v>1208</v>
      </c>
      <c r="E39" s="27"/>
      <c r="F39" s="508"/>
      <c r="G39" s="662"/>
      <c r="H39" s="29"/>
      <c r="I39" s="71"/>
      <c r="J39" s="56">
        <v>44781</v>
      </c>
      <c r="K39" s="663" t="s">
        <v>1202</v>
      </c>
      <c r="L39" s="39">
        <v>6358.5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44796</v>
      </c>
      <c r="C40" s="692">
        <v>434740</v>
      </c>
      <c r="D40" s="696" t="s">
        <v>1208</v>
      </c>
      <c r="E40" s="27"/>
      <c r="F40" s="70"/>
      <c r="G40" s="572"/>
      <c r="H40" s="36"/>
      <c r="I40" s="71"/>
      <c r="J40" s="56">
        <v>44781</v>
      </c>
      <c r="K40" s="38" t="s">
        <v>1203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44796</v>
      </c>
      <c r="C41" s="692">
        <v>190403.20000000001</v>
      </c>
      <c r="D41" s="697" t="s">
        <v>1208</v>
      </c>
      <c r="E41" s="74"/>
      <c r="F41" s="75"/>
      <c r="G41" s="572"/>
      <c r="H41" s="76"/>
      <c r="I41" s="77"/>
      <c r="J41" s="56">
        <v>44782</v>
      </c>
      <c r="K41" s="742" t="s">
        <v>1204</v>
      </c>
      <c r="L41" s="39">
        <v>10440</v>
      </c>
      <c r="M41" s="925">
        <f>SUM(M5:M40)</f>
        <v>1553743.1800000002</v>
      </c>
      <c r="N41" s="925">
        <f>SUM(N5:N40)</f>
        <v>1198132</v>
      </c>
      <c r="P41" s="505">
        <f>SUM(P5:P40)</f>
        <v>3384938.6799999997</v>
      </c>
      <c r="Q41" s="979">
        <f>SUM(Q5:Q40)</f>
        <v>4</v>
      </c>
      <c r="R41" s="227">
        <f>SUM(R28:R40)</f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44785</v>
      </c>
      <c r="K42" s="701" t="s">
        <v>1100</v>
      </c>
      <c r="L42" s="702">
        <v>1856</v>
      </c>
      <c r="M42" s="926"/>
      <c r="N42" s="926"/>
      <c r="P42" s="34"/>
      <c r="Q42" s="980"/>
      <c r="R42" s="227">
        <f>SUM(R5:R41)</f>
        <v>182722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44788</v>
      </c>
      <c r="K43" s="38" t="s">
        <v>1202</v>
      </c>
      <c r="L43" s="39">
        <v>7141.1</v>
      </c>
      <c r="M43" s="726"/>
      <c r="N43" s="726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>
        <v>44789</v>
      </c>
      <c r="K44" s="38" t="s">
        <v>201</v>
      </c>
      <c r="L44" s="39">
        <v>549</v>
      </c>
      <c r="M44" s="726"/>
      <c r="N44" s="726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44792</v>
      </c>
      <c r="K45" s="671" t="s">
        <v>1207</v>
      </c>
      <c r="L45" s="39">
        <v>2030</v>
      </c>
      <c r="M45" s="981">
        <f>M41+N41</f>
        <v>2751875.18</v>
      </c>
      <c r="N45" s="982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44796</v>
      </c>
      <c r="K46" s="38" t="s">
        <v>1202</v>
      </c>
      <c r="L46" s="39">
        <v>6150.35</v>
      </c>
      <c r="M46" s="726"/>
      <c r="N46" s="726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44796</v>
      </c>
      <c r="K47" s="38" t="s">
        <v>825</v>
      </c>
      <c r="L47" s="39">
        <v>2320</v>
      </c>
      <c r="M47" s="726"/>
      <c r="N47" s="726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601">
        <v>44796</v>
      </c>
      <c r="K48" s="38" t="s">
        <v>1209</v>
      </c>
      <c r="L48" s="69">
        <v>4640</v>
      </c>
      <c r="M48" s="726"/>
      <c r="N48" s="726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44797</v>
      </c>
      <c r="K49" s="38" t="s">
        <v>1210</v>
      </c>
      <c r="L49" s="69">
        <f>11110.94+3061.13+1939.06</f>
        <v>16111.13</v>
      </c>
      <c r="M49" s="726"/>
      <c r="N49" s="726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44797</v>
      </c>
      <c r="K50" s="38" t="s">
        <v>1211</v>
      </c>
      <c r="L50" s="69">
        <f>120206.2</f>
        <v>120206.2</v>
      </c>
      <c r="M50" s="726"/>
      <c r="N50" s="726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44797</v>
      </c>
      <c r="K51" s="38" t="s">
        <v>1211</v>
      </c>
      <c r="L51" s="69">
        <v>79793.8</v>
      </c>
      <c r="M51" s="726"/>
      <c r="N51" s="726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44798</v>
      </c>
      <c r="K52" s="38" t="s">
        <v>1212</v>
      </c>
      <c r="L52" s="69">
        <v>16230.99</v>
      </c>
      <c r="M52" s="726"/>
      <c r="N52" s="726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>
        <v>44798</v>
      </c>
      <c r="K53" s="38" t="s">
        <v>1213</v>
      </c>
      <c r="L53" s="69">
        <v>28000</v>
      </c>
      <c r="M53" s="726"/>
      <c r="N53" s="726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>
        <v>44799</v>
      </c>
      <c r="K54" s="671" t="s">
        <v>1214</v>
      </c>
      <c r="L54" s="69">
        <v>5972.48</v>
      </c>
      <c r="M54" s="726"/>
      <c r="N54" s="726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>
        <v>44802</v>
      </c>
      <c r="K55" s="570" t="s">
        <v>1215</v>
      </c>
      <c r="L55" s="69">
        <v>7772</v>
      </c>
      <c r="M55" s="726"/>
      <c r="N55" s="726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>
        <v>44802</v>
      </c>
      <c r="K56" s="570" t="s">
        <v>1216</v>
      </c>
      <c r="L56" s="69">
        <v>30567.47</v>
      </c>
      <c r="M56" s="726"/>
      <c r="N56" s="726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26"/>
      <c r="N57" s="726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26"/>
      <c r="N58" s="726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26"/>
      <c r="N59" s="726"/>
      <c r="P59" s="34"/>
      <c r="Q59" s="13"/>
    </row>
    <row r="60" spans="1:17" ht="16.5" hidden="1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1367024.73</v>
      </c>
      <c r="D67" s="88"/>
      <c r="E67" s="91" t="s">
        <v>8</v>
      </c>
      <c r="F67" s="90">
        <f>SUM(F5:F60)</f>
        <v>3202213</v>
      </c>
      <c r="G67" s="573"/>
      <c r="H67" s="91" t="s">
        <v>9</v>
      </c>
      <c r="I67" s="92">
        <f>SUM(I5:I60)</f>
        <v>79249</v>
      </c>
      <c r="J67" s="93"/>
      <c r="K67" s="94" t="s">
        <v>10</v>
      </c>
      <c r="L67" s="95">
        <f>SUM(L5:L65)-L26</f>
        <v>493824.52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80" t="s">
        <v>11</v>
      </c>
      <c r="I69" s="881"/>
      <c r="J69" s="559"/>
      <c r="K69" s="1013">
        <f>I67+L67</f>
        <v>573073.52</v>
      </c>
      <c r="L69" s="1014"/>
      <c r="M69" s="272"/>
      <c r="N69" s="272"/>
      <c r="P69" s="34"/>
      <c r="Q69" s="13"/>
    </row>
    <row r="70" spans="1:17" x14ac:dyDescent="0.25">
      <c r="D70" s="886" t="s">
        <v>12</v>
      </c>
      <c r="E70" s="886"/>
      <c r="F70" s="312">
        <f>F67-K69-C67</f>
        <v>1262114.75</v>
      </c>
      <c r="I70" s="102"/>
      <c r="J70" s="560"/>
    </row>
    <row r="71" spans="1:17" ht="18.75" x14ac:dyDescent="0.3">
      <c r="D71" s="916" t="s">
        <v>95</v>
      </c>
      <c r="E71" s="916"/>
      <c r="F71" s="111">
        <v>-1715125.23</v>
      </c>
      <c r="I71" s="887" t="s">
        <v>13</v>
      </c>
      <c r="J71" s="888"/>
      <c r="K71" s="889">
        <f>F73+F74+F75</f>
        <v>2249865.5500000003</v>
      </c>
      <c r="L71" s="889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-301758.96000000002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-754769.44</v>
      </c>
      <c r="H73" s="555"/>
      <c r="I73" s="108" t="s">
        <v>15</v>
      </c>
      <c r="J73" s="109"/>
      <c r="K73" s="1015">
        <f>-C4</f>
        <v>-2274653.09</v>
      </c>
      <c r="L73" s="889"/>
    </row>
    <row r="74" spans="1:17" ht="16.5" thickBot="1" x14ac:dyDescent="0.3">
      <c r="D74" s="110" t="s">
        <v>16</v>
      </c>
      <c r="E74" s="98" t="s">
        <v>17</v>
      </c>
      <c r="F74" s="111">
        <v>332079</v>
      </c>
    </row>
    <row r="75" spans="1:17" ht="20.25" thickTop="1" thickBot="1" x14ac:dyDescent="0.35">
      <c r="C75" s="112">
        <v>44801</v>
      </c>
      <c r="D75" s="869" t="s">
        <v>18</v>
      </c>
      <c r="E75" s="870"/>
      <c r="F75" s="113">
        <v>2672555.9900000002</v>
      </c>
      <c r="I75" s="871" t="s">
        <v>97</v>
      </c>
      <c r="J75" s="872"/>
      <c r="K75" s="873">
        <f>K71+K73</f>
        <v>-24787.539999999572</v>
      </c>
      <c r="L75" s="873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E32" workbookViewId="0">
      <selection activeCell="N45" sqref="N45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7.7109375" style="4" customWidth="1"/>
    <col min="6" max="6" width="22.140625" style="3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25">
      <c r="A3" s="454">
        <v>44774</v>
      </c>
      <c r="B3" s="246" t="s">
        <v>1162</v>
      </c>
      <c r="C3" s="111">
        <v>154625.5</v>
      </c>
      <c r="D3" s="652">
        <v>44837</v>
      </c>
      <c r="E3" s="653">
        <v>154625.5</v>
      </c>
      <c r="F3" s="410">
        <f>C3-E3</f>
        <v>0</v>
      </c>
      <c r="H3" s="743" t="s">
        <v>1217</v>
      </c>
      <c r="I3" s="744">
        <v>9938</v>
      </c>
      <c r="J3" s="745">
        <v>20969</v>
      </c>
      <c r="K3" s="861">
        <v>44853</v>
      </c>
      <c r="L3" s="862">
        <v>20969</v>
      </c>
      <c r="M3" s="183">
        <f>J3-L3</f>
        <v>0</v>
      </c>
    </row>
    <row r="4" spans="1:13" ht="18.75" x14ac:dyDescent="0.3">
      <c r="A4" s="454">
        <v>44775</v>
      </c>
      <c r="B4" s="246" t="s">
        <v>1163</v>
      </c>
      <c r="C4" s="111">
        <v>33703.32</v>
      </c>
      <c r="D4" s="652">
        <v>44837</v>
      </c>
      <c r="E4" s="653">
        <v>33703.32</v>
      </c>
      <c r="F4" s="544">
        <f t="shared" ref="F4:F65" si="0">C4-E4</f>
        <v>0</v>
      </c>
      <c r="G4" s="138"/>
      <c r="H4" s="746" t="s">
        <v>1217</v>
      </c>
      <c r="I4" s="747">
        <v>9940</v>
      </c>
      <c r="J4" s="748">
        <v>1080</v>
      </c>
      <c r="K4" s="861">
        <v>44853</v>
      </c>
      <c r="L4" s="863">
        <v>1080</v>
      </c>
      <c r="M4" s="137">
        <f>M3+J4-L4</f>
        <v>0</v>
      </c>
    </row>
    <row r="5" spans="1:13" ht="15.75" x14ac:dyDescent="0.25">
      <c r="A5" s="454">
        <v>44777</v>
      </c>
      <c r="B5" s="246" t="s">
        <v>1164</v>
      </c>
      <c r="C5" s="111">
        <v>100041.42</v>
      </c>
      <c r="D5" s="652">
        <v>44837</v>
      </c>
      <c r="E5" s="653">
        <v>100041.42</v>
      </c>
      <c r="F5" s="544">
        <f t="shared" si="0"/>
        <v>0</v>
      </c>
      <c r="H5" s="743" t="s">
        <v>1218</v>
      </c>
      <c r="I5" s="744">
        <v>9950</v>
      </c>
      <c r="J5" s="745">
        <v>300</v>
      </c>
      <c r="K5" s="861">
        <v>44853</v>
      </c>
      <c r="L5" s="863">
        <v>300</v>
      </c>
      <c r="M5" s="137">
        <f t="shared" ref="M5:M65" si="1">M4+J5-L5</f>
        <v>0</v>
      </c>
    </row>
    <row r="6" spans="1:13" ht="15.75" x14ac:dyDescent="0.25">
      <c r="A6" s="454">
        <v>44778</v>
      </c>
      <c r="B6" s="246" t="s">
        <v>1165</v>
      </c>
      <c r="C6" s="111">
        <v>83301.009999999995</v>
      </c>
      <c r="D6" s="652">
        <v>44837</v>
      </c>
      <c r="E6" s="653">
        <v>83301.009999999995</v>
      </c>
      <c r="F6" s="544">
        <f t="shared" si="0"/>
        <v>0</v>
      </c>
      <c r="H6" s="746" t="s">
        <v>1219</v>
      </c>
      <c r="I6" s="747">
        <v>9963</v>
      </c>
      <c r="J6" s="748">
        <v>1907.2</v>
      </c>
      <c r="K6" s="861">
        <v>44853</v>
      </c>
      <c r="L6" s="863">
        <v>1907.2</v>
      </c>
      <c r="M6" s="137">
        <f t="shared" si="1"/>
        <v>0</v>
      </c>
    </row>
    <row r="7" spans="1:13" ht="15.75" x14ac:dyDescent="0.25">
      <c r="A7" s="454">
        <v>44779</v>
      </c>
      <c r="B7" s="246" t="s">
        <v>1166</v>
      </c>
      <c r="C7" s="111">
        <v>109154.04</v>
      </c>
      <c r="D7" s="652">
        <v>44837</v>
      </c>
      <c r="E7" s="653">
        <v>109154.04</v>
      </c>
      <c r="F7" s="544">
        <f t="shared" si="0"/>
        <v>0</v>
      </c>
      <c r="H7" s="746" t="s">
        <v>1220</v>
      </c>
      <c r="I7" s="747">
        <v>9981</v>
      </c>
      <c r="J7" s="748">
        <v>500</v>
      </c>
      <c r="K7" s="861">
        <v>44853</v>
      </c>
      <c r="L7" s="863">
        <v>500</v>
      </c>
      <c r="M7" s="137">
        <f t="shared" si="1"/>
        <v>0</v>
      </c>
    </row>
    <row r="8" spans="1:13" ht="15.75" x14ac:dyDescent="0.25">
      <c r="A8" s="454">
        <v>44781</v>
      </c>
      <c r="B8" s="246" t="s">
        <v>1167</v>
      </c>
      <c r="C8" s="111">
        <v>157421.98000000001</v>
      </c>
      <c r="D8" s="652">
        <v>44837</v>
      </c>
      <c r="E8" s="653">
        <v>157421.98000000001</v>
      </c>
      <c r="F8" s="544">
        <f t="shared" si="0"/>
        <v>0</v>
      </c>
      <c r="H8" s="743" t="s">
        <v>1220</v>
      </c>
      <c r="I8" s="744">
        <v>9985</v>
      </c>
      <c r="J8" s="745">
        <v>2866.38</v>
      </c>
      <c r="K8" s="861">
        <v>44853</v>
      </c>
      <c r="L8" s="863">
        <v>2866.38</v>
      </c>
      <c r="M8" s="137">
        <f t="shared" si="1"/>
        <v>0</v>
      </c>
    </row>
    <row r="9" spans="1:13" ht="15.75" x14ac:dyDescent="0.25">
      <c r="A9" s="454">
        <v>44782</v>
      </c>
      <c r="B9" s="246" t="s">
        <v>1168</v>
      </c>
      <c r="C9" s="111">
        <v>112479.02</v>
      </c>
      <c r="D9" s="652">
        <v>44837</v>
      </c>
      <c r="E9" s="653">
        <v>112479.02</v>
      </c>
      <c r="F9" s="544">
        <f t="shared" si="0"/>
        <v>0</v>
      </c>
      <c r="H9" s="743" t="s">
        <v>1221</v>
      </c>
      <c r="I9" s="744">
        <v>9988</v>
      </c>
      <c r="J9" s="745">
        <v>13086.8</v>
      </c>
      <c r="K9" s="861">
        <v>44853</v>
      </c>
      <c r="L9" s="863">
        <v>13086.8</v>
      </c>
      <c r="M9" s="137">
        <f t="shared" si="1"/>
        <v>0</v>
      </c>
    </row>
    <row r="10" spans="1:13" ht="18.75" x14ac:dyDescent="0.3">
      <c r="A10" s="454">
        <v>44783</v>
      </c>
      <c r="B10" s="246" t="s">
        <v>1169</v>
      </c>
      <c r="C10" s="111">
        <v>21000.400000000001</v>
      </c>
      <c r="D10" s="652">
        <v>44837</v>
      </c>
      <c r="E10" s="653">
        <v>21000.400000000001</v>
      </c>
      <c r="F10" s="544">
        <f t="shared" si="0"/>
        <v>0</v>
      </c>
      <c r="G10" s="138"/>
      <c r="H10" s="746" t="s">
        <v>1222</v>
      </c>
      <c r="I10" s="747">
        <v>10001</v>
      </c>
      <c r="J10" s="748">
        <v>300</v>
      </c>
      <c r="K10" s="861">
        <v>44853</v>
      </c>
      <c r="L10" s="863">
        <v>300</v>
      </c>
      <c r="M10" s="137">
        <f t="shared" si="1"/>
        <v>0</v>
      </c>
    </row>
    <row r="11" spans="1:13" ht="15.75" x14ac:dyDescent="0.25">
      <c r="A11" s="454">
        <v>44784</v>
      </c>
      <c r="B11" s="246" t="s">
        <v>1170</v>
      </c>
      <c r="C11" s="111">
        <v>60532.46</v>
      </c>
      <c r="D11" s="652">
        <v>44837</v>
      </c>
      <c r="E11" s="653">
        <v>60532.46</v>
      </c>
      <c r="F11" s="544">
        <f t="shared" si="0"/>
        <v>0</v>
      </c>
      <c r="H11" s="743" t="s">
        <v>1223</v>
      </c>
      <c r="I11" s="744">
        <v>10011</v>
      </c>
      <c r="J11" s="745">
        <v>3566.2</v>
      </c>
      <c r="K11" s="861">
        <v>44853</v>
      </c>
      <c r="L11" s="863">
        <v>3566.2</v>
      </c>
      <c r="M11" s="137">
        <f t="shared" si="1"/>
        <v>0</v>
      </c>
    </row>
    <row r="12" spans="1:13" ht="15.75" x14ac:dyDescent="0.25">
      <c r="A12" s="454">
        <v>44785</v>
      </c>
      <c r="B12" s="246" t="s">
        <v>1171</v>
      </c>
      <c r="C12" s="111">
        <v>73336.13</v>
      </c>
      <c r="D12" s="652">
        <v>44837</v>
      </c>
      <c r="E12" s="653">
        <v>73336.13</v>
      </c>
      <c r="F12" s="544">
        <f t="shared" si="0"/>
        <v>0</v>
      </c>
      <c r="H12" s="746" t="s">
        <v>1223</v>
      </c>
      <c r="I12" s="747">
        <v>10013</v>
      </c>
      <c r="J12" s="748">
        <v>500</v>
      </c>
      <c r="K12" s="861">
        <v>44853</v>
      </c>
      <c r="L12" s="863">
        <v>500</v>
      </c>
      <c r="M12" s="137">
        <f t="shared" si="1"/>
        <v>0</v>
      </c>
    </row>
    <row r="13" spans="1:13" ht="15.75" x14ac:dyDescent="0.25">
      <c r="A13" s="454">
        <v>44786</v>
      </c>
      <c r="B13" s="246" t="s">
        <v>1172</v>
      </c>
      <c r="C13" s="111">
        <v>104138.62</v>
      </c>
      <c r="D13" s="652">
        <v>44837</v>
      </c>
      <c r="E13" s="653">
        <v>104138.62</v>
      </c>
      <c r="F13" s="544">
        <f t="shared" si="0"/>
        <v>0</v>
      </c>
      <c r="H13" s="746" t="s">
        <v>1224</v>
      </c>
      <c r="I13" s="747">
        <v>10017</v>
      </c>
      <c r="J13" s="748">
        <v>1380</v>
      </c>
      <c r="K13" s="861">
        <v>44853</v>
      </c>
      <c r="L13" s="863">
        <v>1380</v>
      </c>
      <c r="M13" s="137">
        <f t="shared" si="1"/>
        <v>0</v>
      </c>
    </row>
    <row r="14" spans="1:13" ht="31.5" x14ac:dyDescent="0.25">
      <c r="A14" s="454">
        <v>44788</v>
      </c>
      <c r="B14" s="246" t="s">
        <v>1173</v>
      </c>
      <c r="C14" s="111">
        <v>120814.64</v>
      </c>
      <c r="D14" s="796" t="s">
        <v>1371</v>
      </c>
      <c r="E14" s="653">
        <f>76948.57+43866.07</f>
        <v>120814.64000000001</v>
      </c>
      <c r="F14" s="544">
        <f t="shared" si="0"/>
        <v>0</v>
      </c>
      <c r="H14" s="743" t="s">
        <v>1225</v>
      </c>
      <c r="I14" s="744">
        <v>10036</v>
      </c>
      <c r="J14" s="745">
        <v>1800</v>
      </c>
      <c r="K14" s="861">
        <v>44853</v>
      </c>
      <c r="L14" s="863">
        <v>1800</v>
      </c>
      <c r="M14" s="137">
        <f t="shared" si="1"/>
        <v>0</v>
      </c>
    </row>
    <row r="15" spans="1:13" ht="15.75" x14ac:dyDescent="0.25">
      <c r="A15" s="454">
        <v>44789</v>
      </c>
      <c r="B15" s="246" t="s">
        <v>1174</v>
      </c>
      <c r="C15" s="111">
        <v>19406.900000000001</v>
      </c>
      <c r="D15" s="584">
        <v>44841</v>
      </c>
      <c r="E15" s="585">
        <v>19406.900000000001</v>
      </c>
      <c r="F15" s="544">
        <f t="shared" si="0"/>
        <v>0</v>
      </c>
      <c r="H15" s="746" t="s">
        <v>1226</v>
      </c>
      <c r="I15" s="747">
        <v>10049</v>
      </c>
      <c r="J15" s="748">
        <v>13000.8</v>
      </c>
      <c r="K15" s="861">
        <v>44853</v>
      </c>
      <c r="L15" s="863">
        <v>13000.8</v>
      </c>
      <c r="M15" s="137">
        <f t="shared" si="1"/>
        <v>0</v>
      </c>
    </row>
    <row r="16" spans="1:13" ht="15.75" x14ac:dyDescent="0.25">
      <c r="A16" s="454">
        <v>44790</v>
      </c>
      <c r="B16" s="246" t="s">
        <v>1175</v>
      </c>
      <c r="C16" s="111">
        <v>67461.399999999994</v>
      </c>
      <c r="D16" s="584">
        <v>44841</v>
      </c>
      <c r="E16" s="585">
        <v>67461.399999999994</v>
      </c>
      <c r="F16" s="544">
        <f t="shared" si="0"/>
        <v>0</v>
      </c>
      <c r="H16" s="743" t="s">
        <v>1227</v>
      </c>
      <c r="I16" s="744">
        <v>10054</v>
      </c>
      <c r="J16" s="745">
        <v>30306.68</v>
      </c>
      <c r="K16" s="861">
        <v>44853</v>
      </c>
      <c r="L16" s="863">
        <v>30306.68</v>
      </c>
      <c r="M16" s="137">
        <f t="shared" si="1"/>
        <v>0</v>
      </c>
    </row>
    <row r="17" spans="1:13" ht="15.75" x14ac:dyDescent="0.25">
      <c r="A17" s="454">
        <v>44791</v>
      </c>
      <c r="B17" s="246" t="s">
        <v>1176</v>
      </c>
      <c r="C17" s="111">
        <v>79085.52</v>
      </c>
      <c r="D17" s="584">
        <v>44841</v>
      </c>
      <c r="E17" s="585">
        <v>79085.52</v>
      </c>
      <c r="F17" s="544">
        <f t="shared" si="0"/>
        <v>0</v>
      </c>
      <c r="H17" s="746" t="s">
        <v>1228</v>
      </c>
      <c r="I17" s="747">
        <v>10063</v>
      </c>
      <c r="J17" s="748">
        <v>400</v>
      </c>
      <c r="K17" s="861">
        <v>44853</v>
      </c>
      <c r="L17" s="863">
        <v>400</v>
      </c>
      <c r="M17" s="137">
        <f t="shared" si="1"/>
        <v>0</v>
      </c>
    </row>
    <row r="18" spans="1:13" ht="15.75" x14ac:dyDescent="0.25">
      <c r="A18" s="454">
        <v>44791</v>
      </c>
      <c r="B18" s="246" t="s">
        <v>1177</v>
      </c>
      <c r="C18" s="111">
        <v>543.20000000000005</v>
      </c>
      <c r="D18" s="584">
        <v>44841</v>
      </c>
      <c r="E18" s="585">
        <v>543.20000000000005</v>
      </c>
      <c r="F18" s="544">
        <f t="shared" si="0"/>
        <v>0</v>
      </c>
      <c r="H18" s="746" t="s">
        <v>1229</v>
      </c>
      <c r="I18" s="747">
        <v>10067</v>
      </c>
      <c r="J18" s="748">
        <v>0</v>
      </c>
      <c r="K18" s="861">
        <v>44853</v>
      </c>
      <c r="L18" s="863">
        <v>0</v>
      </c>
      <c r="M18" s="137">
        <f t="shared" si="1"/>
        <v>0</v>
      </c>
    </row>
    <row r="19" spans="1:13" ht="31.5" x14ac:dyDescent="0.25">
      <c r="A19" s="454">
        <v>44792</v>
      </c>
      <c r="B19" s="246" t="s">
        <v>1178</v>
      </c>
      <c r="C19" s="111">
        <v>22809.58</v>
      </c>
      <c r="D19" s="805" t="s">
        <v>1373</v>
      </c>
      <c r="E19" s="585">
        <f>16600.41+6209.17</f>
        <v>22809.58</v>
      </c>
      <c r="F19" s="544">
        <f t="shared" si="0"/>
        <v>0</v>
      </c>
      <c r="H19" s="743" t="s">
        <v>1229</v>
      </c>
      <c r="I19" s="744">
        <v>10068</v>
      </c>
      <c r="J19" s="745">
        <v>65604</v>
      </c>
      <c r="K19" s="861">
        <v>44853</v>
      </c>
      <c r="L19" s="863">
        <v>65604</v>
      </c>
      <c r="M19" s="137">
        <f t="shared" si="1"/>
        <v>0</v>
      </c>
    </row>
    <row r="20" spans="1:13" ht="15.75" x14ac:dyDescent="0.25">
      <c r="A20" s="454">
        <v>44793</v>
      </c>
      <c r="B20" s="246" t="s">
        <v>1179</v>
      </c>
      <c r="C20" s="111">
        <v>95140.96</v>
      </c>
      <c r="D20" s="806">
        <v>44842</v>
      </c>
      <c r="E20" s="707">
        <v>95140.96</v>
      </c>
      <c r="F20" s="544">
        <f t="shared" si="0"/>
        <v>0</v>
      </c>
      <c r="H20" s="743" t="s">
        <v>1230</v>
      </c>
      <c r="I20" s="744">
        <v>10080</v>
      </c>
      <c r="J20" s="745">
        <v>24654.400000000001</v>
      </c>
      <c r="K20" s="861">
        <v>44853</v>
      </c>
      <c r="L20" s="863">
        <v>24654.400000000001</v>
      </c>
      <c r="M20" s="137">
        <f t="shared" si="1"/>
        <v>0</v>
      </c>
    </row>
    <row r="21" spans="1:13" ht="15.75" x14ac:dyDescent="0.25">
      <c r="A21" s="454">
        <v>44793</v>
      </c>
      <c r="B21" s="246" t="s">
        <v>1180</v>
      </c>
      <c r="C21" s="111">
        <v>1861.5</v>
      </c>
      <c r="D21" s="806">
        <v>44842</v>
      </c>
      <c r="E21" s="707">
        <v>1861.5</v>
      </c>
      <c r="F21" s="544">
        <f t="shared" si="0"/>
        <v>0</v>
      </c>
      <c r="H21" s="746" t="s">
        <v>1231</v>
      </c>
      <c r="I21" s="747">
        <v>10085</v>
      </c>
      <c r="J21" s="748">
        <v>2029.1</v>
      </c>
      <c r="K21" s="861">
        <v>44853</v>
      </c>
      <c r="L21" s="863">
        <v>2029.1</v>
      </c>
      <c r="M21" s="137">
        <f t="shared" si="1"/>
        <v>0</v>
      </c>
    </row>
    <row r="22" spans="1:13" ht="18.75" x14ac:dyDescent="0.3">
      <c r="A22" s="454">
        <v>44795</v>
      </c>
      <c r="B22" s="246" t="s">
        <v>1181</v>
      </c>
      <c r="C22" s="111">
        <v>108419.36</v>
      </c>
      <c r="D22" s="806">
        <v>44842</v>
      </c>
      <c r="E22" s="707">
        <v>108419.36</v>
      </c>
      <c r="F22" s="544">
        <f t="shared" si="0"/>
        <v>0</v>
      </c>
      <c r="G22" s="644"/>
      <c r="H22" s="746" t="s">
        <v>1231</v>
      </c>
      <c r="I22" s="747">
        <v>10087</v>
      </c>
      <c r="J22" s="748">
        <v>16779.599999999999</v>
      </c>
      <c r="K22" s="861">
        <v>44853</v>
      </c>
      <c r="L22" s="863">
        <v>16779.599999999999</v>
      </c>
      <c r="M22" s="137">
        <f t="shared" si="1"/>
        <v>0</v>
      </c>
    </row>
    <row r="23" spans="1:13" ht="15.75" x14ac:dyDescent="0.25">
      <c r="A23" s="454">
        <v>44796</v>
      </c>
      <c r="B23" s="246" t="s">
        <v>1192</v>
      </c>
      <c r="C23" s="111">
        <v>17118</v>
      </c>
      <c r="D23" s="806">
        <v>44842</v>
      </c>
      <c r="E23" s="707">
        <v>17118</v>
      </c>
      <c r="F23" s="544">
        <f t="shared" si="0"/>
        <v>0</v>
      </c>
      <c r="G23" s="2"/>
      <c r="H23" s="743" t="s">
        <v>1232</v>
      </c>
      <c r="I23" s="744">
        <v>10106</v>
      </c>
      <c r="J23" s="745">
        <v>3162</v>
      </c>
      <c r="K23" s="861">
        <v>44853</v>
      </c>
      <c r="L23" s="863">
        <v>3162</v>
      </c>
      <c r="M23" s="137">
        <f t="shared" si="1"/>
        <v>0</v>
      </c>
    </row>
    <row r="24" spans="1:13" ht="21" customHeight="1" x14ac:dyDescent="0.25">
      <c r="A24" s="454">
        <v>44797</v>
      </c>
      <c r="B24" s="246" t="s">
        <v>1193</v>
      </c>
      <c r="C24" s="111">
        <v>35648.26</v>
      </c>
      <c r="D24" s="806">
        <v>44842</v>
      </c>
      <c r="E24" s="707">
        <v>35648.26</v>
      </c>
      <c r="F24" s="544">
        <f t="shared" si="0"/>
        <v>0</v>
      </c>
      <c r="G24" s="2"/>
      <c r="H24" s="746" t="s">
        <v>1232</v>
      </c>
      <c r="I24" s="747">
        <v>10107</v>
      </c>
      <c r="J24" s="748">
        <v>43133.2</v>
      </c>
      <c r="K24" s="861">
        <v>44853</v>
      </c>
      <c r="L24" s="863">
        <v>43133.2</v>
      </c>
      <c r="M24" s="137">
        <f t="shared" si="1"/>
        <v>0</v>
      </c>
    </row>
    <row r="25" spans="1:13" ht="31.5" x14ac:dyDescent="0.25">
      <c r="A25" s="454">
        <v>44797</v>
      </c>
      <c r="B25" s="246" t="s">
        <v>1194</v>
      </c>
      <c r="C25" s="111">
        <v>104295.06</v>
      </c>
      <c r="D25" s="808" t="s">
        <v>1374</v>
      </c>
      <c r="E25" s="707">
        <f>6215.75+98079.31</f>
        <v>104295.06</v>
      </c>
      <c r="F25" s="544">
        <f t="shared" si="0"/>
        <v>0</v>
      </c>
      <c r="G25" s="645"/>
      <c r="H25" s="746" t="s">
        <v>1233</v>
      </c>
      <c r="I25" s="747">
        <v>10115</v>
      </c>
      <c r="J25" s="748">
        <v>11058</v>
      </c>
      <c r="K25" s="861">
        <v>44853</v>
      </c>
      <c r="L25" s="863">
        <v>11058</v>
      </c>
      <c r="M25" s="137">
        <f t="shared" si="1"/>
        <v>0</v>
      </c>
    </row>
    <row r="26" spans="1:13" ht="15.75" x14ac:dyDescent="0.25">
      <c r="A26" s="454">
        <v>44798</v>
      </c>
      <c r="B26" s="580" t="s">
        <v>1195</v>
      </c>
      <c r="C26" s="111">
        <v>7764.05</v>
      </c>
      <c r="D26" s="807">
        <v>44845</v>
      </c>
      <c r="E26" s="261">
        <v>7764.05</v>
      </c>
      <c r="F26" s="544">
        <f t="shared" si="0"/>
        <v>0</v>
      </c>
      <c r="G26" s="645"/>
      <c r="H26" s="746" t="s">
        <v>1234</v>
      </c>
      <c r="I26" s="747">
        <v>10123</v>
      </c>
      <c r="J26" s="748">
        <v>2038</v>
      </c>
      <c r="K26" s="861">
        <v>44853</v>
      </c>
      <c r="L26" s="863">
        <v>2038</v>
      </c>
      <c r="M26" s="137">
        <f t="shared" si="1"/>
        <v>0</v>
      </c>
    </row>
    <row r="27" spans="1:13" ht="15.75" x14ac:dyDescent="0.25">
      <c r="A27" s="454">
        <v>44799</v>
      </c>
      <c r="B27" s="246" t="s">
        <v>1196</v>
      </c>
      <c r="C27" s="111">
        <v>25022.9</v>
      </c>
      <c r="D27" s="807">
        <v>44845</v>
      </c>
      <c r="E27" s="261">
        <v>25022.9</v>
      </c>
      <c r="F27" s="544">
        <f t="shared" si="0"/>
        <v>0</v>
      </c>
      <c r="G27" s="645"/>
      <c r="H27" s="743" t="s">
        <v>1234</v>
      </c>
      <c r="I27" s="744">
        <v>10124</v>
      </c>
      <c r="J27" s="745">
        <v>26455.599999999999</v>
      </c>
      <c r="K27" s="861">
        <v>44853</v>
      </c>
      <c r="L27" s="863">
        <v>26455.599999999999</v>
      </c>
      <c r="M27" s="137">
        <f t="shared" si="1"/>
        <v>0</v>
      </c>
    </row>
    <row r="28" spans="1:13" ht="15.75" x14ac:dyDescent="0.25">
      <c r="A28" s="454"/>
      <c r="B28" s="246"/>
      <c r="C28" s="111"/>
      <c r="D28" s="412"/>
      <c r="E28" s="111"/>
      <c r="F28" s="544">
        <f t="shared" si="0"/>
        <v>0</v>
      </c>
      <c r="G28" s="645"/>
      <c r="H28" s="743" t="s">
        <v>1235</v>
      </c>
      <c r="I28" s="744">
        <v>10134</v>
      </c>
      <c r="J28" s="745">
        <v>1670</v>
      </c>
      <c r="K28" s="861">
        <v>44853</v>
      </c>
      <c r="L28" s="863">
        <v>1670</v>
      </c>
      <c r="M28" s="137">
        <f t="shared" si="1"/>
        <v>0</v>
      </c>
    </row>
    <row r="29" spans="1:13" ht="15.75" x14ac:dyDescent="0.25">
      <c r="A29" s="454"/>
      <c r="B29" s="246"/>
      <c r="C29" s="111"/>
      <c r="D29" s="412"/>
      <c r="E29" s="111"/>
      <c r="F29" s="544">
        <f t="shared" si="0"/>
        <v>0</v>
      </c>
      <c r="G29" s="645"/>
      <c r="H29" s="743" t="s">
        <v>1235</v>
      </c>
      <c r="I29" s="744">
        <v>10136</v>
      </c>
      <c r="J29" s="745">
        <v>550</v>
      </c>
      <c r="K29" s="861">
        <v>44853</v>
      </c>
      <c r="L29" s="863">
        <v>550</v>
      </c>
      <c r="M29" s="137">
        <f t="shared" si="1"/>
        <v>0</v>
      </c>
    </row>
    <row r="30" spans="1:13" ht="15.75" x14ac:dyDescent="0.25">
      <c r="A30" s="454"/>
      <c r="B30" s="246"/>
      <c r="C30" s="111"/>
      <c r="D30" s="412"/>
      <c r="E30" s="111"/>
      <c r="F30" s="544">
        <f t="shared" si="0"/>
        <v>0</v>
      </c>
      <c r="G30" s="645"/>
      <c r="H30" s="746" t="s">
        <v>1236</v>
      </c>
      <c r="I30" s="747">
        <v>10141</v>
      </c>
      <c r="J30" s="748">
        <v>440</v>
      </c>
      <c r="K30" s="861">
        <v>44853</v>
      </c>
      <c r="L30" s="863">
        <v>440</v>
      </c>
      <c r="M30" s="137">
        <f t="shared" si="1"/>
        <v>0</v>
      </c>
    </row>
    <row r="31" spans="1:13" ht="15.75" x14ac:dyDescent="0.25">
      <c r="A31" s="454"/>
      <c r="B31" s="246"/>
      <c r="C31" s="111"/>
      <c r="D31" s="412"/>
      <c r="E31" s="111"/>
      <c r="F31" s="544">
        <f t="shared" si="0"/>
        <v>0</v>
      </c>
      <c r="G31" s="2"/>
      <c r="H31" s="746" t="s">
        <v>1237</v>
      </c>
      <c r="I31" s="747">
        <v>10148</v>
      </c>
      <c r="J31" s="748">
        <v>1298</v>
      </c>
      <c r="K31" s="861">
        <v>44853</v>
      </c>
      <c r="L31" s="863">
        <v>1298</v>
      </c>
      <c r="M31" s="137">
        <f t="shared" si="1"/>
        <v>0</v>
      </c>
    </row>
    <row r="32" spans="1:13" ht="15.75" x14ac:dyDescent="0.25">
      <c r="A32" s="454"/>
      <c r="B32" s="246"/>
      <c r="C32" s="111"/>
      <c r="D32" s="412"/>
      <c r="E32" s="111"/>
      <c r="F32" s="544">
        <f t="shared" si="0"/>
        <v>0</v>
      </c>
      <c r="G32" s="2"/>
      <c r="H32" s="743" t="s">
        <v>1238</v>
      </c>
      <c r="I32" s="744">
        <v>10160</v>
      </c>
      <c r="J32" s="745">
        <v>9934</v>
      </c>
      <c r="K32" s="861">
        <v>44853</v>
      </c>
      <c r="L32" s="863">
        <v>9934</v>
      </c>
      <c r="M32" s="137">
        <f t="shared" si="1"/>
        <v>0</v>
      </c>
    </row>
    <row r="33" spans="1:13" ht="15.75" x14ac:dyDescent="0.25">
      <c r="A33" s="454"/>
      <c r="B33" s="246"/>
      <c r="C33" s="111"/>
      <c r="D33" s="412"/>
      <c r="E33" s="111"/>
      <c r="F33" s="544">
        <f t="shared" si="0"/>
        <v>0</v>
      </c>
      <c r="H33" s="746" t="s">
        <v>1239</v>
      </c>
      <c r="I33" s="747">
        <v>10183</v>
      </c>
      <c r="J33" s="748">
        <v>550</v>
      </c>
      <c r="K33" s="861">
        <v>44853</v>
      </c>
      <c r="L33" s="863">
        <v>550</v>
      </c>
      <c r="M33" s="137">
        <f t="shared" si="1"/>
        <v>0</v>
      </c>
    </row>
    <row r="34" spans="1:13" ht="15.75" x14ac:dyDescent="0.25">
      <c r="A34" s="454"/>
      <c r="B34" s="246"/>
      <c r="C34" s="111"/>
      <c r="D34" s="412"/>
      <c r="E34" s="111"/>
      <c r="F34" s="544">
        <f t="shared" si="0"/>
        <v>0</v>
      </c>
      <c r="H34" s="743" t="s">
        <v>1240</v>
      </c>
      <c r="I34" s="744">
        <v>10187</v>
      </c>
      <c r="J34" s="745">
        <v>440</v>
      </c>
      <c r="K34" s="861">
        <v>44853</v>
      </c>
      <c r="L34" s="863">
        <v>440</v>
      </c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5.75" x14ac:dyDescent="0.25">
      <c r="A37" s="454"/>
      <c r="B37" s="246"/>
      <c r="C37" s="111"/>
      <c r="D37" s="412"/>
      <c r="E37" s="111"/>
      <c r="F37" s="544">
        <f t="shared" si="0"/>
        <v>0</v>
      </c>
      <c r="H37" s="1024" t="s">
        <v>1455</v>
      </c>
      <c r="I37" s="1025"/>
      <c r="J37" s="1025"/>
      <c r="K37" s="1026"/>
      <c r="L37" s="111"/>
      <c r="M37" s="137">
        <f t="shared" si="1"/>
        <v>0</v>
      </c>
    </row>
    <row r="38" spans="1:13" ht="15.75" x14ac:dyDescent="0.25">
      <c r="A38" s="454"/>
      <c r="B38" s="246"/>
      <c r="C38" s="111"/>
      <c r="D38" s="412"/>
      <c r="E38" s="111"/>
      <c r="F38" s="544">
        <f t="shared" si="0"/>
        <v>0</v>
      </c>
      <c r="H38" s="1024"/>
      <c r="I38" s="1025"/>
      <c r="J38" s="1025"/>
      <c r="K38" s="1026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973" t="s">
        <v>594</v>
      </c>
      <c r="I40" s="974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975"/>
      <c r="I41" s="976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977"/>
      <c r="I42" s="978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4" thickTop="1" x14ac:dyDescent="0.35">
      <c r="B67" s="440"/>
      <c r="C67" s="212">
        <f>SUM(C3:C66)</f>
        <v>1715125.23</v>
      </c>
      <c r="D67" s="407"/>
      <c r="E67" s="395">
        <f>SUM(E3:E66)</f>
        <v>1715125.23</v>
      </c>
      <c r="F67" s="153">
        <f>SUM(F3:F66)</f>
        <v>0</v>
      </c>
      <c r="G67" s="797" t="s">
        <v>1372</v>
      </c>
      <c r="H67" s="969" t="s">
        <v>594</v>
      </c>
      <c r="I67" s="970"/>
      <c r="J67" s="642">
        <f>SUM(J3:J66)</f>
        <v>301758.95999999996</v>
      </c>
      <c r="K67" s="713"/>
      <c r="L67" s="209">
        <f>SUM(L3:L66)</f>
        <v>301758.95999999996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31" t="s">
        <v>207</v>
      </c>
      <c r="H68" s="971"/>
      <c r="I68" s="972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32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6.5" thickBot="1" x14ac:dyDescent="0.3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798"/>
      <c r="C72" s="126"/>
      <c r="D72" s="799"/>
      <c r="E72" s="759"/>
      <c r="F72" s="127"/>
      <c r="H72" s="813"/>
      <c r="I72" s="814"/>
      <c r="J72" s="815"/>
      <c r="L72"/>
      <c r="M72"/>
    </row>
    <row r="73" spans="1:13" ht="15.75" customHeight="1" thickBot="1" x14ac:dyDescent="0.3">
      <c r="A73" s="98"/>
      <c r="B73" s="798"/>
      <c r="C73" s="126"/>
      <c r="D73" s="799"/>
      <c r="E73" s="759"/>
      <c r="F73" s="127"/>
      <c r="H73" s="1033" t="s">
        <v>1376</v>
      </c>
      <c r="I73" s="1034"/>
      <c r="J73" s="1035"/>
      <c r="L73"/>
      <c r="M73"/>
    </row>
    <row r="74" spans="1:13" ht="18.75" customHeight="1" thickBot="1" x14ac:dyDescent="0.3">
      <c r="A74" s="98"/>
      <c r="B74" s="798"/>
      <c r="C74" s="129"/>
      <c r="D74" s="799"/>
      <c r="E74" s="1039" t="s">
        <v>1375</v>
      </c>
      <c r="F74" s="1040"/>
      <c r="H74" s="1036"/>
      <c r="I74" s="1037"/>
      <c r="J74" s="1038"/>
      <c r="L74"/>
      <c r="M74"/>
    </row>
    <row r="75" spans="1:13" ht="17.25" thickTop="1" thickBot="1" x14ac:dyDescent="0.3">
      <c r="A75" s="98"/>
      <c r="B75" s="798"/>
      <c r="C75" s="233"/>
      <c r="D75" s="799"/>
      <c r="E75" s="1041"/>
      <c r="F75" s="1042"/>
      <c r="H75" s="816"/>
      <c r="I75" s="759"/>
      <c r="J75" s="817"/>
      <c r="L75"/>
      <c r="M75"/>
    </row>
    <row r="76" spans="1:13" ht="16.5" thickBot="1" x14ac:dyDescent="0.3">
      <c r="A76" s="98"/>
      <c r="B76" s="798"/>
      <c r="C76" s="233"/>
      <c r="D76" s="799"/>
      <c r="E76" s="810"/>
      <c r="F76" s="809"/>
      <c r="H76" s="816"/>
      <c r="I76" s="759"/>
      <c r="J76" s="817"/>
      <c r="L76"/>
      <c r="M76"/>
    </row>
    <row r="77" spans="1:13" ht="27" thickBot="1" x14ac:dyDescent="0.45">
      <c r="A77" s="98"/>
      <c r="B77" s="798"/>
      <c r="C77" s="233"/>
      <c r="D77" s="799"/>
      <c r="E77" s="1028">
        <v>642271.04</v>
      </c>
      <c r="F77" s="1029"/>
      <c r="H77" s="1030">
        <v>584997.29</v>
      </c>
      <c r="I77" s="1031"/>
      <c r="J77" s="1032"/>
      <c r="L77"/>
      <c r="M77"/>
    </row>
    <row r="78" spans="1:13" ht="16.5" thickBot="1" x14ac:dyDescent="0.3">
      <c r="A78" s="98"/>
      <c r="B78" s="798"/>
      <c r="C78" s="233"/>
      <c r="D78" s="799"/>
      <c r="E78" s="811"/>
      <c r="F78" s="812"/>
      <c r="H78" s="816"/>
      <c r="I78" s="759"/>
      <c r="J78" s="817"/>
      <c r="L78"/>
      <c r="M78"/>
    </row>
    <row r="79" spans="1:13" ht="15.75" x14ac:dyDescent="0.25">
      <c r="A79" s="98"/>
      <c r="B79" s="798"/>
      <c r="C79" s="233"/>
      <c r="D79" s="799"/>
      <c r="E79" s="233"/>
      <c r="F79" s="127"/>
      <c r="H79" s="816"/>
      <c r="I79" s="759"/>
      <c r="J79" s="817"/>
      <c r="L79"/>
      <c r="M79"/>
    </row>
    <row r="80" spans="1:13" ht="15.75" x14ac:dyDescent="0.25">
      <c r="A80" s="98"/>
      <c r="B80" s="798"/>
      <c r="C80" s="233"/>
      <c r="D80" s="799"/>
      <c r="E80" s="233"/>
      <c r="F80" s="1027" t="s">
        <v>1377</v>
      </c>
      <c r="G80" s="1027"/>
      <c r="H80" s="1027"/>
      <c r="I80" s="1027"/>
      <c r="J80" s="817"/>
      <c r="L80"/>
      <c r="M80"/>
    </row>
    <row r="81" spans="1:13" ht="16.5" thickBot="1" x14ac:dyDescent="0.3">
      <c r="A81" s="98"/>
      <c r="B81" s="756"/>
      <c r="C81" s="233"/>
      <c r="D81" s="799"/>
      <c r="E81" s="126"/>
      <c r="F81" s="1027"/>
      <c r="G81" s="1027"/>
      <c r="H81" s="1027"/>
      <c r="I81" s="1027"/>
      <c r="J81" s="818"/>
      <c r="L81"/>
      <c r="M81"/>
    </row>
    <row r="82" spans="1:13" ht="15.75" x14ac:dyDescent="0.25">
      <c r="A82" s="98"/>
      <c r="B82" s="756"/>
      <c r="C82" s="233"/>
      <c r="D82" s="799"/>
      <c r="E82" s="126"/>
      <c r="F82" s="127"/>
      <c r="H82"/>
      <c r="I82"/>
      <c r="J82"/>
      <c r="L82"/>
      <c r="M82"/>
    </row>
    <row r="83" spans="1:13" ht="15.75" x14ac:dyDescent="0.25">
      <c r="A83" s="98"/>
      <c r="B83" s="756"/>
      <c r="C83" s="233"/>
      <c r="D83" s="799"/>
      <c r="E83" s="126"/>
      <c r="F83" s="127"/>
      <c r="H83"/>
      <c r="I83"/>
      <c r="J83"/>
      <c r="L83"/>
      <c r="M83"/>
    </row>
    <row r="84" spans="1:13" ht="15.75" x14ac:dyDescent="0.25">
      <c r="A84" s="98"/>
      <c r="B84" s="756"/>
      <c r="C84" s="233"/>
      <c r="D84" s="799"/>
      <c r="E84" s="126"/>
      <c r="F84" s="127"/>
      <c r="H84"/>
      <c r="I84"/>
      <c r="J84"/>
      <c r="L84"/>
      <c r="M84"/>
    </row>
    <row r="85" spans="1:13" ht="15.75" x14ac:dyDescent="0.25">
      <c r="A85" s="98"/>
      <c r="B85" s="756"/>
      <c r="C85" s="233"/>
      <c r="D85" s="799"/>
      <c r="E85" s="126"/>
      <c r="F85" s="127"/>
      <c r="H85"/>
      <c r="I85"/>
      <c r="J85"/>
      <c r="L85"/>
      <c r="M85"/>
    </row>
    <row r="86" spans="1:13" ht="15.75" x14ac:dyDescent="0.25">
      <c r="A86" s="98"/>
      <c r="B86" s="756"/>
      <c r="C86" s="233"/>
      <c r="D86" s="799"/>
      <c r="E86" s="126"/>
      <c r="F86" s="127"/>
      <c r="H86"/>
      <c r="I86"/>
      <c r="J86"/>
      <c r="L86"/>
      <c r="M86"/>
    </row>
    <row r="87" spans="1:13" ht="15.75" x14ac:dyDescent="0.25">
      <c r="A87" s="98"/>
      <c r="B87" s="756"/>
      <c r="C87" s="233"/>
      <c r="D87" s="799"/>
      <c r="E87" s="126"/>
      <c r="F87" s="127"/>
      <c r="H87"/>
      <c r="I87"/>
      <c r="J87"/>
      <c r="L87"/>
      <c r="M87"/>
    </row>
    <row r="88" spans="1:13" ht="15.75" x14ac:dyDescent="0.25">
      <c r="A88" s="98"/>
      <c r="B88" s="756"/>
      <c r="C88" s="233"/>
      <c r="D88" s="799"/>
      <c r="E88" s="126"/>
      <c r="F88" s="127"/>
      <c r="H88"/>
      <c r="I88"/>
      <c r="J88"/>
      <c r="L88"/>
      <c r="M88"/>
    </row>
    <row r="89" spans="1:13" ht="15.75" x14ac:dyDescent="0.25">
      <c r="A89" s="98"/>
      <c r="B89" s="756"/>
      <c r="C89" s="233"/>
      <c r="D89" s="799"/>
      <c r="E89" s="126"/>
      <c r="F89" s="127"/>
      <c r="H89"/>
      <c r="I89"/>
      <c r="J89"/>
      <c r="L89"/>
      <c r="M89"/>
    </row>
    <row r="90" spans="1:13" ht="15.75" x14ac:dyDescent="0.25">
      <c r="A90" s="98"/>
      <c r="B90" s="756"/>
      <c r="C90" s="233"/>
      <c r="D90" s="799"/>
      <c r="E90" s="126"/>
      <c r="F90" s="127"/>
      <c r="H90"/>
      <c r="I90"/>
      <c r="J90"/>
      <c r="L90"/>
      <c r="M90"/>
    </row>
    <row r="91" spans="1:13" ht="15.75" x14ac:dyDescent="0.25">
      <c r="A91" s="98"/>
      <c r="B91" s="756"/>
      <c r="C91" s="233"/>
      <c r="D91" s="799"/>
      <c r="E91" s="126"/>
      <c r="F91" s="127"/>
      <c r="H91"/>
      <c r="I91"/>
      <c r="J91"/>
      <c r="L91"/>
      <c r="M91"/>
    </row>
    <row r="92" spans="1:13" ht="15.75" x14ac:dyDescent="0.25">
      <c r="A92" s="98"/>
      <c r="B92" s="756"/>
      <c r="C92" s="233"/>
      <c r="D92" s="799"/>
      <c r="E92" s="126"/>
      <c r="F92" s="127"/>
      <c r="H92"/>
      <c r="I92"/>
      <c r="J92"/>
      <c r="L92"/>
      <c r="M92"/>
    </row>
    <row r="93" spans="1:13" ht="15.75" x14ac:dyDescent="0.25">
      <c r="A93" s="98"/>
      <c r="B93" s="756"/>
      <c r="C93" s="233"/>
      <c r="D93" s="799"/>
      <c r="E93" s="126"/>
      <c r="F93" s="127"/>
      <c r="H93"/>
      <c r="I93"/>
      <c r="J93"/>
      <c r="L93"/>
      <c r="M93"/>
    </row>
    <row r="94" spans="1:13" ht="15.75" x14ac:dyDescent="0.25">
      <c r="A94" s="98"/>
      <c r="B94" s="756"/>
      <c r="C94" s="233"/>
      <c r="D94" s="799"/>
      <c r="E94" s="126"/>
      <c r="F94" s="127"/>
      <c r="H94"/>
      <c r="I94"/>
      <c r="J94"/>
      <c r="L94"/>
      <c r="M94"/>
    </row>
    <row r="95" spans="1:13" ht="15.75" x14ac:dyDescent="0.25">
      <c r="A95" s="98"/>
      <c r="B95" s="756"/>
      <c r="C95" s="233"/>
      <c r="D95" s="799"/>
      <c r="E95" s="126"/>
      <c r="F95" s="127"/>
      <c r="H95"/>
      <c r="I95"/>
      <c r="J95"/>
      <c r="L95"/>
      <c r="M95"/>
    </row>
    <row r="96" spans="1:13" ht="15.75" x14ac:dyDescent="0.25">
      <c r="A96" s="98"/>
      <c r="B96" s="756"/>
      <c r="C96" s="233"/>
      <c r="D96" s="799"/>
      <c r="E96" s="126"/>
      <c r="F96" s="127"/>
      <c r="H96"/>
      <c r="I96"/>
      <c r="J96"/>
      <c r="L96"/>
      <c r="M96"/>
    </row>
    <row r="97" spans="1:13" ht="15.75" x14ac:dyDescent="0.25">
      <c r="A97" s="98"/>
      <c r="B97" s="756"/>
      <c r="C97" s="233"/>
      <c r="D97" s="799"/>
      <c r="E97" s="126"/>
      <c r="F97" s="127"/>
      <c r="H97"/>
      <c r="I97"/>
      <c r="J97"/>
      <c r="L97"/>
      <c r="M97"/>
    </row>
    <row r="98" spans="1:13" ht="15.75" x14ac:dyDescent="0.25">
      <c r="A98" s="98"/>
      <c r="B98" s="756"/>
      <c r="C98" s="233"/>
      <c r="D98" s="799"/>
      <c r="E98" s="126"/>
      <c r="F98" s="127"/>
      <c r="H98"/>
      <c r="I98"/>
      <c r="J98"/>
      <c r="L98"/>
      <c r="M98"/>
    </row>
    <row r="99" spans="1:13" ht="15.75" x14ac:dyDescent="0.25">
      <c r="A99" s="98"/>
      <c r="B99" s="756"/>
      <c r="C99" s="233"/>
      <c r="D99" s="799"/>
      <c r="E99" s="126"/>
      <c r="F99" s="127"/>
      <c r="H99"/>
      <c r="I99"/>
      <c r="J99"/>
      <c r="L99"/>
      <c r="M99"/>
    </row>
    <row r="100" spans="1:13" x14ac:dyDescent="0.25">
      <c r="A100" s="98"/>
      <c r="B100" s="756"/>
      <c r="C100" s="129"/>
      <c r="D100" s="799"/>
      <c r="E100" s="126"/>
      <c r="F100" s="127"/>
      <c r="H100"/>
      <c r="I100"/>
      <c r="J100"/>
      <c r="L100"/>
      <c r="M100"/>
    </row>
    <row r="101" spans="1:13" x14ac:dyDescent="0.25">
      <c r="A101" s="98"/>
      <c r="B101" s="756"/>
      <c r="C101" s="129"/>
      <c r="D101" s="799"/>
      <c r="E101" s="126"/>
      <c r="F101" s="127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9">
    <mergeCell ref="H37:K38"/>
    <mergeCell ref="F80:I81"/>
    <mergeCell ref="H40:I42"/>
    <mergeCell ref="H67:I68"/>
    <mergeCell ref="F68:F69"/>
    <mergeCell ref="E77:F77"/>
    <mergeCell ref="H77:J77"/>
    <mergeCell ref="H73:J74"/>
    <mergeCell ref="E74:F75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V97"/>
  <sheetViews>
    <sheetView workbookViewId="0">
      <pane xSplit="1" ySplit="4" topLeftCell="B66" activePane="bottomRight" state="frozen"/>
      <selection pane="topRight" activeCell="B1" sqref="B1"/>
      <selection pane="bottomLeft" activeCell="A5" sqref="A5"/>
      <selection pane="bottomRight" activeCell="C84" sqref="C84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  <col min="19" max="19" width="11.42578125" style="98"/>
    <col min="20" max="20" width="17.42578125" bestFit="1" customWidth="1"/>
  </cols>
  <sheetData>
    <row r="1" spans="1:22" ht="23.25" x14ac:dyDescent="0.35">
      <c r="B1" s="893"/>
      <c r="C1" s="935" t="s">
        <v>1244</v>
      </c>
      <c r="D1" s="936"/>
      <c r="E1" s="936"/>
      <c r="F1" s="936"/>
      <c r="G1" s="936"/>
      <c r="H1" s="936"/>
      <c r="I1" s="936"/>
      <c r="J1" s="936"/>
      <c r="K1" s="936"/>
      <c r="L1" s="936"/>
      <c r="M1" s="936"/>
    </row>
    <row r="2" spans="1:22" ht="16.5" thickBot="1" x14ac:dyDescent="0.3">
      <c r="B2" s="894"/>
      <c r="C2" s="3"/>
      <c r="H2" s="5"/>
      <c r="I2" s="6"/>
      <c r="J2" s="7"/>
      <c r="L2" s="8"/>
      <c r="M2" s="6"/>
      <c r="N2" s="9"/>
    </row>
    <row r="3" spans="1:22" ht="21.75" thickBot="1" x14ac:dyDescent="0.35">
      <c r="B3" s="897" t="s">
        <v>0</v>
      </c>
      <c r="C3" s="898"/>
      <c r="D3" s="10"/>
      <c r="E3" s="553"/>
      <c r="F3" s="11"/>
      <c r="H3" s="899" t="s">
        <v>26</v>
      </c>
      <c r="I3" s="899"/>
      <c r="K3" s="165"/>
      <c r="L3" s="13"/>
      <c r="M3" s="14"/>
      <c r="P3" s="923" t="s">
        <v>6</v>
      </c>
      <c r="R3" s="933" t="s">
        <v>216</v>
      </c>
    </row>
    <row r="4" spans="1:22" ht="32.25" thickTop="1" thickBot="1" x14ac:dyDescent="0.35">
      <c r="A4" s="15" t="s">
        <v>1</v>
      </c>
      <c r="B4" s="16"/>
      <c r="C4" s="17">
        <v>2672555.9900000002</v>
      </c>
      <c r="D4" s="18">
        <v>44801</v>
      </c>
      <c r="E4" s="900" t="s">
        <v>2</v>
      </c>
      <c r="F4" s="901"/>
      <c r="H4" s="902" t="s">
        <v>3</v>
      </c>
      <c r="I4" s="903"/>
      <c r="J4" s="556"/>
      <c r="K4" s="562"/>
      <c r="L4" s="563"/>
      <c r="M4" s="21" t="s">
        <v>4</v>
      </c>
      <c r="N4" s="22" t="s">
        <v>5</v>
      </c>
      <c r="P4" s="924"/>
      <c r="Q4" s="322" t="s">
        <v>217</v>
      </c>
      <c r="R4" s="934"/>
    </row>
    <row r="5" spans="1:22" ht="18" thickBot="1" x14ac:dyDescent="0.35">
      <c r="A5" s="23" t="s">
        <v>7</v>
      </c>
      <c r="B5" s="24">
        <v>44802</v>
      </c>
      <c r="C5" s="25">
        <v>7568</v>
      </c>
      <c r="D5" s="26" t="s">
        <v>1245</v>
      </c>
      <c r="E5" s="27">
        <v>44802</v>
      </c>
      <c r="F5" s="28">
        <v>134268</v>
      </c>
      <c r="G5" s="572"/>
      <c r="H5" s="29">
        <v>44802</v>
      </c>
      <c r="I5" s="30">
        <v>399</v>
      </c>
      <c r="J5" s="37"/>
      <c r="K5" s="31"/>
      <c r="L5" s="9"/>
      <c r="M5" s="32">
        <v>70671</v>
      </c>
      <c r="N5" s="33">
        <v>55630</v>
      </c>
      <c r="O5" s="729" t="s">
        <v>937</v>
      </c>
      <c r="P5" s="34">
        <f>N5+M5+L5+I5+C5</f>
        <v>134268</v>
      </c>
      <c r="Q5" s="325">
        <f>P5-F5</f>
        <v>0</v>
      </c>
      <c r="R5" s="379">
        <v>0</v>
      </c>
    </row>
    <row r="6" spans="1:22" ht="18" thickBot="1" x14ac:dyDescent="0.35">
      <c r="A6" s="23"/>
      <c r="B6" s="24">
        <v>44803</v>
      </c>
      <c r="C6" s="25">
        <v>36043</v>
      </c>
      <c r="D6" s="35" t="s">
        <v>1246</v>
      </c>
      <c r="E6" s="27">
        <v>44803</v>
      </c>
      <c r="F6" s="28">
        <v>138387</v>
      </c>
      <c r="G6" s="572"/>
      <c r="H6" s="29">
        <v>44803</v>
      </c>
      <c r="I6" s="30">
        <v>1604</v>
      </c>
      <c r="J6" s="37"/>
      <c r="K6" s="38"/>
      <c r="L6" s="39"/>
      <c r="M6" s="32">
        <f>539+55232+500</f>
        <v>56271</v>
      </c>
      <c r="N6" s="33">
        <v>44469</v>
      </c>
      <c r="O6" s="752" t="s">
        <v>1247</v>
      </c>
      <c r="P6" s="39">
        <f>N6+M6+L6+I6+C6</f>
        <v>138387</v>
      </c>
      <c r="Q6" s="325">
        <f t="shared" ref="Q6:Q40" si="0">P6-F6</f>
        <v>0</v>
      </c>
      <c r="R6" s="319">
        <v>0</v>
      </c>
      <c r="S6" s="426"/>
    </row>
    <row r="7" spans="1:22" ht="18" thickBot="1" x14ac:dyDescent="0.35">
      <c r="A7" s="23"/>
      <c r="B7" s="24">
        <v>44804</v>
      </c>
      <c r="C7" s="25">
        <v>6372</v>
      </c>
      <c r="D7" s="40" t="s">
        <v>114</v>
      </c>
      <c r="E7" s="27">
        <v>44804</v>
      </c>
      <c r="F7" s="28">
        <v>112167</v>
      </c>
      <c r="G7" s="572"/>
      <c r="H7" s="29">
        <v>44804</v>
      </c>
      <c r="I7" s="30">
        <v>2875</v>
      </c>
      <c r="J7" s="37"/>
      <c r="K7" s="38"/>
      <c r="L7" s="39"/>
      <c r="M7" s="32">
        <f>84627+10937.68</f>
        <v>95564.68</v>
      </c>
      <c r="N7" s="33">
        <v>48294</v>
      </c>
      <c r="O7" s="752" t="s">
        <v>1247</v>
      </c>
      <c r="P7" s="39">
        <f>N7+M7+L7+I7+C7</f>
        <v>153105.68</v>
      </c>
      <c r="Q7" s="325">
        <v>0</v>
      </c>
      <c r="R7" s="388">
        <v>40939</v>
      </c>
      <c r="S7" s="426"/>
    </row>
    <row r="8" spans="1:22" ht="18" thickBot="1" x14ac:dyDescent="0.35">
      <c r="A8" s="23"/>
      <c r="B8" s="24">
        <v>44805</v>
      </c>
      <c r="C8" s="25">
        <v>13500</v>
      </c>
      <c r="D8" s="42" t="s">
        <v>330</v>
      </c>
      <c r="E8" s="27">
        <v>44805</v>
      </c>
      <c r="F8" s="28">
        <v>120503</v>
      </c>
      <c r="G8" s="572"/>
      <c r="H8" s="29">
        <v>44805</v>
      </c>
      <c r="I8" s="30">
        <v>3866</v>
      </c>
      <c r="J8" s="43"/>
      <c r="K8" s="38"/>
      <c r="L8" s="39"/>
      <c r="M8" s="32">
        <v>62803</v>
      </c>
      <c r="N8" s="33">
        <v>40334</v>
      </c>
      <c r="O8" s="752" t="s">
        <v>1247</v>
      </c>
      <c r="P8" s="39">
        <f t="shared" ref="P8:P39" si="1">N8+M8+L8+I8+C8</f>
        <v>120503</v>
      </c>
      <c r="Q8" s="325">
        <f t="shared" si="0"/>
        <v>0</v>
      </c>
      <c r="R8" s="319">
        <v>0</v>
      </c>
      <c r="S8" s="426"/>
    </row>
    <row r="9" spans="1:22" ht="18" thickBot="1" x14ac:dyDescent="0.35">
      <c r="A9" s="23"/>
      <c r="B9" s="24">
        <v>44806</v>
      </c>
      <c r="C9" s="25">
        <v>7410</v>
      </c>
      <c r="D9" s="42" t="s">
        <v>328</v>
      </c>
      <c r="E9" s="27">
        <v>44806</v>
      </c>
      <c r="F9" s="28">
        <v>138326</v>
      </c>
      <c r="G9" s="572"/>
      <c r="H9" s="29">
        <v>44806</v>
      </c>
      <c r="I9" s="30">
        <v>2441</v>
      </c>
      <c r="J9" s="37"/>
      <c r="K9" s="223"/>
      <c r="L9" s="39"/>
      <c r="M9" s="32">
        <v>72921</v>
      </c>
      <c r="N9" s="33">
        <v>55554</v>
      </c>
      <c r="O9" s="752" t="s">
        <v>1247</v>
      </c>
      <c r="P9" s="39">
        <f t="shared" si="1"/>
        <v>138326</v>
      </c>
      <c r="Q9" s="325">
        <f t="shared" si="0"/>
        <v>0</v>
      </c>
      <c r="R9" s="319">
        <v>0</v>
      </c>
      <c r="S9" s="426"/>
    </row>
    <row r="10" spans="1:22" ht="18" thickBot="1" x14ac:dyDescent="0.35">
      <c r="A10" s="23"/>
      <c r="B10" s="24">
        <v>44807</v>
      </c>
      <c r="C10" s="25">
        <v>21781.5</v>
      </c>
      <c r="D10" s="40" t="s">
        <v>1248</v>
      </c>
      <c r="E10" s="27">
        <v>44807</v>
      </c>
      <c r="F10" s="28">
        <v>133295</v>
      </c>
      <c r="G10" s="572"/>
      <c r="H10" s="29">
        <v>44807</v>
      </c>
      <c r="I10" s="30">
        <v>9779.5</v>
      </c>
      <c r="J10" s="37">
        <v>44807</v>
      </c>
      <c r="K10" s="167" t="s">
        <v>1249</v>
      </c>
      <c r="L10" s="45">
        <v>18003</v>
      </c>
      <c r="M10" s="32">
        <f>24567+956</f>
        <v>25523</v>
      </c>
      <c r="N10" s="33">
        <v>58208</v>
      </c>
      <c r="O10" s="752" t="s">
        <v>1247</v>
      </c>
      <c r="P10" s="39">
        <f>N10+M10+L10+I10+C10</f>
        <v>133295</v>
      </c>
      <c r="Q10" s="325">
        <f t="shared" si="0"/>
        <v>0</v>
      </c>
      <c r="R10" s="319">
        <v>0</v>
      </c>
      <c r="S10" s="426"/>
    </row>
    <row r="11" spans="1:22" ht="18" thickBot="1" x14ac:dyDescent="0.35">
      <c r="A11" s="23"/>
      <c r="B11" s="24">
        <v>44808</v>
      </c>
      <c r="C11" s="25">
        <v>32635</v>
      </c>
      <c r="D11" s="35" t="s">
        <v>639</v>
      </c>
      <c r="E11" s="27">
        <v>44808</v>
      </c>
      <c r="F11" s="28">
        <v>89343</v>
      </c>
      <c r="G11" s="572"/>
      <c r="H11" s="29">
        <v>44808</v>
      </c>
      <c r="I11" s="30">
        <v>120.5</v>
      </c>
      <c r="J11" s="43"/>
      <c r="K11" s="168"/>
      <c r="L11" s="39"/>
      <c r="M11" s="32">
        <v>15600</v>
      </c>
      <c r="N11" s="33">
        <v>40989</v>
      </c>
      <c r="O11" s="752" t="s">
        <v>1247</v>
      </c>
      <c r="P11" s="39">
        <f t="shared" si="1"/>
        <v>89344.5</v>
      </c>
      <c r="Q11" s="325">
        <f t="shared" si="0"/>
        <v>1.5</v>
      </c>
      <c r="R11" s="319">
        <v>0</v>
      </c>
      <c r="S11" s="426"/>
    </row>
    <row r="12" spans="1:22" ht="18" thickBot="1" x14ac:dyDescent="0.35">
      <c r="A12" s="23"/>
      <c r="B12" s="24">
        <v>44809</v>
      </c>
      <c r="C12" s="25">
        <v>16302.5</v>
      </c>
      <c r="D12" s="35" t="s">
        <v>1251</v>
      </c>
      <c r="E12" s="27">
        <v>44809</v>
      </c>
      <c r="F12" s="28">
        <v>127329</v>
      </c>
      <c r="G12" s="572"/>
      <c r="H12" s="29">
        <v>44809</v>
      </c>
      <c r="I12" s="30">
        <v>1971</v>
      </c>
      <c r="J12" s="37"/>
      <c r="K12" s="169"/>
      <c r="L12" s="39"/>
      <c r="M12" s="32">
        <f>55650+1400</f>
        <v>57050</v>
      </c>
      <c r="N12" s="33">
        <v>52008</v>
      </c>
      <c r="O12" s="753" t="s">
        <v>1247</v>
      </c>
      <c r="P12" s="39">
        <f t="shared" si="1"/>
        <v>127331.5</v>
      </c>
      <c r="Q12" s="325">
        <f t="shared" si="0"/>
        <v>2.5</v>
      </c>
      <c r="R12" s="319">
        <v>0</v>
      </c>
      <c r="S12" s="773"/>
      <c r="T12" s="774"/>
      <c r="U12" s="754"/>
      <c r="V12" s="755"/>
    </row>
    <row r="13" spans="1:22" ht="18" thickBot="1" x14ac:dyDescent="0.35">
      <c r="A13" s="23"/>
      <c r="B13" s="24">
        <v>44810</v>
      </c>
      <c r="C13" s="25">
        <v>33734</v>
      </c>
      <c r="D13" s="42" t="s">
        <v>1252</v>
      </c>
      <c r="E13" s="27">
        <v>44810</v>
      </c>
      <c r="F13" s="28">
        <v>106867</v>
      </c>
      <c r="G13" s="770"/>
      <c r="H13" s="29">
        <v>44810</v>
      </c>
      <c r="I13" s="30">
        <v>1593</v>
      </c>
      <c r="J13" s="37"/>
      <c r="K13" s="38"/>
      <c r="L13" s="39"/>
      <c r="M13" s="32">
        <f>42400+10000+121050+650</f>
        <v>174100</v>
      </c>
      <c r="N13" s="33">
        <v>42079</v>
      </c>
      <c r="O13" s="752" t="s">
        <v>1247</v>
      </c>
      <c r="P13" s="39">
        <f>N13+M13+L13+I13+C13</f>
        <v>251506</v>
      </c>
      <c r="Q13" s="768">
        <f t="shared" si="0"/>
        <v>144639</v>
      </c>
      <c r="R13" s="542">
        <v>0</v>
      </c>
      <c r="S13" s="370">
        <v>44810</v>
      </c>
      <c r="T13" s="327">
        <v>42400</v>
      </c>
      <c r="U13" s="766" t="s">
        <v>597</v>
      </c>
      <c r="V13" s="757"/>
    </row>
    <row r="14" spans="1:22" ht="18" thickBot="1" x14ac:dyDescent="0.35">
      <c r="A14" s="23"/>
      <c r="B14" s="24">
        <v>44811</v>
      </c>
      <c r="C14" s="25">
        <v>10101</v>
      </c>
      <c r="D14" s="40" t="s">
        <v>328</v>
      </c>
      <c r="E14" s="27">
        <v>44811</v>
      </c>
      <c r="F14" s="28">
        <v>116050</v>
      </c>
      <c r="G14" s="572"/>
      <c r="H14" s="29">
        <v>44811</v>
      </c>
      <c r="I14" s="30">
        <v>229</v>
      </c>
      <c r="J14" s="37"/>
      <c r="K14" s="38"/>
      <c r="L14" s="39"/>
      <c r="M14" s="32">
        <f>10336+10272+29415</f>
        <v>50023</v>
      </c>
      <c r="N14" s="33">
        <v>35415</v>
      </c>
      <c r="O14" s="577" t="s">
        <v>597</v>
      </c>
      <c r="P14" s="39">
        <f t="shared" si="1"/>
        <v>95768</v>
      </c>
      <c r="Q14" s="317">
        <f>P14-F14-29415-3</f>
        <v>-49700</v>
      </c>
      <c r="R14" s="769">
        <v>29415</v>
      </c>
      <c r="S14" s="370">
        <v>44810</v>
      </c>
      <c r="T14" s="327">
        <v>10000</v>
      </c>
      <c r="U14" s="766" t="s">
        <v>597</v>
      </c>
      <c r="V14" s="757"/>
    </row>
    <row r="15" spans="1:22" ht="18" thickBot="1" x14ac:dyDescent="0.35">
      <c r="A15" s="23"/>
      <c r="B15" s="24">
        <v>44812</v>
      </c>
      <c r="C15" s="25">
        <v>4064</v>
      </c>
      <c r="D15" s="40" t="s">
        <v>1147</v>
      </c>
      <c r="E15" s="27">
        <v>44812</v>
      </c>
      <c r="F15" s="28">
        <v>101436</v>
      </c>
      <c r="G15" s="572"/>
      <c r="H15" s="29">
        <v>44812</v>
      </c>
      <c r="I15" s="30">
        <v>4919</v>
      </c>
      <c r="J15" s="37"/>
      <c r="K15" s="38"/>
      <c r="L15" s="39"/>
      <c r="M15" s="32">
        <v>0</v>
      </c>
      <c r="N15" s="33">
        <v>42575</v>
      </c>
      <c r="O15" s="577" t="s">
        <v>597</v>
      </c>
      <c r="P15" s="39">
        <f t="shared" si="1"/>
        <v>51558</v>
      </c>
      <c r="Q15" s="317">
        <f t="shared" si="0"/>
        <v>-49878</v>
      </c>
      <c r="R15" s="542">
        <v>0</v>
      </c>
      <c r="S15" s="370">
        <v>44810</v>
      </c>
      <c r="T15" s="767">
        <v>121050</v>
      </c>
      <c r="U15" s="766" t="s">
        <v>597</v>
      </c>
      <c r="V15" s="757"/>
    </row>
    <row r="16" spans="1:22" ht="19.5" thickBot="1" x14ac:dyDescent="0.35">
      <c r="A16" s="23"/>
      <c r="B16" s="24">
        <v>44813</v>
      </c>
      <c r="C16" s="25">
        <v>17740</v>
      </c>
      <c r="D16" s="35" t="s">
        <v>1253</v>
      </c>
      <c r="E16" s="27">
        <v>44813</v>
      </c>
      <c r="F16" s="28">
        <v>114211</v>
      </c>
      <c r="G16" s="572"/>
      <c r="H16" s="29">
        <v>44813</v>
      </c>
      <c r="I16" s="30">
        <v>2780.5</v>
      </c>
      <c r="J16" s="37"/>
      <c r="K16" s="169"/>
      <c r="L16" s="9"/>
      <c r="M16" s="32">
        <v>9891.5</v>
      </c>
      <c r="N16" s="33">
        <v>49188</v>
      </c>
      <c r="O16" s="577" t="s">
        <v>937</v>
      </c>
      <c r="P16" s="39">
        <f t="shared" si="1"/>
        <v>79600</v>
      </c>
      <c r="Q16" s="317">
        <f t="shared" si="0"/>
        <v>-34611</v>
      </c>
      <c r="R16" s="319">
        <v>0</v>
      </c>
      <c r="S16" s="764"/>
      <c r="T16" s="771">
        <f>SUM(T13:T15)</f>
        <v>173450</v>
      </c>
      <c r="U16" s="756"/>
      <c r="V16" s="757"/>
    </row>
    <row r="17" spans="1:22" ht="18" thickBot="1" x14ac:dyDescent="0.35">
      <c r="A17" s="23"/>
      <c r="B17" s="24">
        <v>44814</v>
      </c>
      <c r="C17" s="25">
        <v>19816.5</v>
      </c>
      <c r="D17" s="42" t="s">
        <v>1254</v>
      </c>
      <c r="E17" s="27">
        <v>44814</v>
      </c>
      <c r="F17" s="28">
        <v>117839</v>
      </c>
      <c r="G17" s="572"/>
      <c r="H17" s="29">
        <v>44814</v>
      </c>
      <c r="I17" s="30">
        <v>6254</v>
      </c>
      <c r="J17" s="37">
        <v>44814</v>
      </c>
      <c r="K17" s="38" t="s">
        <v>1255</v>
      </c>
      <c r="L17" s="45">
        <v>18565</v>
      </c>
      <c r="M17" s="32">
        <v>19854.5</v>
      </c>
      <c r="N17" s="33">
        <v>53349</v>
      </c>
      <c r="O17" s="577" t="s">
        <v>937</v>
      </c>
      <c r="P17" s="39">
        <f t="shared" si="1"/>
        <v>117839</v>
      </c>
      <c r="Q17" s="325">
        <f t="shared" si="0"/>
        <v>0</v>
      </c>
      <c r="R17" s="542">
        <v>0</v>
      </c>
      <c r="S17" s="370">
        <v>44810</v>
      </c>
      <c r="T17" s="327">
        <v>-28811</v>
      </c>
      <c r="U17" s="765" t="s">
        <v>27</v>
      </c>
      <c r="V17" s="757"/>
    </row>
    <row r="18" spans="1:22" ht="18" thickBot="1" x14ac:dyDescent="0.35">
      <c r="A18" s="23"/>
      <c r="B18" s="24">
        <v>44815</v>
      </c>
      <c r="C18" s="25">
        <v>31662</v>
      </c>
      <c r="D18" s="35" t="s">
        <v>1257</v>
      </c>
      <c r="E18" s="27">
        <v>44815</v>
      </c>
      <c r="F18" s="28">
        <v>114813</v>
      </c>
      <c r="G18" s="572"/>
      <c r="H18" s="29">
        <v>44815</v>
      </c>
      <c r="I18" s="30">
        <v>2526.5</v>
      </c>
      <c r="J18" s="37"/>
      <c r="K18" s="564"/>
      <c r="L18" s="39"/>
      <c r="M18" s="32">
        <f>20000+23616.5</f>
        <v>43616.5</v>
      </c>
      <c r="N18" s="33">
        <v>37008</v>
      </c>
      <c r="O18" s="577" t="s">
        <v>937</v>
      </c>
      <c r="P18" s="39">
        <f t="shared" si="1"/>
        <v>114813</v>
      </c>
      <c r="Q18" s="325">
        <f t="shared" si="0"/>
        <v>0</v>
      </c>
      <c r="R18" s="542">
        <v>0</v>
      </c>
      <c r="S18" s="370">
        <v>44811</v>
      </c>
      <c r="T18" s="327">
        <v>-49700</v>
      </c>
      <c r="U18" s="765" t="s">
        <v>27</v>
      </c>
      <c r="V18" s="757"/>
    </row>
    <row r="19" spans="1:22" ht="18" customHeight="1" thickBot="1" x14ac:dyDescent="0.35">
      <c r="A19" s="23"/>
      <c r="B19" s="24">
        <v>44816</v>
      </c>
      <c r="C19" s="25">
        <v>27351.5</v>
      </c>
      <c r="D19" s="35" t="s">
        <v>1258</v>
      </c>
      <c r="E19" s="27">
        <v>44816</v>
      </c>
      <c r="F19" s="28">
        <v>152177</v>
      </c>
      <c r="G19" s="572"/>
      <c r="H19" s="29">
        <v>44816</v>
      </c>
      <c r="I19" s="30">
        <v>2087</v>
      </c>
      <c r="J19" s="37"/>
      <c r="K19" s="46"/>
      <c r="L19" s="47"/>
      <c r="M19" s="32">
        <f>6406+44408.5+19602</f>
        <v>70416.5</v>
      </c>
      <c r="N19" s="33">
        <v>52322</v>
      </c>
      <c r="O19" s="577" t="s">
        <v>937</v>
      </c>
      <c r="P19" s="39">
        <f t="shared" si="1"/>
        <v>152177</v>
      </c>
      <c r="Q19" s="325">
        <f t="shared" si="0"/>
        <v>0</v>
      </c>
      <c r="R19" s="542">
        <v>0</v>
      </c>
      <c r="S19" s="370">
        <v>44812</v>
      </c>
      <c r="T19" s="775">
        <v>-49878</v>
      </c>
      <c r="U19" s="765" t="s">
        <v>27</v>
      </c>
      <c r="V19" s="757"/>
    </row>
    <row r="20" spans="1:22" ht="18" customHeight="1" thickBot="1" x14ac:dyDescent="0.35">
      <c r="A20" s="23"/>
      <c r="B20" s="24">
        <v>44817</v>
      </c>
      <c r="C20" s="25">
        <v>33084</v>
      </c>
      <c r="D20" s="35" t="s">
        <v>1259</v>
      </c>
      <c r="E20" s="27">
        <v>44817</v>
      </c>
      <c r="F20" s="28">
        <v>164240</v>
      </c>
      <c r="G20" s="572"/>
      <c r="H20" s="29">
        <v>44817</v>
      </c>
      <c r="I20" s="30">
        <v>2587</v>
      </c>
      <c r="J20" s="37"/>
      <c r="K20" s="171"/>
      <c r="L20" s="45"/>
      <c r="M20" s="32">
        <f>17086+20000+49877</f>
        <v>86963</v>
      </c>
      <c r="N20" s="33">
        <v>93084</v>
      </c>
      <c r="O20" s="577" t="s">
        <v>937</v>
      </c>
      <c r="P20" s="39">
        <f t="shared" si="1"/>
        <v>215718</v>
      </c>
      <c r="Q20" s="325">
        <v>0</v>
      </c>
      <c r="R20" s="388">
        <v>51478</v>
      </c>
      <c r="S20" s="764">
        <v>44813</v>
      </c>
      <c r="T20" s="776">
        <v>-34611</v>
      </c>
      <c r="U20" s="758" t="s">
        <v>27</v>
      </c>
      <c r="V20" s="757"/>
    </row>
    <row r="21" spans="1:22" ht="18" thickBot="1" x14ac:dyDescent="0.35">
      <c r="A21" s="23"/>
      <c r="B21" s="24">
        <v>44818</v>
      </c>
      <c r="C21" s="25">
        <v>13474</v>
      </c>
      <c r="D21" s="35" t="s">
        <v>1260</v>
      </c>
      <c r="E21" s="27">
        <v>44818</v>
      </c>
      <c r="F21" s="28">
        <v>193300</v>
      </c>
      <c r="G21" s="572"/>
      <c r="H21" s="29">
        <v>44818</v>
      </c>
      <c r="I21" s="30">
        <v>2387</v>
      </c>
      <c r="J21" s="37"/>
      <c r="K21" s="565"/>
      <c r="L21" s="45"/>
      <c r="M21" s="32">
        <f>26000+71145+13500</f>
        <v>110645</v>
      </c>
      <c r="N21" s="33">
        <v>66794</v>
      </c>
      <c r="O21" s="577" t="s">
        <v>937</v>
      </c>
      <c r="P21" s="39">
        <f t="shared" si="1"/>
        <v>193300</v>
      </c>
      <c r="Q21" s="325">
        <f t="shared" si="0"/>
        <v>0</v>
      </c>
      <c r="R21" s="319" t="s">
        <v>1261</v>
      </c>
      <c r="S21" s="764">
        <v>44832</v>
      </c>
      <c r="T21" s="34">
        <v>-10450</v>
      </c>
      <c r="U21" s="777" t="s">
        <v>27</v>
      </c>
      <c r="V21" s="757"/>
    </row>
    <row r="22" spans="1:22" ht="31.5" thickBot="1" x14ac:dyDescent="0.35">
      <c r="A22" s="23"/>
      <c r="B22" s="24">
        <v>44819</v>
      </c>
      <c r="C22" s="25">
        <v>4999</v>
      </c>
      <c r="D22" s="35" t="s">
        <v>112</v>
      </c>
      <c r="E22" s="27">
        <v>44819</v>
      </c>
      <c r="F22" s="28">
        <v>190016</v>
      </c>
      <c r="G22" s="572"/>
      <c r="H22" s="29">
        <v>44819</v>
      </c>
      <c r="I22" s="30">
        <v>3539</v>
      </c>
      <c r="J22" s="37">
        <v>44819</v>
      </c>
      <c r="K22" s="772" t="s">
        <v>1262</v>
      </c>
      <c r="L22" s="49">
        <v>15000</v>
      </c>
      <c r="M22" s="32">
        <f>24500+61550</f>
        <v>86050</v>
      </c>
      <c r="N22" s="33">
        <v>80429</v>
      </c>
      <c r="O22" s="577" t="s">
        <v>937</v>
      </c>
      <c r="P22" s="39">
        <f t="shared" si="1"/>
        <v>190017</v>
      </c>
      <c r="Q22" s="325">
        <f t="shared" si="0"/>
        <v>1</v>
      </c>
      <c r="R22" s="319">
        <v>0</v>
      </c>
      <c r="S22" s="764"/>
      <c r="T22" s="778">
        <f>SUM(T17:T21)</f>
        <v>-173450</v>
      </c>
      <c r="U22" s="779"/>
      <c r="V22" s="757"/>
    </row>
    <row r="23" spans="1:22" ht="18" customHeight="1" thickBot="1" x14ac:dyDescent="0.35">
      <c r="A23" s="23"/>
      <c r="B23" s="24">
        <v>44820</v>
      </c>
      <c r="C23" s="25">
        <v>10700</v>
      </c>
      <c r="D23" s="35" t="s">
        <v>1263</v>
      </c>
      <c r="E23" s="27">
        <v>44820</v>
      </c>
      <c r="F23" s="28">
        <v>72012</v>
      </c>
      <c r="G23" s="572"/>
      <c r="H23" s="29">
        <v>44820</v>
      </c>
      <c r="I23" s="30">
        <v>291</v>
      </c>
      <c r="J23" s="50"/>
      <c r="K23" s="172"/>
      <c r="L23" s="45"/>
      <c r="M23" s="32">
        <f>23109+721+14000</f>
        <v>37830</v>
      </c>
      <c r="N23" s="33">
        <v>23191</v>
      </c>
      <c r="O23" s="577" t="s">
        <v>937</v>
      </c>
      <c r="P23" s="39">
        <f t="shared" si="1"/>
        <v>72012</v>
      </c>
      <c r="Q23" s="325">
        <f t="shared" si="0"/>
        <v>0</v>
      </c>
      <c r="R23" s="319">
        <v>0</v>
      </c>
      <c r="S23" s="764"/>
      <c r="T23" s="780">
        <f>T16+T22</f>
        <v>0</v>
      </c>
      <c r="U23" s="781" t="s">
        <v>1272</v>
      </c>
      <c r="V23" s="757"/>
    </row>
    <row r="24" spans="1:22" ht="18" customHeight="1" thickBot="1" x14ac:dyDescent="0.35">
      <c r="A24" s="23"/>
      <c r="B24" s="24">
        <v>44821</v>
      </c>
      <c r="C24" s="25">
        <v>17481</v>
      </c>
      <c r="D24" s="42" t="s">
        <v>1264</v>
      </c>
      <c r="E24" s="27">
        <v>44821</v>
      </c>
      <c r="F24" s="28">
        <v>112511</v>
      </c>
      <c r="G24" s="572"/>
      <c r="H24" s="29">
        <v>44821</v>
      </c>
      <c r="I24" s="30">
        <v>2004</v>
      </c>
      <c r="J24" s="51">
        <v>44821</v>
      </c>
      <c r="K24" s="782" t="s">
        <v>1265</v>
      </c>
      <c r="L24" s="52">
        <v>22708</v>
      </c>
      <c r="M24" s="32">
        <f>16617+1040</f>
        <v>17657</v>
      </c>
      <c r="N24" s="33">
        <v>52661</v>
      </c>
      <c r="O24" s="577" t="s">
        <v>937</v>
      </c>
      <c r="P24" s="39">
        <f>N24+M24+L24+I24+C24</f>
        <v>112511</v>
      </c>
      <c r="Q24" s="325">
        <f t="shared" si="0"/>
        <v>0</v>
      </c>
      <c r="R24" s="319">
        <v>0</v>
      </c>
      <c r="S24" s="764"/>
      <c r="T24" s="759"/>
      <c r="U24" s="759"/>
      <c r="V24" s="757"/>
    </row>
    <row r="25" spans="1:22" ht="18" thickBot="1" x14ac:dyDescent="0.35">
      <c r="A25" s="23"/>
      <c r="B25" s="24">
        <v>44822</v>
      </c>
      <c r="C25" s="25">
        <v>0</v>
      </c>
      <c r="D25" s="35"/>
      <c r="E25" s="27">
        <v>44822</v>
      </c>
      <c r="F25" s="28">
        <v>90619</v>
      </c>
      <c r="G25" s="572"/>
      <c r="H25" s="29">
        <v>44822</v>
      </c>
      <c r="I25" s="30">
        <v>979</v>
      </c>
      <c r="J25" s="50"/>
      <c r="K25" s="38"/>
      <c r="L25" s="54"/>
      <c r="M25" s="32">
        <v>60116</v>
      </c>
      <c r="N25" s="33">
        <v>29524</v>
      </c>
      <c r="O25" s="577" t="s">
        <v>937</v>
      </c>
      <c r="P25" s="283">
        <f t="shared" si="1"/>
        <v>90619</v>
      </c>
      <c r="Q25" s="325">
        <f t="shared" si="0"/>
        <v>0</v>
      </c>
      <c r="R25" s="319">
        <v>0</v>
      </c>
      <c r="S25" s="762"/>
      <c r="T25" s="759"/>
      <c r="U25" s="759"/>
      <c r="V25" s="757"/>
    </row>
    <row r="26" spans="1:22" ht="18" thickBot="1" x14ac:dyDescent="0.35">
      <c r="A26" s="23"/>
      <c r="B26" s="24">
        <v>44823</v>
      </c>
      <c r="C26" s="25">
        <v>32880</v>
      </c>
      <c r="D26" s="35" t="s">
        <v>1266</v>
      </c>
      <c r="E26" s="27">
        <v>44823</v>
      </c>
      <c r="F26" s="28">
        <v>120050</v>
      </c>
      <c r="G26" s="572"/>
      <c r="H26" s="29">
        <v>44823</v>
      </c>
      <c r="I26" s="30">
        <v>1998</v>
      </c>
      <c r="J26" s="37"/>
      <c r="K26" s="727"/>
      <c r="L26" s="728"/>
      <c r="M26" s="32">
        <v>53164</v>
      </c>
      <c r="N26" s="33">
        <v>32008</v>
      </c>
      <c r="O26" s="577" t="s">
        <v>937</v>
      </c>
      <c r="P26" s="283">
        <f t="shared" si="1"/>
        <v>120050</v>
      </c>
      <c r="Q26" s="325">
        <f t="shared" si="0"/>
        <v>0</v>
      </c>
      <c r="R26" s="319">
        <v>0</v>
      </c>
      <c r="S26" s="763"/>
      <c r="T26" s="760"/>
      <c r="U26" s="760"/>
      <c r="V26" s="761"/>
    </row>
    <row r="27" spans="1:22" ht="18" customHeight="1" thickBot="1" x14ac:dyDescent="0.35">
      <c r="A27" s="23"/>
      <c r="B27" s="24">
        <v>44824</v>
      </c>
      <c r="C27" s="25">
        <v>16862</v>
      </c>
      <c r="D27" s="42" t="s">
        <v>1267</v>
      </c>
      <c r="E27" s="27">
        <v>44824</v>
      </c>
      <c r="F27" s="28">
        <v>97544</v>
      </c>
      <c r="G27" s="572"/>
      <c r="H27" s="29">
        <v>44824</v>
      </c>
      <c r="I27" s="30">
        <v>1814</v>
      </c>
      <c r="J27" s="55"/>
      <c r="K27" s="174"/>
      <c r="L27" s="54"/>
      <c r="M27" s="32">
        <v>41910</v>
      </c>
      <c r="N27" s="33">
        <v>36958</v>
      </c>
      <c r="O27" s="577" t="s">
        <v>937</v>
      </c>
      <c r="P27" s="283">
        <f t="shared" si="1"/>
        <v>97544</v>
      </c>
      <c r="Q27" s="325">
        <f t="shared" si="0"/>
        <v>0</v>
      </c>
      <c r="R27" s="319">
        <v>0</v>
      </c>
      <c r="S27" s="426"/>
    </row>
    <row r="28" spans="1:22" ht="18" customHeight="1" thickBot="1" x14ac:dyDescent="0.35">
      <c r="A28" s="23"/>
      <c r="B28" s="24">
        <v>44825</v>
      </c>
      <c r="C28" s="25">
        <v>16722</v>
      </c>
      <c r="D28" s="42" t="s">
        <v>1268</v>
      </c>
      <c r="E28" s="27">
        <v>44825</v>
      </c>
      <c r="F28" s="28">
        <v>173231</v>
      </c>
      <c r="G28" s="572"/>
      <c r="H28" s="29">
        <v>44825</v>
      </c>
      <c r="I28" s="30">
        <v>4223</v>
      </c>
      <c r="J28" s="56"/>
      <c r="K28" s="57"/>
      <c r="L28" s="54"/>
      <c r="M28" s="32">
        <f>6597+430+7326+5692+21000+60450</f>
        <v>101495</v>
      </c>
      <c r="N28" s="33">
        <v>50792</v>
      </c>
      <c r="O28" s="577" t="s">
        <v>937</v>
      </c>
      <c r="P28" s="283">
        <f t="shared" si="1"/>
        <v>173232</v>
      </c>
      <c r="Q28" s="325">
        <f t="shared" si="0"/>
        <v>1</v>
      </c>
      <c r="R28" s="319">
        <v>0</v>
      </c>
    </row>
    <row r="29" spans="1:22" ht="18" thickBot="1" x14ac:dyDescent="0.35">
      <c r="A29" s="23"/>
      <c r="B29" s="24">
        <v>44826</v>
      </c>
      <c r="C29" s="25">
        <v>11366</v>
      </c>
      <c r="D29" s="58" t="s">
        <v>1269</v>
      </c>
      <c r="E29" s="27">
        <v>44826</v>
      </c>
      <c r="F29" s="28">
        <v>90346</v>
      </c>
      <c r="G29" s="572"/>
      <c r="H29" s="29">
        <v>44826</v>
      </c>
      <c r="I29" s="30">
        <v>1642</v>
      </c>
      <c r="J29" s="59">
        <v>44826</v>
      </c>
      <c r="K29" s="175" t="s">
        <v>1270</v>
      </c>
      <c r="L29" s="54">
        <v>5000</v>
      </c>
      <c r="M29" s="32">
        <f>33783+10450</f>
        <v>44233</v>
      </c>
      <c r="N29" s="33">
        <v>28105</v>
      </c>
      <c r="O29" s="577" t="s">
        <v>937</v>
      </c>
      <c r="P29" s="283">
        <f t="shared" si="1"/>
        <v>90346</v>
      </c>
      <c r="Q29" s="325">
        <f t="shared" si="0"/>
        <v>0</v>
      </c>
      <c r="R29" s="319">
        <v>0</v>
      </c>
    </row>
    <row r="30" spans="1:22" ht="18" thickBot="1" x14ac:dyDescent="0.35">
      <c r="A30" s="23"/>
      <c r="B30" s="24">
        <v>44827</v>
      </c>
      <c r="C30" s="25">
        <v>1581</v>
      </c>
      <c r="D30" s="58" t="s">
        <v>1271</v>
      </c>
      <c r="E30" s="27">
        <v>44827</v>
      </c>
      <c r="F30" s="28">
        <v>129338</v>
      </c>
      <c r="G30" s="572"/>
      <c r="H30" s="29">
        <v>44827</v>
      </c>
      <c r="I30" s="30">
        <v>3549</v>
      </c>
      <c r="J30" s="56"/>
      <c r="K30" s="38"/>
      <c r="L30" s="39"/>
      <c r="M30" s="32">
        <v>79814</v>
      </c>
      <c r="N30" s="33">
        <v>44394</v>
      </c>
      <c r="O30" s="577" t="s">
        <v>937</v>
      </c>
      <c r="P30" s="283">
        <f t="shared" si="1"/>
        <v>129338</v>
      </c>
      <c r="Q30" s="325">
        <f t="shared" si="0"/>
        <v>0</v>
      </c>
      <c r="R30" s="319">
        <v>0</v>
      </c>
    </row>
    <row r="31" spans="1:22" ht="18" thickBot="1" x14ac:dyDescent="0.35">
      <c r="A31" s="23"/>
      <c r="B31" s="24">
        <v>44828</v>
      </c>
      <c r="C31" s="25">
        <v>29510.5</v>
      </c>
      <c r="D31" s="67" t="s">
        <v>1273</v>
      </c>
      <c r="E31" s="27">
        <v>44828</v>
      </c>
      <c r="F31" s="28">
        <v>129885</v>
      </c>
      <c r="G31" s="572"/>
      <c r="H31" s="29">
        <v>44828</v>
      </c>
      <c r="I31" s="30">
        <v>5786</v>
      </c>
      <c r="J31" s="56">
        <v>44828</v>
      </c>
      <c r="K31" s="783" t="s">
        <v>1274</v>
      </c>
      <c r="L31" s="54">
        <v>17332</v>
      </c>
      <c r="M31" s="32">
        <v>16552.5</v>
      </c>
      <c r="N31" s="33">
        <v>60704</v>
      </c>
      <c r="O31" s="577" t="s">
        <v>937</v>
      </c>
      <c r="P31" s="34">
        <f t="shared" si="1"/>
        <v>129885</v>
      </c>
      <c r="Q31" s="325">
        <f t="shared" si="0"/>
        <v>0</v>
      </c>
      <c r="R31" s="319">
        <v>0</v>
      </c>
    </row>
    <row r="32" spans="1:22" ht="18" thickBot="1" x14ac:dyDescent="0.35">
      <c r="A32" s="23"/>
      <c r="B32" s="24">
        <v>44829</v>
      </c>
      <c r="C32" s="25">
        <v>8976</v>
      </c>
      <c r="D32" s="64" t="s">
        <v>1275</v>
      </c>
      <c r="E32" s="27">
        <v>44829</v>
      </c>
      <c r="F32" s="28">
        <v>89845</v>
      </c>
      <c r="G32" s="572"/>
      <c r="H32" s="29">
        <v>44829</v>
      </c>
      <c r="I32" s="30">
        <v>2432</v>
      </c>
      <c r="J32" s="56"/>
      <c r="K32" s="38"/>
      <c r="L32" s="39"/>
      <c r="M32" s="32">
        <f>10000+36765</f>
        <v>46765</v>
      </c>
      <c r="N32" s="33">
        <v>31672</v>
      </c>
      <c r="O32" s="577" t="s">
        <v>937</v>
      </c>
      <c r="P32" s="34">
        <f t="shared" si="1"/>
        <v>89845</v>
      </c>
      <c r="Q32" s="325" t="s">
        <v>1276</v>
      </c>
      <c r="R32" s="319">
        <v>0</v>
      </c>
      <c r="S32" s="98" t="s">
        <v>7</v>
      </c>
    </row>
    <row r="33" spans="1:18" ht="18" thickBot="1" x14ac:dyDescent="0.35">
      <c r="A33" s="23"/>
      <c r="B33" s="24">
        <v>44830</v>
      </c>
      <c r="C33" s="25">
        <v>14233</v>
      </c>
      <c r="D33" s="64" t="s">
        <v>1277</v>
      </c>
      <c r="E33" s="27">
        <v>44830</v>
      </c>
      <c r="F33" s="28">
        <v>153400</v>
      </c>
      <c r="G33" s="572"/>
      <c r="H33" s="29">
        <v>44830</v>
      </c>
      <c r="I33" s="30">
        <v>1019</v>
      </c>
      <c r="J33" s="56"/>
      <c r="K33" s="223"/>
      <c r="L33" s="69"/>
      <c r="M33" s="32">
        <f>65768+19602</f>
        <v>85370</v>
      </c>
      <c r="N33" s="33">
        <v>52778</v>
      </c>
      <c r="O33" s="577" t="s">
        <v>937</v>
      </c>
      <c r="P33" s="34">
        <f t="shared" si="1"/>
        <v>153400</v>
      </c>
      <c r="Q33" s="325">
        <v>0</v>
      </c>
      <c r="R33" s="319">
        <v>0</v>
      </c>
    </row>
    <row r="34" spans="1:18" ht="18" thickBot="1" x14ac:dyDescent="0.35">
      <c r="A34" s="23"/>
      <c r="B34" s="24">
        <v>44831</v>
      </c>
      <c r="C34" s="25">
        <v>22714</v>
      </c>
      <c r="D34" s="64" t="s">
        <v>1278</v>
      </c>
      <c r="E34" s="27">
        <v>44831</v>
      </c>
      <c r="F34" s="28">
        <v>145561</v>
      </c>
      <c r="G34" s="572"/>
      <c r="H34" s="29">
        <v>44831</v>
      </c>
      <c r="I34" s="30">
        <v>860</v>
      </c>
      <c r="J34" s="56"/>
      <c r="K34" s="750"/>
      <c r="L34" s="39"/>
      <c r="M34" s="32">
        <f>56143+28602</f>
        <v>84745</v>
      </c>
      <c r="N34" s="33">
        <v>37242</v>
      </c>
      <c r="O34" s="577" t="s">
        <v>937</v>
      </c>
      <c r="P34" s="34">
        <f t="shared" si="1"/>
        <v>145561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44832</v>
      </c>
      <c r="C35" s="690">
        <v>8231</v>
      </c>
      <c r="D35" s="67" t="s">
        <v>328</v>
      </c>
      <c r="E35" s="27">
        <v>44832</v>
      </c>
      <c r="F35" s="28">
        <v>146386</v>
      </c>
      <c r="G35" s="572"/>
      <c r="H35" s="29">
        <v>44832</v>
      </c>
      <c r="I35" s="30">
        <v>1849</v>
      </c>
      <c r="J35" s="698"/>
      <c r="K35" s="751"/>
      <c r="L35" s="702"/>
      <c r="M35" s="32">
        <f>75888+10438</f>
        <v>86326</v>
      </c>
      <c r="N35" s="33">
        <v>39530</v>
      </c>
      <c r="O35" s="577" t="s">
        <v>937</v>
      </c>
      <c r="P35" s="34">
        <f t="shared" si="1"/>
        <v>135936</v>
      </c>
      <c r="Q35" s="317">
        <f>P35-F35</f>
        <v>-10450</v>
      </c>
      <c r="R35" s="319">
        <v>0</v>
      </c>
    </row>
    <row r="36" spans="1:18" ht="18" customHeight="1" thickTop="1" thickBot="1" x14ac:dyDescent="0.35">
      <c r="A36" s="23"/>
      <c r="B36" s="24">
        <v>44833</v>
      </c>
      <c r="C36" s="693">
        <v>19378.5</v>
      </c>
      <c r="D36" s="785" t="s">
        <v>1279</v>
      </c>
      <c r="E36" s="27">
        <v>44833</v>
      </c>
      <c r="F36" s="28">
        <v>129537</v>
      </c>
      <c r="G36" s="662"/>
      <c r="H36" s="29">
        <v>44833</v>
      </c>
      <c r="I36" s="30">
        <v>1432.5</v>
      </c>
      <c r="J36" s="56"/>
      <c r="K36" s="750"/>
      <c r="L36" s="39"/>
      <c r="M36" s="32">
        <f>75617+5967</f>
        <v>81584</v>
      </c>
      <c r="N36" s="33">
        <v>27142</v>
      </c>
      <c r="O36" s="577" t="s">
        <v>937</v>
      </c>
      <c r="P36" s="34">
        <f t="shared" si="1"/>
        <v>129537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44834</v>
      </c>
      <c r="C37" s="692">
        <v>13389</v>
      </c>
      <c r="D37" s="741" t="s">
        <v>1280</v>
      </c>
      <c r="E37" s="27">
        <v>44834</v>
      </c>
      <c r="F37" s="28">
        <v>132707</v>
      </c>
      <c r="G37" s="662"/>
      <c r="H37" s="29">
        <v>44834</v>
      </c>
      <c r="I37" s="30">
        <v>1695.5</v>
      </c>
      <c r="J37" s="56"/>
      <c r="K37" s="750"/>
      <c r="L37" s="39"/>
      <c r="M37" s="32">
        <v>87292.5</v>
      </c>
      <c r="N37" s="33">
        <v>30330</v>
      </c>
      <c r="O37" s="577" t="s">
        <v>937</v>
      </c>
      <c r="P37" s="34">
        <f t="shared" si="1"/>
        <v>132707</v>
      </c>
      <c r="Q37" s="325">
        <v>0</v>
      </c>
      <c r="R37" s="319">
        <v>0</v>
      </c>
    </row>
    <row r="38" spans="1:18" ht="18" thickBot="1" x14ac:dyDescent="0.35">
      <c r="A38" s="23"/>
      <c r="B38" s="24">
        <v>44835</v>
      </c>
      <c r="C38" s="692">
        <v>0</v>
      </c>
      <c r="D38" s="741"/>
      <c r="E38" s="27">
        <v>44835</v>
      </c>
      <c r="F38" s="28">
        <v>156339</v>
      </c>
      <c r="G38" s="662"/>
      <c r="H38" s="29">
        <v>44835</v>
      </c>
      <c r="I38" s="30">
        <v>3056</v>
      </c>
      <c r="J38" s="56">
        <v>44835</v>
      </c>
      <c r="K38" s="786" t="s">
        <v>1281</v>
      </c>
      <c r="L38" s="39">
        <v>19981</v>
      </c>
      <c r="M38" s="32">
        <v>72199</v>
      </c>
      <c r="N38" s="33">
        <v>61103</v>
      </c>
      <c r="O38" s="577" t="s">
        <v>937</v>
      </c>
      <c r="P38" s="34">
        <f t="shared" si="1"/>
        <v>156339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44836</v>
      </c>
      <c r="C39" s="692">
        <v>3653</v>
      </c>
      <c r="D39" s="695" t="s">
        <v>1282</v>
      </c>
      <c r="E39" s="27">
        <v>44836</v>
      </c>
      <c r="F39" s="508">
        <v>110600</v>
      </c>
      <c r="G39" s="662"/>
      <c r="H39" s="29">
        <v>44836</v>
      </c>
      <c r="I39" s="71">
        <v>120</v>
      </c>
      <c r="J39" s="56"/>
      <c r="K39" s="663"/>
      <c r="L39" s="39"/>
      <c r="M39" s="32">
        <v>67471</v>
      </c>
      <c r="N39" s="33">
        <v>39356</v>
      </c>
      <c r="O39" s="577" t="s">
        <v>937</v>
      </c>
      <c r="P39" s="34">
        <f t="shared" si="1"/>
        <v>110600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44805</v>
      </c>
      <c r="C41" s="692">
        <v>1065.9000000000001</v>
      </c>
      <c r="D41" s="697" t="s">
        <v>1350</v>
      </c>
      <c r="E41" s="74"/>
      <c r="F41" s="75"/>
      <c r="G41" s="572"/>
      <c r="H41" s="76"/>
      <c r="I41" s="77"/>
      <c r="J41" s="56">
        <v>44807</v>
      </c>
      <c r="K41" s="738" t="s">
        <v>1250</v>
      </c>
      <c r="L41" s="39">
        <v>19507</v>
      </c>
      <c r="M41" s="925">
        <f>SUM(M5:M40)</f>
        <v>2172487.6799999997</v>
      </c>
      <c r="N41" s="925">
        <f>SUM(N5:N40)</f>
        <v>1625219</v>
      </c>
      <c r="P41" s="505">
        <f>SUM(P5:P40)</f>
        <v>4566318.68</v>
      </c>
      <c r="Q41" s="979">
        <f>SUM(Q5:Q40)</f>
        <v>6</v>
      </c>
      <c r="R41" s="227">
        <f>SUM(R28:R40)</f>
        <v>0</v>
      </c>
    </row>
    <row r="42" spans="1:18" ht="18" thickBot="1" x14ac:dyDescent="0.35">
      <c r="A42" s="23"/>
      <c r="B42" s="24">
        <v>44806</v>
      </c>
      <c r="C42" s="692">
        <v>200000</v>
      </c>
      <c r="D42" s="697" t="s">
        <v>1208</v>
      </c>
      <c r="E42" s="74"/>
      <c r="F42" s="75"/>
      <c r="G42" s="572"/>
      <c r="H42" s="76"/>
      <c r="I42" s="77"/>
      <c r="J42" s="698">
        <v>44814</v>
      </c>
      <c r="K42" s="739" t="s">
        <v>1256</v>
      </c>
      <c r="L42" s="702">
        <v>19250</v>
      </c>
      <c r="M42" s="926"/>
      <c r="N42" s="926"/>
      <c r="P42" s="34"/>
      <c r="Q42" s="980"/>
      <c r="R42" s="787">
        <f>SUM(R5:R41)</f>
        <v>121832</v>
      </c>
    </row>
    <row r="43" spans="1:18" ht="18" thickBot="1" x14ac:dyDescent="0.35">
      <c r="A43" s="23"/>
      <c r="B43" s="24">
        <v>44806</v>
      </c>
      <c r="C43" s="692">
        <v>30000</v>
      </c>
      <c r="D43" s="697" t="s">
        <v>978</v>
      </c>
      <c r="E43" s="74"/>
      <c r="F43" s="75"/>
      <c r="G43" s="572"/>
      <c r="H43" s="76"/>
      <c r="I43" s="77"/>
      <c r="J43" s="56">
        <v>44821</v>
      </c>
      <c r="K43" s="738" t="s">
        <v>1265</v>
      </c>
      <c r="L43" s="39">
        <v>22764</v>
      </c>
      <c r="M43" s="749"/>
      <c r="N43" s="749"/>
      <c r="P43" s="34"/>
      <c r="Q43" s="13"/>
    </row>
    <row r="44" spans="1:18" ht="18" thickBot="1" x14ac:dyDescent="0.35">
      <c r="A44" s="23"/>
      <c r="B44" s="24">
        <v>44810</v>
      </c>
      <c r="C44" s="692">
        <v>2236.4</v>
      </c>
      <c r="D44" s="697" t="s">
        <v>1351</v>
      </c>
      <c r="E44" s="74"/>
      <c r="F44" s="75"/>
      <c r="G44" s="572"/>
      <c r="H44" s="76"/>
      <c r="I44" s="77"/>
      <c r="J44" s="56">
        <v>44828</v>
      </c>
      <c r="K44" s="784" t="s">
        <v>1274</v>
      </c>
      <c r="L44" s="39">
        <v>19464</v>
      </c>
      <c r="M44" s="749"/>
      <c r="N44" s="749"/>
      <c r="P44" s="34"/>
      <c r="Q44" s="13"/>
    </row>
    <row r="45" spans="1:18" ht="18" thickBot="1" x14ac:dyDescent="0.35">
      <c r="A45" s="23"/>
      <c r="B45" s="24">
        <v>44810</v>
      </c>
      <c r="C45" s="692">
        <v>455691.8</v>
      </c>
      <c r="D45" s="73" t="s">
        <v>1352</v>
      </c>
      <c r="E45" s="74"/>
      <c r="F45" s="75"/>
      <c r="G45" s="572"/>
      <c r="H45" s="76"/>
      <c r="I45" s="77"/>
      <c r="J45" s="56">
        <v>44835</v>
      </c>
      <c r="K45" s="784" t="s">
        <v>1281</v>
      </c>
      <c r="L45" s="39">
        <v>19450</v>
      </c>
      <c r="M45" s="981">
        <f>M41+N41</f>
        <v>3797706.6799999997</v>
      </c>
      <c r="N45" s="982"/>
      <c r="P45" s="34"/>
      <c r="Q45" s="13"/>
    </row>
    <row r="46" spans="1:18" ht="18" thickBot="1" x14ac:dyDescent="0.35">
      <c r="A46" s="23"/>
      <c r="B46" s="24">
        <v>44810</v>
      </c>
      <c r="C46" s="692">
        <v>197670.39999999999</v>
      </c>
      <c r="D46" s="73" t="s">
        <v>1208</v>
      </c>
      <c r="E46" s="74"/>
      <c r="F46" s="75"/>
      <c r="G46" s="572"/>
      <c r="H46" s="76"/>
      <c r="I46" s="77"/>
      <c r="J46" s="56"/>
      <c r="K46" s="38"/>
      <c r="L46" s="39">
        <v>0</v>
      </c>
      <c r="M46" s="749"/>
      <c r="N46" s="749"/>
      <c r="P46" s="34"/>
      <c r="Q46" s="13"/>
    </row>
    <row r="47" spans="1:18" ht="18" thickBot="1" x14ac:dyDescent="0.35">
      <c r="A47" s="23"/>
      <c r="B47" s="24">
        <v>44810</v>
      </c>
      <c r="C47" s="692">
        <v>28000</v>
      </c>
      <c r="D47" s="73" t="s">
        <v>1354</v>
      </c>
      <c r="E47" s="74"/>
      <c r="F47" s="75"/>
      <c r="G47" s="572"/>
      <c r="H47" s="76"/>
      <c r="I47" s="77"/>
      <c r="J47" s="622">
        <v>44802</v>
      </c>
      <c r="K47" s="803" t="s">
        <v>202</v>
      </c>
      <c r="L47" s="624">
        <v>4342.01</v>
      </c>
      <c r="M47" s="749"/>
      <c r="N47" s="749"/>
      <c r="P47" s="34"/>
      <c r="Q47" s="13"/>
    </row>
    <row r="48" spans="1:18" ht="18" thickBot="1" x14ac:dyDescent="0.35">
      <c r="A48" s="23"/>
      <c r="B48" s="24">
        <v>44816</v>
      </c>
      <c r="C48" s="692">
        <v>39811</v>
      </c>
      <c r="D48" s="73" t="s">
        <v>1355</v>
      </c>
      <c r="E48" s="74"/>
      <c r="F48" s="75"/>
      <c r="G48" s="572"/>
      <c r="H48" s="76"/>
      <c r="I48" s="77"/>
      <c r="J48" s="466">
        <v>44804</v>
      </c>
      <c r="K48" s="804" t="s">
        <v>1363</v>
      </c>
      <c r="L48" s="54">
        <v>1126.45</v>
      </c>
      <c r="M48" s="749"/>
      <c r="N48" s="749"/>
      <c r="P48" s="34"/>
      <c r="Q48" s="13"/>
    </row>
    <row r="49" spans="1:17" ht="18" thickBot="1" x14ac:dyDescent="0.35">
      <c r="A49" s="23"/>
      <c r="B49" s="24">
        <v>44819</v>
      </c>
      <c r="C49" s="692">
        <v>200000</v>
      </c>
      <c r="D49" s="73" t="s">
        <v>1208</v>
      </c>
      <c r="E49" s="74"/>
      <c r="F49" s="75"/>
      <c r="G49" s="572"/>
      <c r="H49" s="76"/>
      <c r="I49" s="77"/>
      <c r="J49" s="601">
        <v>44809</v>
      </c>
      <c r="K49" s="802" t="s">
        <v>854</v>
      </c>
      <c r="L49" s="69">
        <v>5894.61</v>
      </c>
      <c r="M49" s="749"/>
      <c r="N49" s="749"/>
      <c r="P49" s="34"/>
      <c r="Q49" s="13"/>
    </row>
    <row r="50" spans="1:17" ht="18" thickBot="1" x14ac:dyDescent="0.35">
      <c r="A50" s="23"/>
      <c r="B50" s="24">
        <v>44823</v>
      </c>
      <c r="C50" s="692">
        <v>57150</v>
      </c>
      <c r="D50" s="73" t="s">
        <v>1356</v>
      </c>
      <c r="E50" s="74"/>
      <c r="F50" s="75"/>
      <c r="G50" s="572"/>
      <c r="H50" s="76"/>
      <c r="I50" s="77"/>
      <c r="J50" s="601">
        <v>44812</v>
      </c>
      <c r="K50" s="802" t="s">
        <v>1353</v>
      </c>
      <c r="L50" s="69">
        <v>4006.5</v>
      </c>
      <c r="M50" s="749"/>
      <c r="N50" s="749"/>
      <c r="P50" s="34"/>
      <c r="Q50" s="13"/>
    </row>
    <row r="51" spans="1:17" ht="18" thickBot="1" x14ac:dyDescent="0.35">
      <c r="A51" s="23"/>
      <c r="B51" s="24">
        <v>44824</v>
      </c>
      <c r="C51" s="692">
        <v>184147</v>
      </c>
      <c r="D51" s="73" t="s">
        <v>1208</v>
      </c>
      <c r="E51" s="74"/>
      <c r="F51" s="75"/>
      <c r="G51" s="572"/>
      <c r="H51" s="76"/>
      <c r="I51" s="77"/>
      <c r="J51" s="601">
        <v>44814</v>
      </c>
      <c r="K51" s="802" t="s">
        <v>1100</v>
      </c>
      <c r="L51" s="69">
        <v>1856</v>
      </c>
      <c r="M51" s="749"/>
      <c r="N51" s="749"/>
      <c r="P51" s="34"/>
      <c r="Q51" s="13"/>
    </row>
    <row r="52" spans="1:17" ht="18" thickBot="1" x14ac:dyDescent="0.35">
      <c r="A52" s="23"/>
      <c r="B52" s="24">
        <v>44824</v>
      </c>
      <c r="C52" s="692">
        <v>83097</v>
      </c>
      <c r="D52" s="73" t="s">
        <v>1357</v>
      </c>
      <c r="E52" s="74"/>
      <c r="F52" s="75"/>
      <c r="G52" s="572"/>
      <c r="H52" s="76"/>
      <c r="I52" s="77"/>
      <c r="J52" s="601">
        <v>44823</v>
      </c>
      <c r="K52" s="802" t="s">
        <v>854</v>
      </c>
      <c r="L52" s="69">
        <v>9575.01</v>
      </c>
      <c r="M52" s="749"/>
      <c r="N52" s="749"/>
      <c r="P52" s="34"/>
      <c r="Q52" s="13"/>
    </row>
    <row r="53" spans="1:17" ht="18" thickBot="1" x14ac:dyDescent="0.35">
      <c r="A53" s="23"/>
      <c r="B53" s="24">
        <v>44825</v>
      </c>
      <c r="C53" s="692">
        <v>6862.78</v>
      </c>
      <c r="D53" s="73" t="s">
        <v>1358</v>
      </c>
      <c r="E53" s="74"/>
      <c r="F53" s="75"/>
      <c r="G53" s="572"/>
      <c r="H53" s="76"/>
      <c r="I53" s="77"/>
      <c r="J53" s="601">
        <v>44826</v>
      </c>
      <c r="K53" s="802" t="s">
        <v>1359</v>
      </c>
      <c r="L53" s="69">
        <v>1368</v>
      </c>
      <c r="M53" s="749"/>
      <c r="N53" s="749"/>
      <c r="P53" s="34"/>
      <c r="Q53" s="13"/>
    </row>
    <row r="54" spans="1:17" ht="18" thickBot="1" x14ac:dyDescent="0.35">
      <c r="A54" s="23"/>
      <c r="B54" s="24">
        <v>44826</v>
      </c>
      <c r="C54" s="694">
        <v>28000</v>
      </c>
      <c r="D54" s="73" t="s">
        <v>1354</v>
      </c>
      <c r="E54" s="74"/>
      <c r="F54" s="75"/>
      <c r="G54" s="572"/>
      <c r="H54" s="76"/>
      <c r="I54" s="77"/>
      <c r="J54" s="601">
        <v>44826</v>
      </c>
      <c r="K54" s="801" t="s">
        <v>1360</v>
      </c>
      <c r="L54" s="69">
        <v>2626.35</v>
      </c>
      <c r="M54" s="749"/>
      <c r="N54" s="749"/>
      <c r="P54" s="34"/>
      <c r="Q54" s="13"/>
    </row>
    <row r="55" spans="1:17" ht="18.75" thickTop="1" thickBot="1" x14ac:dyDescent="0.35">
      <c r="A55" s="23"/>
      <c r="B55" s="24">
        <v>44830</v>
      </c>
      <c r="C55" s="691">
        <v>4698</v>
      </c>
      <c r="D55" s="73" t="s">
        <v>834</v>
      </c>
      <c r="E55" s="74"/>
      <c r="F55" s="75"/>
      <c r="G55" s="572"/>
      <c r="H55" s="76"/>
      <c r="I55" s="77"/>
      <c r="J55" s="601">
        <v>44830</v>
      </c>
      <c r="K55" s="802" t="s">
        <v>1361</v>
      </c>
      <c r="L55" s="69">
        <v>4689.8100000000004</v>
      </c>
      <c r="M55" s="749"/>
      <c r="N55" s="749"/>
      <c r="P55" s="34"/>
      <c r="Q55" s="13"/>
    </row>
    <row r="56" spans="1:17" ht="18" thickBot="1" x14ac:dyDescent="0.35">
      <c r="A56" s="23"/>
      <c r="B56" s="24">
        <v>44831</v>
      </c>
      <c r="C56" s="25">
        <v>6792.78</v>
      </c>
      <c r="D56" s="73" t="s">
        <v>1362</v>
      </c>
      <c r="E56" s="74"/>
      <c r="F56" s="75"/>
      <c r="G56" s="572"/>
      <c r="H56" s="76"/>
      <c r="I56" s="77"/>
      <c r="J56" s="601">
        <v>44832</v>
      </c>
      <c r="K56" s="801" t="s">
        <v>202</v>
      </c>
      <c r="L56" s="69">
        <v>12964.45</v>
      </c>
      <c r="M56" s="749"/>
      <c r="N56" s="749"/>
      <c r="P56" s="34"/>
      <c r="Q56" s="13"/>
    </row>
    <row r="57" spans="1:17" ht="18" thickBot="1" x14ac:dyDescent="0.35">
      <c r="A57" s="23"/>
      <c r="B57" s="24">
        <v>44834</v>
      </c>
      <c r="C57" s="25">
        <v>6032</v>
      </c>
      <c r="D57" s="73" t="s">
        <v>1364</v>
      </c>
      <c r="E57" s="74"/>
      <c r="F57" s="75"/>
      <c r="G57" s="572"/>
      <c r="H57" s="76"/>
      <c r="I57" s="77"/>
      <c r="J57" s="601">
        <v>44832</v>
      </c>
      <c r="K57" s="802" t="s">
        <v>825</v>
      </c>
      <c r="L57" s="69">
        <v>2320</v>
      </c>
      <c r="M57" s="749"/>
      <c r="N57" s="749"/>
      <c r="P57" s="34"/>
      <c r="Q57" s="13"/>
    </row>
    <row r="58" spans="1:17" ht="18" thickBot="1" x14ac:dyDescent="0.35">
      <c r="A58" s="23"/>
      <c r="B58" s="24">
        <v>44834</v>
      </c>
      <c r="C58" s="25">
        <v>64615.98</v>
      </c>
      <c r="D58" s="73" t="s">
        <v>1366</v>
      </c>
      <c r="E58" s="74"/>
      <c r="F58" s="75"/>
      <c r="G58" s="572"/>
      <c r="H58" s="76"/>
      <c r="I58" s="77"/>
      <c r="J58" s="601">
        <v>44832</v>
      </c>
      <c r="K58" s="802" t="s">
        <v>1363</v>
      </c>
      <c r="L58" s="69">
        <v>1126.45</v>
      </c>
      <c r="M58" s="749"/>
      <c r="N58" s="749"/>
      <c r="P58" s="34"/>
      <c r="Q58" s="13"/>
    </row>
    <row r="59" spans="1:17" ht="18" thickBot="1" x14ac:dyDescent="0.35">
      <c r="A59" s="23"/>
      <c r="B59" s="24">
        <v>44804</v>
      </c>
      <c r="C59" s="25">
        <v>5568</v>
      </c>
      <c r="D59" s="73" t="s">
        <v>1364</v>
      </c>
      <c r="E59" s="74"/>
      <c r="F59" s="75"/>
      <c r="G59" s="572"/>
      <c r="H59" s="76"/>
      <c r="I59" s="77"/>
      <c r="J59" s="601">
        <v>44834</v>
      </c>
      <c r="K59" s="671" t="s">
        <v>1365</v>
      </c>
      <c r="L59" s="69">
        <v>2850</v>
      </c>
      <c r="M59" s="749"/>
      <c r="N59" s="749"/>
      <c r="P59" s="34"/>
      <c r="Q59" s="13"/>
    </row>
    <row r="60" spans="1:17" ht="16.5" thickBot="1" x14ac:dyDescent="0.3">
      <c r="A60" s="23"/>
      <c r="B60" s="80">
        <v>44804</v>
      </c>
      <c r="C60" s="25">
        <v>391725.77</v>
      </c>
      <c r="D60" s="81" t="s">
        <v>1367</v>
      </c>
      <c r="E60" s="82"/>
      <c r="F60" s="72"/>
      <c r="H60" s="83"/>
      <c r="I60" s="77"/>
      <c r="J60" s="800" t="s">
        <v>1369</v>
      </c>
      <c r="K60" s="174" t="s">
        <v>1370</v>
      </c>
      <c r="L60" s="69">
        <v>42972.75</v>
      </c>
      <c r="M60" s="34"/>
      <c r="N60" s="34"/>
      <c r="P60" s="34"/>
      <c r="Q60" s="13"/>
    </row>
    <row r="61" spans="1:17" ht="16.5" thickBot="1" x14ac:dyDescent="0.3">
      <c r="A61" s="23"/>
      <c r="B61" s="595">
        <v>44804</v>
      </c>
      <c r="C61" s="596">
        <v>17337.12</v>
      </c>
      <c r="D61" s="81" t="s">
        <v>1368</v>
      </c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2558479.81</v>
      </c>
      <c r="D67" s="88"/>
      <c r="E67" s="91" t="s">
        <v>8</v>
      </c>
      <c r="F67" s="90">
        <f>SUM(F5:F60)</f>
        <v>4444478</v>
      </c>
      <c r="G67" s="573"/>
      <c r="H67" s="91" t="s">
        <v>9</v>
      </c>
      <c r="I67" s="92">
        <f>SUM(I5:I60)</f>
        <v>86708</v>
      </c>
      <c r="J67" s="93"/>
      <c r="K67" s="94" t="s">
        <v>10</v>
      </c>
      <c r="L67" s="95">
        <f>SUM(L5:L65)-L26</f>
        <v>314742.39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80" t="s">
        <v>11</v>
      </c>
      <c r="I69" s="881"/>
      <c r="J69" s="559"/>
      <c r="K69" s="1013">
        <f>I67+L67</f>
        <v>401450.39</v>
      </c>
      <c r="L69" s="1014"/>
      <c r="M69" s="272"/>
      <c r="N69" s="272"/>
      <c r="P69" s="34"/>
      <c r="Q69" s="13"/>
    </row>
    <row r="70" spans="1:17" x14ac:dyDescent="0.25">
      <c r="D70" s="886" t="s">
        <v>12</v>
      </c>
      <c r="E70" s="886"/>
      <c r="F70" s="312">
        <f>F67-K69-C67</f>
        <v>1484547.7999999998</v>
      </c>
      <c r="I70" s="102"/>
      <c r="J70" s="560"/>
    </row>
    <row r="71" spans="1:17" ht="18.75" x14ac:dyDescent="0.3">
      <c r="D71" s="916" t="s">
        <v>95</v>
      </c>
      <c r="E71" s="916"/>
      <c r="F71" s="111">
        <v>-2600214.79</v>
      </c>
      <c r="I71" s="887" t="s">
        <v>13</v>
      </c>
      <c r="J71" s="888"/>
      <c r="K71" s="889">
        <f>F73+F74+F75</f>
        <v>2724761.13</v>
      </c>
      <c r="L71" s="889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-250099.28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-1365766.2700000003</v>
      </c>
      <c r="H73" s="555"/>
      <c r="I73" s="108" t="s">
        <v>15</v>
      </c>
      <c r="J73" s="109"/>
      <c r="K73" s="1015">
        <f>-C4</f>
        <v>-2672555.9900000002</v>
      </c>
      <c r="L73" s="889"/>
    </row>
    <row r="74" spans="1:17" ht="16.5" thickBot="1" x14ac:dyDescent="0.3">
      <c r="D74" s="110" t="s">
        <v>16</v>
      </c>
      <c r="E74" s="98" t="s">
        <v>17</v>
      </c>
      <c r="F74" s="111">
        <v>317024</v>
      </c>
    </row>
    <row r="75" spans="1:17" ht="20.25" thickTop="1" thickBot="1" x14ac:dyDescent="0.35">
      <c r="C75" s="112">
        <v>44836</v>
      </c>
      <c r="D75" s="869" t="s">
        <v>18</v>
      </c>
      <c r="E75" s="870"/>
      <c r="F75" s="113">
        <v>3773503.4</v>
      </c>
      <c r="I75" s="1043" t="s">
        <v>198</v>
      </c>
      <c r="J75" s="1044"/>
      <c r="K75" s="1045">
        <f>K71+K73</f>
        <v>52205.139999999665</v>
      </c>
      <c r="L75" s="1045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J47:L60">
    <sortCondition ref="J47:J60"/>
  </sortState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N123"/>
  <sheetViews>
    <sheetView topLeftCell="F28" workbookViewId="0">
      <selection activeCell="M44" sqref="M44"/>
    </sheetView>
  </sheetViews>
  <sheetFormatPr baseColWidth="10" defaultRowHeight="15" x14ac:dyDescent="0.25"/>
  <cols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545" t="s">
        <v>19</v>
      </c>
      <c r="C2" s="546" t="s">
        <v>20</v>
      </c>
      <c r="D2" s="547" t="s">
        <v>21</v>
      </c>
      <c r="E2" s="548" t="s">
        <v>22</v>
      </c>
      <c r="F2" s="549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31.5" x14ac:dyDescent="0.25">
      <c r="B3" s="454">
        <v>44802</v>
      </c>
      <c r="C3" s="246" t="s">
        <v>1312</v>
      </c>
      <c r="D3" s="111">
        <v>121622.37</v>
      </c>
      <c r="E3" s="842" t="s">
        <v>1448</v>
      </c>
      <c r="F3" s="111">
        <f>71753.5+49868.87</f>
        <v>121622.37</v>
      </c>
      <c r="G3" s="410">
        <f>D3-F3</f>
        <v>0</v>
      </c>
      <c r="I3" s="788" t="s">
        <v>1309</v>
      </c>
      <c r="J3" s="789">
        <v>10198</v>
      </c>
      <c r="K3" s="790">
        <v>3903.92</v>
      </c>
      <c r="L3" s="861">
        <v>44853</v>
      </c>
      <c r="M3" s="864">
        <v>3903.92</v>
      </c>
      <c r="N3" s="183">
        <f>K3-M3</f>
        <v>0</v>
      </c>
    </row>
    <row r="4" spans="2:14" ht="18.75" x14ac:dyDescent="0.3">
      <c r="B4" s="454">
        <v>44802</v>
      </c>
      <c r="C4" s="246" t="s">
        <v>1313</v>
      </c>
      <c r="D4" s="111">
        <v>7506</v>
      </c>
      <c r="E4" s="652">
        <v>44847</v>
      </c>
      <c r="F4" s="653">
        <v>7506</v>
      </c>
      <c r="G4" s="544">
        <f t="shared" ref="G4:G65" si="0">D4-F4</f>
        <v>0</v>
      </c>
      <c r="H4" s="138"/>
      <c r="I4" s="500" t="s">
        <v>1310</v>
      </c>
      <c r="J4" s="501">
        <v>10204</v>
      </c>
      <c r="K4" s="502">
        <v>9566.7999999999993</v>
      </c>
      <c r="L4" s="861">
        <v>44853</v>
      </c>
      <c r="M4" s="865">
        <v>9566.7999999999993</v>
      </c>
      <c r="N4" s="137">
        <f>N3+K4-M4</f>
        <v>0</v>
      </c>
    </row>
    <row r="5" spans="2:14" ht="15.75" x14ac:dyDescent="0.25">
      <c r="B5" s="454">
        <v>44803</v>
      </c>
      <c r="C5" s="246" t="s">
        <v>1314</v>
      </c>
      <c r="D5" s="111">
        <v>60096.32</v>
      </c>
      <c r="E5" s="652">
        <v>44847</v>
      </c>
      <c r="F5" s="653">
        <v>60096.32</v>
      </c>
      <c r="G5" s="544">
        <f t="shared" si="0"/>
        <v>0</v>
      </c>
      <c r="I5" s="500" t="s">
        <v>1311</v>
      </c>
      <c r="J5" s="501">
        <v>10211</v>
      </c>
      <c r="K5" s="502">
        <v>330</v>
      </c>
      <c r="L5" s="861">
        <v>44853</v>
      </c>
      <c r="M5" s="865">
        <v>330</v>
      </c>
      <c r="N5" s="137">
        <f t="shared" ref="N5:N65" si="1">N4+K5-M5</f>
        <v>0</v>
      </c>
    </row>
    <row r="6" spans="2:14" ht="15.75" x14ac:dyDescent="0.25">
      <c r="B6" s="454">
        <v>44804</v>
      </c>
      <c r="C6" s="246" t="s">
        <v>1315</v>
      </c>
      <c r="D6" s="111">
        <v>70935.199999999997</v>
      </c>
      <c r="E6" s="652">
        <v>44847</v>
      </c>
      <c r="F6" s="653">
        <v>70935.199999999997</v>
      </c>
      <c r="G6" s="544">
        <f t="shared" si="0"/>
        <v>0</v>
      </c>
      <c r="I6" s="500" t="s">
        <v>1283</v>
      </c>
      <c r="J6" s="501">
        <v>10237</v>
      </c>
      <c r="K6" s="502">
        <v>1450.6</v>
      </c>
      <c r="L6" s="861">
        <v>44853</v>
      </c>
      <c r="M6" s="865">
        <v>1450.6</v>
      </c>
      <c r="N6" s="137">
        <f t="shared" si="1"/>
        <v>0</v>
      </c>
    </row>
    <row r="7" spans="2:14" ht="15.75" x14ac:dyDescent="0.25">
      <c r="B7" s="452">
        <v>44805</v>
      </c>
      <c r="C7" s="437" t="s">
        <v>1318</v>
      </c>
      <c r="D7" s="392">
        <v>135900.6</v>
      </c>
      <c r="E7" s="652">
        <v>44847</v>
      </c>
      <c r="F7" s="845">
        <v>135900.6</v>
      </c>
      <c r="G7" s="544">
        <f t="shared" si="0"/>
        <v>0</v>
      </c>
      <c r="I7" s="497" t="s">
        <v>1284</v>
      </c>
      <c r="J7" s="498">
        <v>10243</v>
      </c>
      <c r="K7" s="499">
        <v>2480</v>
      </c>
      <c r="L7" s="861">
        <v>44853</v>
      </c>
      <c r="M7" s="865">
        <v>2480</v>
      </c>
      <c r="N7" s="137">
        <f t="shared" si="1"/>
        <v>0</v>
      </c>
    </row>
    <row r="8" spans="2:14" ht="15.75" x14ac:dyDescent="0.25">
      <c r="B8" s="452">
        <v>44713</v>
      </c>
      <c r="C8" s="437" t="s">
        <v>1319</v>
      </c>
      <c r="D8" s="392">
        <v>4028</v>
      </c>
      <c r="E8" s="652">
        <v>44847</v>
      </c>
      <c r="F8" s="845">
        <v>4028</v>
      </c>
      <c r="G8" s="544">
        <f t="shared" si="0"/>
        <v>0</v>
      </c>
      <c r="I8" s="497" t="s">
        <v>1284</v>
      </c>
      <c r="J8" s="498">
        <v>10245</v>
      </c>
      <c r="K8" s="499">
        <v>3712</v>
      </c>
      <c r="L8" s="861">
        <v>44853</v>
      </c>
      <c r="M8" s="865">
        <v>3712</v>
      </c>
      <c r="N8" s="137">
        <f t="shared" si="1"/>
        <v>0</v>
      </c>
    </row>
    <row r="9" spans="2:14" ht="15.75" x14ac:dyDescent="0.25">
      <c r="B9" s="452">
        <v>44806</v>
      </c>
      <c r="C9" s="437" t="s">
        <v>1320</v>
      </c>
      <c r="D9" s="392">
        <v>71698.3</v>
      </c>
      <c r="E9" s="652">
        <v>44847</v>
      </c>
      <c r="F9" s="845">
        <v>71698.3</v>
      </c>
      <c r="G9" s="544">
        <f t="shared" si="0"/>
        <v>0</v>
      </c>
      <c r="I9" s="500" t="s">
        <v>1285</v>
      </c>
      <c r="J9" s="501">
        <v>10252</v>
      </c>
      <c r="K9" s="502">
        <v>8863</v>
      </c>
      <c r="L9" s="861">
        <v>44853</v>
      </c>
      <c r="M9" s="865">
        <v>8863</v>
      </c>
      <c r="N9" s="137">
        <f t="shared" si="1"/>
        <v>0</v>
      </c>
    </row>
    <row r="10" spans="2:14" ht="18.75" x14ac:dyDescent="0.3">
      <c r="B10" s="452">
        <v>44807</v>
      </c>
      <c r="C10" s="437" t="s">
        <v>1321</v>
      </c>
      <c r="D10" s="392">
        <v>76677.600000000006</v>
      </c>
      <c r="E10" s="652">
        <v>44847</v>
      </c>
      <c r="F10" s="845">
        <v>76677.600000000006</v>
      </c>
      <c r="G10" s="544">
        <f t="shared" si="0"/>
        <v>0</v>
      </c>
      <c r="H10" s="138"/>
      <c r="I10" s="500" t="s">
        <v>1286</v>
      </c>
      <c r="J10" s="501">
        <v>10256</v>
      </c>
      <c r="K10" s="502">
        <v>6457.76</v>
      </c>
      <c r="L10" s="861">
        <v>44853</v>
      </c>
      <c r="M10" s="865">
        <v>6457.76</v>
      </c>
      <c r="N10" s="137">
        <f t="shared" si="1"/>
        <v>0</v>
      </c>
    </row>
    <row r="11" spans="2:14" ht="15.75" x14ac:dyDescent="0.25">
      <c r="B11" s="452">
        <v>44809</v>
      </c>
      <c r="C11" s="437" t="s">
        <v>1322</v>
      </c>
      <c r="D11" s="392">
        <v>74432.399999999994</v>
      </c>
      <c r="E11" s="652">
        <v>44847</v>
      </c>
      <c r="F11" s="845">
        <v>74432.399999999994</v>
      </c>
      <c r="G11" s="544">
        <f t="shared" si="0"/>
        <v>0</v>
      </c>
      <c r="I11" s="500" t="s">
        <v>1287</v>
      </c>
      <c r="J11" s="501">
        <v>10264</v>
      </c>
      <c r="K11" s="502">
        <v>6040</v>
      </c>
      <c r="L11" s="861">
        <v>44853</v>
      </c>
      <c r="M11" s="865">
        <v>6040</v>
      </c>
      <c r="N11" s="137">
        <f t="shared" si="1"/>
        <v>0</v>
      </c>
    </row>
    <row r="12" spans="2:14" ht="15.75" x14ac:dyDescent="0.25">
      <c r="B12" s="452">
        <v>44810</v>
      </c>
      <c r="C12" s="437" t="s">
        <v>1323</v>
      </c>
      <c r="D12" s="392">
        <v>88952.15</v>
      </c>
      <c r="E12" s="652">
        <v>44847</v>
      </c>
      <c r="F12" s="845">
        <v>88952.15</v>
      </c>
      <c r="G12" s="544">
        <f t="shared" si="0"/>
        <v>0</v>
      </c>
      <c r="I12" s="497" t="s">
        <v>1288</v>
      </c>
      <c r="J12" s="498">
        <v>10274</v>
      </c>
      <c r="K12" s="499">
        <v>9717.6</v>
      </c>
      <c r="L12" s="861">
        <v>44853</v>
      </c>
      <c r="M12" s="865">
        <v>9717.6</v>
      </c>
      <c r="N12" s="137">
        <f t="shared" si="1"/>
        <v>0</v>
      </c>
    </row>
    <row r="13" spans="2:14" ht="15.75" x14ac:dyDescent="0.25">
      <c r="B13" s="452">
        <v>44811</v>
      </c>
      <c r="C13" s="437" t="s">
        <v>1324</v>
      </c>
      <c r="D13" s="392">
        <v>156034.5</v>
      </c>
      <c r="E13" s="652">
        <v>44847</v>
      </c>
      <c r="F13" s="845">
        <v>156034.5</v>
      </c>
      <c r="G13" s="544">
        <f t="shared" si="0"/>
        <v>0</v>
      </c>
      <c r="I13" s="500" t="s">
        <v>1289</v>
      </c>
      <c r="J13" s="501">
        <v>10300</v>
      </c>
      <c r="K13" s="502">
        <v>16135.8</v>
      </c>
      <c r="L13" s="861">
        <v>44853</v>
      </c>
      <c r="M13" s="865">
        <v>16135.8</v>
      </c>
      <c r="N13" s="137">
        <f t="shared" si="1"/>
        <v>0</v>
      </c>
    </row>
    <row r="14" spans="2:14" ht="15.75" x14ac:dyDescent="0.25">
      <c r="B14" s="452">
        <v>44812</v>
      </c>
      <c r="C14" s="437" t="s">
        <v>1325</v>
      </c>
      <c r="D14" s="392">
        <v>39036</v>
      </c>
      <c r="E14" s="652">
        <v>44847</v>
      </c>
      <c r="F14" s="845">
        <v>39036</v>
      </c>
      <c r="G14" s="544">
        <f t="shared" si="0"/>
        <v>0</v>
      </c>
      <c r="I14" s="497" t="s">
        <v>1290</v>
      </c>
      <c r="J14" s="498">
        <v>10305</v>
      </c>
      <c r="K14" s="499">
        <v>440</v>
      </c>
      <c r="L14" s="861">
        <v>44853</v>
      </c>
      <c r="M14" s="865">
        <v>440</v>
      </c>
      <c r="N14" s="137">
        <f t="shared" si="1"/>
        <v>0</v>
      </c>
    </row>
    <row r="15" spans="2:14" ht="15.75" x14ac:dyDescent="0.25">
      <c r="B15" s="452">
        <v>44813</v>
      </c>
      <c r="C15" s="437" t="s">
        <v>1326</v>
      </c>
      <c r="D15" s="392">
        <v>45856.7</v>
      </c>
      <c r="E15" s="652">
        <v>44847</v>
      </c>
      <c r="F15" s="845">
        <v>45856.7</v>
      </c>
      <c r="G15" s="544">
        <f t="shared" si="0"/>
        <v>0</v>
      </c>
      <c r="I15" s="497" t="s">
        <v>1291</v>
      </c>
      <c r="J15" s="498">
        <v>10315</v>
      </c>
      <c r="K15" s="499">
        <v>9204</v>
      </c>
      <c r="L15" s="861">
        <v>44853</v>
      </c>
      <c r="M15" s="865">
        <v>9204</v>
      </c>
      <c r="N15" s="137">
        <f t="shared" si="1"/>
        <v>0</v>
      </c>
    </row>
    <row r="16" spans="2:14" ht="15.75" x14ac:dyDescent="0.25">
      <c r="B16" s="452">
        <v>44814</v>
      </c>
      <c r="C16" s="437" t="s">
        <v>1327</v>
      </c>
      <c r="D16" s="392">
        <v>90919.73</v>
      </c>
      <c r="E16" s="652">
        <v>44847</v>
      </c>
      <c r="F16" s="845">
        <v>90919.73</v>
      </c>
      <c r="G16" s="544">
        <f t="shared" si="0"/>
        <v>0</v>
      </c>
      <c r="I16" s="500" t="s">
        <v>1292</v>
      </c>
      <c r="J16" s="501">
        <v>10323</v>
      </c>
      <c r="K16" s="502">
        <v>880</v>
      </c>
      <c r="L16" s="861">
        <v>44853</v>
      </c>
      <c r="M16" s="865">
        <v>880</v>
      </c>
      <c r="N16" s="137">
        <f t="shared" si="1"/>
        <v>0</v>
      </c>
    </row>
    <row r="17" spans="2:14" ht="15.75" x14ac:dyDescent="0.25">
      <c r="B17" s="452">
        <v>44814</v>
      </c>
      <c r="C17" s="437" t="s">
        <v>1328</v>
      </c>
      <c r="D17" s="392">
        <v>4788</v>
      </c>
      <c r="E17" s="652">
        <v>44847</v>
      </c>
      <c r="F17" s="845">
        <v>4788</v>
      </c>
      <c r="G17" s="544">
        <f t="shared" si="0"/>
        <v>0</v>
      </c>
      <c r="I17" s="500" t="s">
        <v>1293</v>
      </c>
      <c r="J17" s="501">
        <v>10332</v>
      </c>
      <c r="K17" s="502">
        <v>1990</v>
      </c>
      <c r="L17" s="861">
        <v>44853</v>
      </c>
      <c r="M17" s="865">
        <v>1990</v>
      </c>
      <c r="N17" s="137">
        <f t="shared" si="1"/>
        <v>0</v>
      </c>
    </row>
    <row r="18" spans="2:14" ht="31.5" x14ac:dyDescent="0.25">
      <c r="B18" s="452">
        <v>44816</v>
      </c>
      <c r="C18" s="437" t="s">
        <v>1329</v>
      </c>
      <c r="D18" s="841">
        <v>132050.23999999999</v>
      </c>
      <c r="E18" s="796" t="s">
        <v>1449</v>
      </c>
      <c r="F18" s="653">
        <f>123269.63+8780.61</f>
        <v>132050.23999999999</v>
      </c>
      <c r="G18" s="544">
        <f t="shared" si="0"/>
        <v>0</v>
      </c>
      <c r="I18" s="497" t="s">
        <v>1294</v>
      </c>
      <c r="J18" s="498">
        <v>10350</v>
      </c>
      <c r="K18" s="499">
        <v>440</v>
      </c>
      <c r="L18" s="861">
        <v>44853</v>
      </c>
      <c r="M18" s="865">
        <v>440</v>
      </c>
      <c r="N18" s="137">
        <f t="shared" si="1"/>
        <v>0</v>
      </c>
    </row>
    <row r="19" spans="2:14" ht="15.75" x14ac:dyDescent="0.25">
      <c r="B19" s="452">
        <v>44816</v>
      </c>
      <c r="C19" s="437" t="s">
        <v>1330</v>
      </c>
      <c r="D19" s="392">
        <v>6858</v>
      </c>
      <c r="E19" s="843">
        <v>44848</v>
      </c>
      <c r="F19" s="844">
        <v>6858</v>
      </c>
      <c r="G19" s="544">
        <f t="shared" si="0"/>
        <v>0</v>
      </c>
      <c r="I19" s="497" t="s">
        <v>1294</v>
      </c>
      <c r="J19" s="498">
        <v>10355</v>
      </c>
      <c r="K19" s="499">
        <v>760</v>
      </c>
      <c r="L19" s="861">
        <v>44853</v>
      </c>
      <c r="M19" s="865">
        <v>760</v>
      </c>
      <c r="N19" s="137">
        <f t="shared" si="1"/>
        <v>0</v>
      </c>
    </row>
    <row r="20" spans="2:14" ht="15.75" x14ac:dyDescent="0.25">
      <c r="B20" s="452">
        <v>44817</v>
      </c>
      <c r="C20" s="437" t="s">
        <v>1331</v>
      </c>
      <c r="D20" s="392">
        <v>93240.65</v>
      </c>
      <c r="E20" s="843">
        <v>44848</v>
      </c>
      <c r="F20" s="844">
        <v>93240.65</v>
      </c>
      <c r="G20" s="544">
        <f t="shared" si="0"/>
        <v>0</v>
      </c>
      <c r="I20" s="500" t="s">
        <v>1295</v>
      </c>
      <c r="J20" s="501">
        <v>10374</v>
      </c>
      <c r="K20" s="502">
        <v>440</v>
      </c>
      <c r="L20" s="861">
        <v>44853</v>
      </c>
      <c r="M20" s="865">
        <v>440</v>
      </c>
      <c r="N20" s="137">
        <f t="shared" si="1"/>
        <v>0</v>
      </c>
    </row>
    <row r="21" spans="2:14" ht="15.75" x14ac:dyDescent="0.25">
      <c r="B21" s="452">
        <v>44818</v>
      </c>
      <c r="C21" s="437" t="s">
        <v>1332</v>
      </c>
      <c r="D21" s="392">
        <v>38351.199999999997</v>
      </c>
      <c r="E21" s="843">
        <v>44848</v>
      </c>
      <c r="F21" s="844">
        <v>38351.199999999997</v>
      </c>
      <c r="G21" s="544">
        <f t="shared" si="0"/>
        <v>0</v>
      </c>
      <c r="I21" s="497" t="s">
        <v>1296</v>
      </c>
      <c r="J21" s="498">
        <v>10377</v>
      </c>
      <c r="K21" s="499">
        <v>3060</v>
      </c>
      <c r="L21" s="861">
        <v>44853</v>
      </c>
      <c r="M21" s="865">
        <v>3060</v>
      </c>
      <c r="N21" s="137">
        <f t="shared" si="1"/>
        <v>0</v>
      </c>
    </row>
    <row r="22" spans="2:14" ht="32.25" x14ac:dyDescent="0.3">
      <c r="B22" s="452">
        <v>44819</v>
      </c>
      <c r="C22" s="437" t="s">
        <v>1333</v>
      </c>
      <c r="D22" s="392">
        <v>48115.16</v>
      </c>
      <c r="E22" s="846" t="s">
        <v>1450</v>
      </c>
      <c r="F22" s="844">
        <f>13836.04+34279.12</f>
        <v>48115.16</v>
      </c>
      <c r="G22" s="544">
        <f t="shared" si="0"/>
        <v>0</v>
      </c>
      <c r="H22" s="644"/>
      <c r="I22" s="500" t="s">
        <v>1297</v>
      </c>
      <c r="J22" s="501">
        <v>10388</v>
      </c>
      <c r="K22" s="502">
        <v>330</v>
      </c>
      <c r="L22" s="861">
        <v>44853</v>
      </c>
      <c r="M22" s="865">
        <v>330</v>
      </c>
      <c r="N22" s="137">
        <f t="shared" si="1"/>
        <v>0</v>
      </c>
    </row>
    <row r="23" spans="2:14" ht="15.75" x14ac:dyDescent="0.25">
      <c r="B23" s="452">
        <v>44819</v>
      </c>
      <c r="C23" s="437" t="s">
        <v>1334</v>
      </c>
      <c r="D23" s="392">
        <v>53088</v>
      </c>
      <c r="E23" s="806">
        <v>44851</v>
      </c>
      <c r="F23" s="707">
        <v>53088</v>
      </c>
      <c r="G23" s="544">
        <f t="shared" si="0"/>
        <v>0</v>
      </c>
      <c r="H23" s="2"/>
      <c r="I23" s="500" t="s">
        <v>1298</v>
      </c>
      <c r="J23" s="501">
        <v>10396</v>
      </c>
      <c r="K23" s="502">
        <v>330</v>
      </c>
      <c r="L23" s="861">
        <v>44853</v>
      </c>
      <c r="M23" s="865">
        <v>330</v>
      </c>
      <c r="N23" s="137">
        <f t="shared" si="1"/>
        <v>0</v>
      </c>
    </row>
    <row r="24" spans="2:14" ht="21" customHeight="1" x14ac:dyDescent="0.25">
      <c r="B24" s="452">
        <v>44820</v>
      </c>
      <c r="C24" s="437" t="s">
        <v>1335</v>
      </c>
      <c r="D24" s="392">
        <v>71394.820000000007</v>
      </c>
      <c r="E24" s="806">
        <v>44851</v>
      </c>
      <c r="F24" s="707">
        <v>71394.820000000007</v>
      </c>
      <c r="G24" s="544">
        <f t="shared" si="0"/>
        <v>0</v>
      </c>
      <c r="H24" s="2"/>
      <c r="I24" s="497" t="s">
        <v>1299</v>
      </c>
      <c r="J24" s="498">
        <v>10403</v>
      </c>
      <c r="K24" s="499">
        <v>330</v>
      </c>
      <c r="L24" s="861">
        <v>44853</v>
      </c>
      <c r="M24" s="865">
        <v>330</v>
      </c>
      <c r="N24" s="137">
        <f t="shared" si="1"/>
        <v>0</v>
      </c>
    </row>
    <row r="25" spans="2:14" ht="15.75" x14ac:dyDescent="0.25">
      <c r="B25" s="452">
        <v>44820</v>
      </c>
      <c r="C25" s="437" t="s">
        <v>1336</v>
      </c>
      <c r="D25" s="392">
        <v>7659</v>
      </c>
      <c r="E25" s="806">
        <v>44851</v>
      </c>
      <c r="F25" s="707">
        <v>7659</v>
      </c>
      <c r="G25" s="544">
        <f t="shared" si="0"/>
        <v>0</v>
      </c>
      <c r="H25" s="645"/>
      <c r="I25" s="500" t="s">
        <v>1300</v>
      </c>
      <c r="J25" s="501">
        <v>10408</v>
      </c>
      <c r="K25" s="502">
        <v>312</v>
      </c>
      <c r="L25" s="861">
        <v>44853</v>
      </c>
      <c r="M25" s="865">
        <v>312</v>
      </c>
      <c r="N25" s="137">
        <f t="shared" si="1"/>
        <v>0</v>
      </c>
    </row>
    <row r="26" spans="2:14" ht="15.75" x14ac:dyDescent="0.25">
      <c r="B26" s="452">
        <v>44821</v>
      </c>
      <c r="C26" s="437" t="s">
        <v>1337</v>
      </c>
      <c r="D26" s="392">
        <v>78067.399999999994</v>
      </c>
      <c r="E26" s="806">
        <v>44851</v>
      </c>
      <c r="F26" s="707">
        <v>78067.399999999994</v>
      </c>
      <c r="G26" s="544">
        <f t="shared" si="0"/>
        <v>0</v>
      </c>
      <c r="H26" s="645"/>
      <c r="I26" s="497" t="s">
        <v>1301</v>
      </c>
      <c r="J26" s="498">
        <v>10413</v>
      </c>
      <c r="K26" s="499">
        <v>10749.4</v>
      </c>
      <c r="L26" s="861">
        <v>44853</v>
      </c>
      <c r="M26" s="865">
        <v>10749.4</v>
      </c>
      <c r="N26" s="137">
        <f t="shared" si="1"/>
        <v>0</v>
      </c>
    </row>
    <row r="27" spans="2:14" ht="15.75" x14ac:dyDescent="0.25">
      <c r="B27" s="452">
        <v>44823</v>
      </c>
      <c r="C27" s="437" t="s">
        <v>1338</v>
      </c>
      <c r="D27" s="392">
        <v>4317.6000000000004</v>
      </c>
      <c r="E27" s="806">
        <v>44851</v>
      </c>
      <c r="F27" s="707">
        <v>4317.6000000000004</v>
      </c>
      <c r="G27" s="544">
        <f t="shared" si="0"/>
        <v>0</v>
      </c>
      <c r="H27" s="645"/>
      <c r="I27" s="500" t="s">
        <v>1302</v>
      </c>
      <c r="J27" s="501">
        <v>10426</v>
      </c>
      <c r="K27" s="502">
        <v>440</v>
      </c>
      <c r="L27" s="861">
        <v>44853</v>
      </c>
      <c r="M27" s="865">
        <v>440</v>
      </c>
      <c r="N27" s="137">
        <f t="shared" si="1"/>
        <v>0</v>
      </c>
    </row>
    <row r="28" spans="2:14" ht="31.5" x14ac:dyDescent="0.25">
      <c r="B28" s="452">
        <v>44824</v>
      </c>
      <c r="C28" s="437" t="s">
        <v>1339</v>
      </c>
      <c r="D28" s="392">
        <v>64961.4</v>
      </c>
      <c r="E28" s="847" t="s">
        <v>1451</v>
      </c>
      <c r="F28" s="707">
        <f>3144.56+61816.84</f>
        <v>64961.399999999994</v>
      </c>
      <c r="G28" s="544">
        <f t="shared" si="0"/>
        <v>0</v>
      </c>
      <c r="H28" s="645"/>
      <c r="I28" s="500" t="s">
        <v>1302</v>
      </c>
      <c r="J28" s="501">
        <v>10430</v>
      </c>
      <c r="K28" s="502">
        <v>83796</v>
      </c>
      <c r="L28" s="861">
        <v>44853</v>
      </c>
      <c r="M28" s="865">
        <v>83796</v>
      </c>
      <c r="N28" s="137">
        <f t="shared" si="1"/>
        <v>0</v>
      </c>
    </row>
    <row r="29" spans="2:14" ht="15.75" x14ac:dyDescent="0.25">
      <c r="B29" s="452">
        <v>44825</v>
      </c>
      <c r="C29" s="437" t="s">
        <v>1340</v>
      </c>
      <c r="D29" s="392">
        <v>8619.2000000000007</v>
      </c>
      <c r="E29" s="584">
        <v>44855</v>
      </c>
      <c r="F29" s="585">
        <v>8619.2000000000007</v>
      </c>
      <c r="G29" s="544">
        <f t="shared" si="0"/>
        <v>0</v>
      </c>
      <c r="H29" s="645"/>
      <c r="I29" s="500" t="s">
        <v>1302</v>
      </c>
      <c r="J29" s="501">
        <v>10431</v>
      </c>
      <c r="K29" s="502">
        <v>32</v>
      </c>
      <c r="L29" s="861">
        <v>44853</v>
      </c>
      <c r="M29" s="865">
        <v>32</v>
      </c>
      <c r="N29" s="137">
        <f t="shared" si="1"/>
        <v>0</v>
      </c>
    </row>
    <row r="30" spans="2:14" ht="15.75" x14ac:dyDescent="0.25">
      <c r="B30" s="452">
        <v>44826</v>
      </c>
      <c r="C30" s="437" t="s">
        <v>1341</v>
      </c>
      <c r="D30" s="392">
        <v>26763.09</v>
      </c>
      <c r="E30" s="584">
        <v>44855</v>
      </c>
      <c r="F30" s="585">
        <v>26763.09</v>
      </c>
      <c r="G30" s="544">
        <f t="shared" si="0"/>
        <v>0</v>
      </c>
      <c r="H30" s="645"/>
      <c r="I30" s="497" t="s">
        <v>1302</v>
      </c>
      <c r="J30" s="498">
        <v>10432</v>
      </c>
      <c r="K30" s="499">
        <v>15527.2</v>
      </c>
      <c r="L30" s="861">
        <v>44853</v>
      </c>
      <c r="M30" s="865">
        <v>15527.2</v>
      </c>
      <c r="N30" s="137">
        <f t="shared" si="1"/>
        <v>0</v>
      </c>
    </row>
    <row r="31" spans="2:14" ht="31.5" x14ac:dyDescent="0.25">
      <c r="B31" s="452">
        <v>44827</v>
      </c>
      <c r="C31" s="437" t="s">
        <v>1342</v>
      </c>
      <c r="D31" s="392">
        <v>449824.82</v>
      </c>
      <c r="E31" s="805" t="s">
        <v>1452</v>
      </c>
      <c r="F31" s="583">
        <f>90216.87+359607.95</f>
        <v>449824.82</v>
      </c>
      <c r="G31" s="544">
        <f t="shared" si="0"/>
        <v>0</v>
      </c>
      <c r="H31" s="2"/>
      <c r="I31" s="497" t="s">
        <v>1303</v>
      </c>
      <c r="J31" s="498">
        <v>10439</v>
      </c>
      <c r="K31" s="499">
        <v>9833.2000000000007</v>
      </c>
      <c r="L31" s="861">
        <v>44853</v>
      </c>
      <c r="M31" s="865">
        <v>9833.2000000000007</v>
      </c>
      <c r="N31" s="137">
        <f t="shared" si="1"/>
        <v>0</v>
      </c>
    </row>
    <row r="32" spans="2:14" ht="31.5" x14ac:dyDescent="0.25">
      <c r="B32" s="452">
        <v>44828</v>
      </c>
      <c r="C32" s="437" t="s">
        <v>1343</v>
      </c>
      <c r="D32" s="392">
        <v>75805.399999999994</v>
      </c>
      <c r="E32" s="646" t="s">
        <v>1453</v>
      </c>
      <c r="F32" s="583">
        <f>5417.05+70388.35</f>
        <v>75805.400000000009</v>
      </c>
      <c r="G32" s="544">
        <f t="shared" si="0"/>
        <v>0</v>
      </c>
      <c r="H32" s="2"/>
      <c r="I32" s="497" t="s">
        <v>1304</v>
      </c>
      <c r="J32" s="498">
        <v>10447</v>
      </c>
      <c r="K32" s="499">
        <v>330</v>
      </c>
      <c r="L32" s="861">
        <v>44853</v>
      </c>
      <c r="M32" s="865">
        <v>330</v>
      </c>
      <c r="N32" s="137">
        <f t="shared" si="1"/>
        <v>0</v>
      </c>
    </row>
    <row r="33" spans="2:14" ht="15.75" x14ac:dyDescent="0.25">
      <c r="B33" s="452">
        <v>44828</v>
      </c>
      <c r="C33" s="437" t="s">
        <v>1344</v>
      </c>
      <c r="D33" s="392">
        <v>10260</v>
      </c>
      <c r="E33" s="848">
        <v>44868</v>
      </c>
      <c r="F33" s="849">
        <v>10260</v>
      </c>
      <c r="G33" s="544">
        <f t="shared" si="0"/>
        <v>0</v>
      </c>
      <c r="I33" s="500" t="s">
        <v>1305</v>
      </c>
      <c r="J33" s="501">
        <v>10454</v>
      </c>
      <c r="K33" s="502">
        <v>3738</v>
      </c>
      <c r="L33" s="861">
        <v>44853</v>
      </c>
      <c r="M33" s="865">
        <v>3738</v>
      </c>
      <c r="N33" s="137">
        <f t="shared" si="1"/>
        <v>0</v>
      </c>
    </row>
    <row r="34" spans="2:14" ht="15.75" x14ac:dyDescent="0.25">
      <c r="B34" s="452">
        <v>44830</v>
      </c>
      <c r="C34" s="437" t="s">
        <v>1345</v>
      </c>
      <c r="D34" s="392">
        <v>66227.5</v>
      </c>
      <c r="E34" s="848">
        <v>44868</v>
      </c>
      <c r="F34" s="849">
        <v>66227.5</v>
      </c>
      <c r="G34" s="544">
        <f t="shared" si="0"/>
        <v>0</v>
      </c>
      <c r="I34" s="497" t="s">
        <v>1306</v>
      </c>
      <c r="J34" s="498">
        <v>10473</v>
      </c>
      <c r="K34" s="499">
        <v>1760</v>
      </c>
      <c r="L34" s="861">
        <v>44853</v>
      </c>
      <c r="M34" s="865">
        <v>1760</v>
      </c>
      <c r="N34" s="137">
        <f t="shared" si="1"/>
        <v>0</v>
      </c>
    </row>
    <row r="35" spans="2:14" ht="15.75" x14ac:dyDescent="0.25">
      <c r="B35" s="452">
        <v>44831</v>
      </c>
      <c r="C35" s="437" t="s">
        <v>1346</v>
      </c>
      <c r="D35" s="392">
        <v>61159.199999999997</v>
      </c>
      <c r="E35" s="848">
        <v>44868</v>
      </c>
      <c r="F35" s="849">
        <v>61159.199999999997</v>
      </c>
      <c r="G35" s="544">
        <f t="shared" si="0"/>
        <v>0</v>
      </c>
      <c r="I35" s="500" t="s">
        <v>1307</v>
      </c>
      <c r="J35" s="501">
        <v>10482</v>
      </c>
      <c r="K35" s="502">
        <v>550</v>
      </c>
      <c r="L35" s="861">
        <v>44853</v>
      </c>
      <c r="M35" s="865">
        <v>550</v>
      </c>
      <c r="N35" s="137">
        <f t="shared" si="1"/>
        <v>0</v>
      </c>
    </row>
    <row r="36" spans="2:14" ht="15.75" x14ac:dyDescent="0.25">
      <c r="B36" s="452">
        <v>44832</v>
      </c>
      <c r="C36" s="437" t="s">
        <v>1347</v>
      </c>
      <c r="D36" s="392">
        <v>90739.06</v>
      </c>
      <c r="E36" s="848">
        <v>44868</v>
      </c>
      <c r="F36" s="849">
        <v>90739.06</v>
      </c>
      <c r="G36" s="544">
        <f t="shared" si="0"/>
        <v>0</v>
      </c>
      <c r="I36" s="497" t="s">
        <v>1307</v>
      </c>
      <c r="J36" s="498">
        <v>10483</v>
      </c>
      <c r="K36" s="499">
        <v>34040</v>
      </c>
      <c r="L36" s="861">
        <v>44853</v>
      </c>
      <c r="M36" s="865">
        <v>34040</v>
      </c>
      <c r="N36" s="137">
        <f t="shared" si="1"/>
        <v>0</v>
      </c>
    </row>
    <row r="37" spans="2:14" ht="15.75" x14ac:dyDescent="0.25">
      <c r="B37" s="452">
        <v>44833</v>
      </c>
      <c r="C37" s="437" t="s">
        <v>1348</v>
      </c>
      <c r="D37" s="392">
        <v>27945.95</v>
      </c>
      <c r="E37" s="848">
        <v>44868</v>
      </c>
      <c r="F37" s="849">
        <v>27945.95</v>
      </c>
      <c r="G37" s="544">
        <f t="shared" si="0"/>
        <v>0</v>
      </c>
      <c r="I37" s="500" t="s">
        <v>1307</v>
      </c>
      <c r="J37" s="501">
        <v>10484</v>
      </c>
      <c r="K37" s="502">
        <v>1800</v>
      </c>
      <c r="L37" s="861">
        <v>44853</v>
      </c>
      <c r="M37" s="865">
        <v>1800</v>
      </c>
      <c r="N37" s="137">
        <f t="shared" si="1"/>
        <v>0</v>
      </c>
    </row>
    <row r="38" spans="2:14" ht="15.75" x14ac:dyDescent="0.25">
      <c r="B38" s="452">
        <v>44834</v>
      </c>
      <c r="C38" s="437" t="s">
        <v>1349</v>
      </c>
      <c r="D38" s="392">
        <v>101737.82</v>
      </c>
      <c r="E38" s="848">
        <v>44868</v>
      </c>
      <c r="F38" s="849">
        <v>101737.82</v>
      </c>
      <c r="G38" s="544">
        <f t="shared" si="0"/>
        <v>0</v>
      </c>
      <c r="I38" s="500" t="s">
        <v>1308</v>
      </c>
      <c r="J38" s="501">
        <v>10492</v>
      </c>
      <c r="K38" s="502">
        <v>330</v>
      </c>
      <c r="L38" s="861">
        <v>44853</v>
      </c>
      <c r="M38" s="865">
        <v>330</v>
      </c>
      <c r="N38" s="137">
        <f t="shared" si="1"/>
        <v>0</v>
      </c>
    </row>
    <row r="39" spans="2:14" ht="15.75" x14ac:dyDescent="0.25">
      <c r="B39" s="452">
        <v>44834</v>
      </c>
      <c r="C39" s="437" t="s">
        <v>1316</v>
      </c>
      <c r="D39" s="392">
        <v>5241.6000000000004</v>
      </c>
      <c r="E39" s="848">
        <v>44868</v>
      </c>
      <c r="F39" s="849">
        <v>5241.6000000000004</v>
      </c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0</v>
      </c>
    </row>
    <row r="40" spans="2:14" ht="15.75" x14ac:dyDescent="0.25">
      <c r="B40" s="452">
        <v>44835</v>
      </c>
      <c r="C40" s="437" t="s">
        <v>1317</v>
      </c>
      <c r="D40" s="392">
        <v>29303.81</v>
      </c>
      <c r="E40" s="848">
        <v>44868</v>
      </c>
      <c r="F40" s="849">
        <v>29303.81</v>
      </c>
      <c r="G40" s="111">
        <f t="shared" si="0"/>
        <v>0</v>
      </c>
      <c r="I40" s="973" t="s">
        <v>594</v>
      </c>
      <c r="J40" s="974"/>
      <c r="K40" s="69"/>
      <c r="L40" s="253"/>
      <c r="M40" s="69"/>
      <c r="N40" s="137">
        <f t="shared" si="1"/>
        <v>0</v>
      </c>
    </row>
    <row r="41" spans="2:14" ht="15.75" x14ac:dyDescent="0.25">
      <c r="B41" s="795"/>
      <c r="C41" s="794"/>
      <c r="D41" s="793"/>
      <c r="E41" s="253"/>
      <c r="F41" s="69"/>
      <c r="G41" s="111">
        <f t="shared" si="0"/>
        <v>0</v>
      </c>
      <c r="I41" s="975"/>
      <c r="J41" s="976"/>
      <c r="K41" s="69"/>
      <c r="L41" s="253"/>
      <c r="M41" s="69"/>
      <c r="N41" s="137">
        <f t="shared" si="1"/>
        <v>0</v>
      </c>
    </row>
    <row r="42" spans="2:14" ht="15.75" x14ac:dyDescent="0.25">
      <c r="B42" s="795"/>
      <c r="C42" s="794"/>
      <c r="D42" s="793"/>
      <c r="E42" s="253"/>
      <c r="F42" s="69"/>
      <c r="G42" s="111">
        <f t="shared" si="0"/>
        <v>0</v>
      </c>
      <c r="I42" s="977"/>
      <c r="J42" s="978"/>
      <c r="K42" s="69"/>
      <c r="L42" s="253"/>
      <c r="M42" s="69"/>
      <c r="N42" s="137">
        <f t="shared" si="1"/>
        <v>0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0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0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024" t="s">
        <v>1455</v>
      </c>
      <c r="J45" s="1025"/>
      <c r="K45" s="1025"/>
      <c r="L45" s="1026"/>
      <c r="M45" s="69"/>
      <c r="N45" s="137">
        <f t="shared" si="1"/>
        <v>0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024"/>
      <c r="J46" s="1025"/>
      <c r="K46" s="1025"/>
      <c r="L46" s="1026"/>
      <c r="M46" s="69"/>
      <c r="N46" s="137">
        <f t="shared" si="1"/>
        <v>0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0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0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0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0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0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0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0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0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0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0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0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0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0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0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0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0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2600214.79</v>
      </c>
      <c r="E67" s="407"/>
      <c r="F67" s="395">
        <f>SUM(F3:F66)</f>
        <v>2600214.79</v>
      </c>
      <c r="G67" s="153">
        <f>SUM(G3:G66)</f>
        <v>0</v>
      </c>
      <c r="I67" s="969" t="s">
        <v>594</v>
      </c>
      <c r="J67" s="970"/>
      <c r="K67" s="642">
        <f>SUM(K3:K66)</f>
        <v>250099.28000000003</v>
      </c>
      <c r="L67" s="713"/>
      <c r="M67" s="209">
        <f>SUM(M3:M66)</f>
        <v>250099.28000000003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31" t="s">
        <v>207</v>
      </c>
      <c r="I68" s="971"/>
      <c r="J68" s="972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32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E71" s="851"/>
      <c r="F71" s="776"/>
      <c r="H71" s="2"/>
      <c r="I71" s="426"/>
      <c r="J71" s="503"/>
      <c r="K71" s="6"/>
      <c r="L71" s="714"/>
      <c r="M71"/>
    </row>
    <row r="72" spans="2:14" ht="15" customHeight="1" x14ac:dyDescent="0.25">
      <c r="C72" s="798"/>
      <c r="D72" s="776"/>
      <c r="E72" s="799"/>
      <c r="F72" s="233"/>
      <c r="H72" s="2"/>
      <c r="I72" s="791"/>
      <c r="J72" s="792"/>
      <c r="K72" s="793"/>
      <c r="L72" s="793"/>
      <c r="M72"/>
      <c r="N72"/>
    </row>
    <row r="73" spans="2:14" ht="15.75" customHeight="1" x14ac:dyDescent="0.25">
      <c r="C73" s="798"/>
      <c r="D73" s="233"/>
      <c r="E73" s="799"/>
      <c r="F73" s="233"/>
      <c r="H73" s="2"/>
      <c r="I73" s="791"/>
      <c r="J73" s="792"/>
      <c r="K73" s="793"/>
      <c r="L73" s="793"/>
      <c r="M73"/>
      <c r="N73"/>
    </row>
    <row r="74" spans="2:14" ht="15.75" x14ac:dyDescent="0.25">
      <c r="C74" s="798"/>
      <c r="D74" s="233"/>
      <c r="E74" s="799"/>
      <c r="F74" s="233"/>
      <c r="H74" s="2"/>
      <c r="I74" s="791"/>
      <c r="J74" s="792"/>
      <c r="K74" s="793"/>
      <c r="L74" s="793"/>
      <c r="M74"/>
      <c r="N74"/>
    </row>
    <row r="75" spans="2:14" ht="15.75" x14ac:dyDescent="0.25">
      <c r="C75" s="798"/>
      <c r="D75" s="233"/>
      <c r="E75" s="799"/>
      <c r="F75" s="233"/>
      <c r="H75" s="2"/>
      <c r="I75" s="2"/>
      <c r="J75" s="2"/>
      <c r="K75" s="2"/>
      <c r="L75" s="714"/>
      <c r="M75"/>
      <c r="N75"/>
    </row>
    <row r="76" spans="2:14" ht="15.75" x14ac:dyDescent="0.25">
      <c r="C76" s="798"/>
      <c r="D76" s="233"/>
      <c r="E76" s="799"/>
      <c r="F76" s="233"/>
      <c r="H76" s="2"/>
      <c r="I76" s="2"/>
      <c r="J76" s="2"/>
      <c r="K76" s="2"/>
      <c r="L76" s="714"/>
      <c r="M76"/>
      <c r="N76"/>
    </row>
    <row r="77" spans="2:14" ht="15.75" x14ac:dyDescent="0.25">
      <c r="C77" s="798"/>
      <c r="D77" s="233"/>
      <c r="E77" s="799"/>
      <c r="F77" s="126"/>
      <c r="I77"/>
      <c r="J77"/>
      <c r="K77"/>
      <c r="M77"/>
      <c r="N77"/>
    </row>
    <row r="78" spans="2:14" ht="15.75" x14ac:dyDescent="0.25">
      <c r="C78" s="798"/>
      <c r="D78" s="233"/>
      <c r="E78" s="799"/>
      <c r="F78" s="126"/>
      <c r="I78"/>
      <c r="J78"/>
      <c r="K78"/>
      <c r="M78"/>
      <c r="N78"/>
    </row>
    <row r="79" spans="2:14" ht="15.75" x14ac:dyDescent="0.25">
      <c r="C79" s="798"/>
      <c r="D79" s="233"/>
      <c r="E79" s="799"/>
      <c r="F79" s="126"/>
      <c r="I79"/>
      <c r="J79"/>
      <c r="K79"/>
      <c r="M79"/>
      <c r="N79"/>
    </row>
    <row r="80" spans="2:14" ht="15.75" x14ac:dyDescent="0.25">
      <c r="C80" s="798"/>
      <c r="D80" s="233"/>
      <c r="E80" s="799"/>
      <c r="F80" s="126"/>
      <c r="I80"/>
      <c r="J80"/>
      <c r="K80"/>
      <c r="M80"/>
      <c r="N80"/>
    </row>
    <row r="81" spans="3:14" ht="15.75" x14ac:dyDescent="0.25">
      <c r="C81" s="756"/>
      <c r="D81" s="233"/>
      <c r="E81" s="799"/>
      <c r="F81" s="126"/>
      <c r="I81"/>
      <c r="J81"/>
      <c r="K81"/>
      <c r="M81"/>
      <c r="N81"/>
    </row>
    <row r="82" spans="3:14" ht="15.75" x14ac:dyDescent="0.25">
      <c r="C82" s="756"/>
      <c r="D82" s="233"/>
      <c r="E82" s="799"/>
      <c r="F82" s="126"/>
      <c r="I82"/>
      <c r="J82"/>
      <c r="K82"/>
      <c r="M82"/>
      <c r="N82"/>
    </row>
    <row r="83" spans="3:14" ht="15.75" x14ac:dyDescent="0.25">
      <c r="C83" s="756"/>
      <c r="D83" s="233"/>
      <c r="E83" s="799"/>
      <c r="F83" s="126"/>
      <c r="I83"/>
      <c r="J83"/>
      <c r="K83"/>
      <c r="M83"/>
      <c r="N83"/>
    </row>
    <row r="84" spans="3:14" ht="15.75" x14ac:dyDescent="0.25">
      <c r="C84" s="756"/>
      <c r="D84" s="233"/>
      <c r="E84" s="799"/>
      <c r="F84" s="126"/>
      <c r="I84"/>
      <c r="J84"/>
      <c r="K84"/>
      <c r="M84"/>
      <c r="N84"/>
    </row>
    <row r="85" spans="3:14" ht="15.75" x14ac:dyDescent="0.25">
      <c r="C85" s="756"/>
      <c r="D85" s="233"/>
      <c r="E85" s="799"/>
      <c r="F85" s="126"/>
      <c r="I85"/>
      <c r="J85"/>
      <c r="K85"/>
      <c r="M85"/>
      <c r="N85"/>
    </row>
    <row r="86" spans="3:14" ht="15.75" x14ac:dyDescent="0.25">
      <c r="C86" s="756"/>
      <c r="D86" s="233"/>
      <c r="E86" s="799"/>
      <c r="F86" s="126"/>
      <c r="I86"/>
      <c r="J86"/>
      <c r="K86"/>
      <c r="M86"/>
      <c r="N86"/>
    </row>
    <row r="87" spans="3:14" ht="15.75" x14ac:dyDescent="0.25">
      <c r="C87" s="756"/>
      <c r="D87" s="233"/>
      <c r="E87" s="799"/>
      <c r="F87" s="126"/>
      <c r="I87"/>
      <c r="J87"/>
      <c r="K87"/>
      <c r="M87"/>
      <c r="N87"/>
    </row>
    <row r="88" spans="3:14" ht="15.75" x14ac:dyDescent="0.25">
      <c r="C88" s="756"/>
      <c r="D88" s="233"/>
      <c r="E88" s="799"/>
      <c r="F88" s="126"/>
      <c r="I88"/>
      <c r="J88"/>
      <c r="K88"/>
      <c r="M88"/>
      <c r="N88"/>
    </row>
    <row r="89" spans="3:14" ht="15.75" x14ac:dyDescent="0.25">
      <c r="C89" s="756"/>
      <c r="D89" s="233"/>
      <c r="E89" s="799"/>
      <c r="F89" s="126"/>
      <c r="I89"/>
      <c r="J89"/>
      <c r="K89"/>
      <c r="M89"/>
      <c r="N89"/>
    </row>
    <row r="90" spans="3:14" ht="15.75" x14ac:dyDescent="0.25">
      <c r="C90" s="756"/>
      <c r="D90" s="233"/>
      <c r="E90" s="799"/>
      <c r="F90" s="126"/>
      <c r="I90"/>
      <c r="J90"/>
      <c r="K90"/>
      <c r="M90"/>
      <c r="N90"/>
    </row>
    <row r="91" spans="3:14" ht="15.75" x14ac:dyDescent="0.25">
      <c r="C91" s="116"/>
      <c r="D91" s="850"/>
      <c r="E91" s="456"/>
      <c r="I91"/>
      <c r="J91"/>
      <c r="K91"/>
      <c r="M91"/>
      <c r="N91"/>
    </row>
    <row r="92" spans="3:14" ht="15.75" x14ac:dyDescent="0.25">
      <c r="C92" s="116"/>
      <c r="D92" s="392"/>
      <c r="E92" s="456"/>
      <c r="I92"/>
      <c r="J92"/>
      <c r="K92"/>
      <c r="M92"/>
      <c r="N92"/>
    </row>
    <row r="93" spans="3:14" ht="15.75" x14ac:dyDescent="0.25">
      <c r="C93" s="116"/>
      <c r="D93" s="392"/>
      <c r="E93" s="456"/>
      <c r="I93"/>
      <c r="J93"/>
      <c r="K93"/>
      <c r="M93"/>
      <c r="N93"/>
    </row>
    <row r="94" spans="3:14" ht="15.75" x14ac:dyDescent="0.25">
      <c r="C94" s="116"/>
      <c r="D94" s="392"/>
      <c r="E94" s="456"/>
      <c r="I94"/>
      <c r="J94"/>
      <c r="K94"/>
      <c r="M94"/>
      <c r="N94"/>
    </row>
    <row r="95" spans="3:14" ht="15.75" x14ac:dyDescent="0.25">
      <c r="C95" s="116"/>
      <c r="D95" s="392"/>
      <c r="E95" s="456"/>
      <c r="I95"/>
      <c r="J95"/>
      <c r="K95"/>
      <c r="M95"/>
      <c r="N95"/>
    </row>
    <row r="96" spans="3:14" ht="15.75" x14ac:dyDescent="0.25">
      <c r="C96" s="116"/>
      <c r="D96" s="392"/>
      <c r="E96" s="456"/>
      <c r="I96"/>
      <c r="J96"/>
      <c r="K96"/>
      <c r="M96"/>
      <c r="N96"/>
    </row>
    <row r="97" spans="3:14" ht="15.75" x14ac:dyDescent="0.25">
      <c r="C97" s="116"/>
      <c r="D97" s="392"/>
      <c r="E97" s="456"/>
      <c r="I97"/>
      <c r="J97"/>
      <c r="K97"/>
      <c r="M97"/>
      <c r="N97"/>
    </row>
    <row r="98" spans="3:14" ht="15.75" x14ac:dyDescent="0.25">
      <c r="C98" s="116"/>
      <c r="D98" s="392"/>
      <c r="E98" s="456"/>
      <c r="I98"/>
      <c r="J98"/>
      <c r="K98"/>
      <c r="M98"/>
      <c r="N98"/>
    </row>
    <row r="99" spans="3:14" ht="15.75" x14ac:dyDescent="0.25">
      <c r="C99" s="116"/>
      <c r="D99" s="392"/>
      <c r="E99" s="456"/>
      <c r="I99"/>
      <c r="J99"/>
      <c r="K99"/>
      <c r="M99"/>
      <c r="N99"/>
    </row>
    <row r="100" spans="3:14" ht="15.75" x14ac:dyDescent="0.25">
      <c r="C100" s="116"/>
      <c r="D100" s="392"/>
      <c r="E100" s="456"/>
      <c r="I100"/>
      <c r="J100"/>
      <c r="K100"/>
      <c r="M100"/>
      <c r="N100"/>
    </row>
    <row r="101" spans="3:14" x14ac:dyDescent="0.25">
      <c r="C101" s="116"/>
      <c r="D101" s="129">
        <f>SUM(D73:D100)</f>
        <v>0</v>
      </c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40:J42"/>
    <mergeCell ref="I67:J68"/>
    <mergeCell ref="G68:G69"/>
    <mergeCell ref="I45:L46"/>
  </mergeCells>
  <pageMargins left="0.25" right="0.25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66"/>
  </sheetPr>
  <dimension ref="A1:R97"/>
  <sheetViews>
    <sheetView topLeftCell="H22" workbookViewId="0">
      <selection activeCell="Q44" sqref="Q44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93"/>
      <c r="C1" s="935" t="s">
        <v>1378</v>
      </c>
      <c r="D1" s="936"/>
      <c r="E1" s="936"/>
      <c r="F1" s="936"/>
      <c r="G1" s="936"/>
      <c r="H1" s="936"/>
      <c r="I1" s="936"/>
      <c r="J1" s="936"/>
      <c r="K1" s="936"/>
      <c r="L1" s="936"/>
      <c r="M1" s="936"/>
    </row>
    <row r="2" spans="1:18" ht="16.5" thickBot="1" x14ac:dyDescent="0.3">
      <c r="B2" s="894"/>
      <c r="C2" s="3"/>
      <c r="H2" s="5"/>
      <c r="I2" s="6"/>
      <c r="J2" s="7"/>
      <c r="L2" s="8"/>
      <c r="M2" s="6"/>
      <c r="N2" s="9"/>
    </row>
    <row r="3" spans="1:18" ht="21.75" thickBot="1" x14ac:dyDescent="0.35">
      <c r="B3" s="897" t="s">
        <v>0</v>
      </c>
      <c r="C3" s="898"/>
      <c r="D3" s="10"/>
      <c r="E3" s="553"/>
      <c r="F3" s="11"/>
      <c r="H3" s="899" t="s">
        <v>26</v>
      </c>
      <c r="I3" s="899"/>
      <c r="K3" s="165"/>
      <c r="L3" s="13"/>
      <c r="M3" s="14"/>
      <c r="P3" s="923" t="s">
        <v>6</v>
      </c>
      <c r="R3" s="933" t="s">
        <v>216</v>
      </c>
    </row>
    <row r="4" spans="1:18" ht="32.25" thickTop="1" thickBot="1" x14ac:dyDescent="0.35">
      <c r="A4" s="15" t="s">
        <v>1</v>
      </c>
      <c r="B4" s="16"/>
      <c r="C4" s="17">
        <v>3773503.4</v>
      </c>
      <c r="D4" s="18">
        <v>44836</v>
      </c>
      <c r="E4" s="900" t="s">
        <v>2</v>
      </c>
      <c r="F4" s="901"/>
      <c r="H4" s="902" t="s">
        <v>3</v>
      </c>
      <c r="I4" s="903"/>
      <c r="J4" s="556"/>
      <c r="K4" s="562"/>
      <c r="L4" s="563"/>
      <c r="M4" s="21" t="s">
        <v>4</v>
      </c>
      <c r="N4" s="22" t="s">
        <v>5</v>
      </c>
      <c r="P4" s="924"/>
      <c r="Q4" s="322" t="s">
        <v>217</v>
      </c>
      <c r="R4" s="934"/>
    </row>
    <row r="5" spans="1:18" ht="18" thickBot="1" x14ac:dyDescent="0.35">
      <c r="A5" s="23" t="s">
        <v>7</v>
      </c>
      <c r="B5" s="24">
        <v>44837</v>
      </c>
      <c r="C5" s="25">
        <v>10621</v>
      </c>
      <c r="D5" s="26" t="s">
        <v>1379</v>
      </c>
      <c r="E5" s="27">
        <v>44837</v>
      </c>
      <c r="F5" s="28">
        <v>177072</v>
      </c>
      <c r="G5" s="572"/>
      <c r="H5" s="29">
        <v>44837</v>
      </c>
      <c r="I5" s="30">
        <v>2133</v>
      </c>
      <c r="J5" s="37">
        <v>44837</v>
      </c>
      <c r="K5" s="31" t="s">
        <v>1380</v>
      </c>
      <c r="L5" s="9">
        <v>9674</v>
      </c>
      <c r="M5" s="32">
        <f>14500+23884.2+71222</f>
        <v>109606.2</v>
      </c>
      <c r="N5" s="33">
        <v>45038</v>
      </c>
      <c r="O5" s="176" t="s">
        <v>937</v>
      </c>
      <c r="P5" s="34">
        <f>N5+M5+L5+I5+C5</f>
        <v>177072.2</v>
      </c>
      <c r="Q5" s="325">
        <f>P5-F5</f>
        <v>0.20000000001164153</v>
      </c>
      <c r="R5" s="379">
        <v>0</v>
      </c>
    </row>
    <row r="6" spans="1:18" ht="18" thickBot="1" x14ac:dyDescent="0.35">
      <c r="A6" s="23"/>
      <c r="B6" s="24">
        <v>44838</v>
      </c>
      <c r="C6" s="25">
        <v>25523</v>
      </c>
      <c r="D6" s="35" t="s">
        <v>1381</v>
      </c>
      <c r="E6" s="27">
        <v>44838</v>
      </c>
      <c r="F6" s="28">
        <v>139649</v>
      </c>
      <c r="G6" s="572"/>
      <c r="H6" s="29">
        <v>44838</v>
      </c>
      <c r="I6" s="30">
        <v>1352</v>
      </c>
      <c r="J6" s="37"/>
      <c r="K6" s="38"/>
      <c r="L6" s="39"/>
      <c r="M6" s="32">
        <f>49691+19668.6</f>
        <v>69359.600000000006</v>
      </c>
      <c r="N6" s="33">
        <v>43414</v>
      </c>
      <c r="O6" s="176" t="s">
        <v>937</v>
      </c>
      <c r="P6" s="39">
        <f>N6+M6+L6+I6+C6</f>
        <v>139648.6</v>
      </c>
      <c r="Q6" s="325">
        <f t="shared" ref="Q6:Q40" si="0">P6-F6</f>
        <v>-0.39999999999417923</v>
      </c>
      <c r="R6" s="319">
        <v>0</v>
      </c>
    </row>
    <row r="7" spans="1:18" ht="18" thickBot="1" x14ac:dyDescent="0.35">
      <c r="A7" s="23"/>
      <c r="B7" s="24">
        <v>44839</v>
      </c>
      <c r="C7" s="25">
        <v>29776</v>
      </c>
      <c r="D7" s="40" t="s">
        <v>1382</v>
      </c>
      <c r="E7" s="27">
        <v>44839</v>
      </c>
      <c r="F7" s="28">
        <v>143376</v>
      </c>
      <c r="G7" s="572"/>
      <c r="H7" s="29">
        <v>44839</v>
      </c>
      <c r="I7" s="30">
        <v>6147</v>
      </c>
      <c r="J7" s="37"/>
      <c r="K7" s="38"/>
      <c r="L7" s="39"/>
      <c r="M7" s="32">
        <f>77200+32243</f>
        <v>109443</v>
      </c>
      <c r="N7" s="33">
        <v>34322</v>
      </c>
      <c r="O7" s="176" t="s">
        <v>937</v>
      </c>
      <c r="P7" s="39">
        <f>N7+M7+L7+I7+C7</f>
        <v>179688</v>
      </c>
      <c r="Q7" s="325">
        <v>0</v>
      </c>
      <c r="R7" s="319">
        <v>0</v>
      </c>
    </row>
    <row r="8" spans="1:18" ht="18" thickBot="1" x14ac:dyDescent="0.35">
      <c r="A8" s="23"/>
      <c r="B8" s="24">
        <v>44840</v>
      </c>
      <c r="C8" s="25">
        <v>9121.5</v>
      </c>
      <c r="D8" s="42" t="s">
        <v>1383</v>
      </c>
      <c r="E8" s="27">
        <v>44840</v>
      </c>
      <c r="F8" s="28">
        <v>111729</v>
      </c>
      <c r="G8" s="572"/>
      <c r="H8" s="29">
        <v>44840</v>
      </c>
      <c r="I8" s="30">
        <v>1250</v>
      </c>
      <c r="J8" s="43"/>
      <c r="K8" s="38"/>
      <c r="L8" s="39"/>
      <c r="M8" s="32">
        <f>72500+2464</f>
        <v>74964</v>
      </c>
      <c r="N8" s="33">
        <v>26399</v>
      </c>
      <c r="O8" s="176" t="s">
        <v>937</v>
      </c>
      <c r="P8" s="39">
        <f t="shared" ref="P8:P33" si="1">N8+M8+L8+I8+C8</f>
        <v>111734.5</v>
      </c>
      <c r="Q8" s="325">
        <f t="shared" si="0"/>
        <v>5.5</v>
      </c>
      <c r="R8" s="319">
        <v>0</v>
      </c>
    </row>
    <row r="9" spans="1:18" ht="18" thickBot="1" x14ac:dyDescent="0.35">
      <c r="A9" s="23"/>
      <c r="B9" s="24">
        <v>44841</v>
      </c>
      <c r="C9" s="25">
        <v>12292</v>
      </c>
      <c r="D9" s="42" t="s">
        <v>1384</v>
      </c>
      <c r="E9" s="27">
        <v>44841</v>
      </c>
      <c r="F9" s="28">
        <v>147860</v>
      </c>
      <c r="G9" s="572"/>
      <c r="H9" s="29">
        <v>44841</v>
      </c>
      <c r="I9" s="30">
        <v>1713</v>
      </c>
      <c r="J9" s="37" t="s">
        <v>7</v>
      </c>
      <c r="K9" s="223"/>
      <c r="L9" s="39"/>
      <c r="M9" s="32">
        <f>790+82887</f>
        <v>83677</v>
      </c>
      <c r="N9" s="33">
        <v>50178</v>
      </c>
      <c r="O9" s="176" t="s">
        <v>937</v>
      </c>
      <c r="P9" s="39">
        <f t="shared" si="1"/>
        <v>147860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44842</v>
      </c>
      <c r="C10" s="25">
        <v>7027</v>
      </c>
      <c r="D10" s="40" t="s">
        <v>1385</v>
      </c>
      <c r="E10" s="27">
        <v>44842</v>
      </c>
      <c r="F10" s="28">
        <v>167297</v>
      </c>
      <c r="G10" s="572"/>
      <c r="H10" s="29">
        <v>44842</v>
      </c>
      <c r="I10" s="30">
        <v>3545</v>
      </c>
      <c r="J10" s="37">
        <v>44842</v>
      </c>
      <c r="K10" s="167" t="s">
        <v>1386</v>
      </c>
      <c r="L10" s="45">
        <v>18318</v>
      </c>
      <c r="M10" s="32">
        <f>47979.5+26327.5</f>
        <v>74307</v>
      </c>
      <c r="N10" s="33">
        <v>64100</v>
      </c>
      <c r="O10" s="176" t="s">
        <v>937</v>
      </c>
      <c r="P10" s="39">
        <f>N10+M10+L10+I10+C10</f>
        <v>167297</v>
      </c>
      <c r="Q10" s="325">
        <f t="shared" si="0"/>
        <v>0</v>
      </c>
      <c r="R10" s="319">
        <v>0</v>
      </c>
    </row>
    <row r="11" spans="1:18" ht="18" thickBot="1" x14ac:dyDescent="0.35">
      <c r="A11" s="23"/>
      <c r="B11" s="24">
        <v>44843</v>
      </c>
      <c r="C11" s="25">
        <v>4241</v>
      </c>
      <c r="D11" s="35" t="s">
        <v>1387</v>
      </c>
      <c r="E11" s="27">
        <v>44843</v>
      </c>
      <c r="F11" s="28">
        <v>103804</v>
      </c>
      <c r="G11" s="572"/>
      <c r="H11" s="29">
        <v>44843</v>
      </c>
      <c r="I11" s="30">
        <v>1149</v>
      </c>
      <c r="J11" s="43"/>
      <c r="K11" s="168"/>
      <c r="L11" s="39"/>
      <c r="M11" s="32">
        <v>45426</v>
      </c>
      <c r="N11" s="33">
        <v>52988</v>
      </c>
      <c r="O11" s="176" t="s">
        <v>937</v>
      </c>
      <c r="P11" s="39">
        <f t="shared" si="1"/>
        <v>103804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44844</v>
      </c>
      <c r="C12" s="25">
        <v>14100</v>
      </c>
      <c r="D12" s="35" t="s">
        <v>1388</v>
      </c>
      <c r="E12" s="27">
        <v>44844</v>
      </c>
      <c r="F12" s="28">
        <v>184072</v>
      </c>
      <c r="G12" s="572"/>
      <c r="H12" s="29">
        <v>44844</v>
      </c>
      <c r="I12" s="30">
        <v>1909</v>
      </c>
      <c r="J12" s="37"/>
      <c r="K12" s="169"/>
      <c r="L12" s="39"/>
      <c r="M12" s="32">
        <f>55141+29712+20530+19029</f>
        <v>124412</v>
      </c>
      <c r="N12" s="33">
        <v>43651</v>
      </c>
      <c r="O12" s="176" t="s">
        <v>937</v>
      </c>
      <c r="P12" s="39">
        <f t="shared" si="1"/>
        <v>184072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44845</v>
      </c>
      <c r="C13" s="25">
        <v>18726</v>
      </c>
      <c r="D13" s="42" t="s">
        <v>1389</v>
      </c>
      <c r="E13" s="27">
        <v>44845</v>
      </c>
      <c r="F13" s="28">
        <v>136978</v>
      </c>
      <c r="G13" s="572"/>
      <c r="H13" s="29">
        <v>44845</v>
      </c>
      <c r="I13" s="30">
        <v>1610</v>
      </c>
      <c r="J13" s="37"/>
      <c r="K13" s="38"/>
      <c r="L13" s="39"/>
      <c r="M13" s="32">
        <f>7090+75957</f>
        <v>83047</v>
      </c>
      <c r="N13" s="33">
        <v>33595</v>
      </c>
      <c r="O13" s="176" t="s">
        <v>937</v>
      </c>
      <c r="P13" s="39">
        <f>N13+M13+L13+I13+C13</f>
        <v>136978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44846</v>
      </c>
      <c r="C14" s="25">
        <v>37133</v>
      </c>
      <c r="D14" s="40" t="s">
        <v>1390</v>
      </c>
      <c r="E14" s="27">
        <v>44846</v>
      </c>
      <c r="F14" s="28">
        <v>99399</v>
      </c>
      <c r="G14" s="572"/>
      <c r="H14" s="29">
        <v>44846</v>
      </c>
      <c r="I14" s="30">
        <v>1941.5</v>
      </c>
      <c r="J14" s="37"/>
      <c r="K14" s="38"/>
      <c r="L14" s="39"/>
      <c r="M14" s="32">
        <f>11225+29968.5</f>
        <v>41193.5</v>
      </c>
      <c r="N14" s="33">
        <v>23281</v>
      </c>
      <c r="O14" s="176" t="s">
        <v>937</v>
      </c>
      <c r="P14" s="39">
        <f t="shared" si="1"/>
        <v>103549</v>
      </c>
      <c r="Q14" s="325">
        <v>0</v>
      </c>
      <c r="R14" s="388">
        <v>4150</v>
      </c>
    </row>
    <row r="15" spans="1:18" ht="18" thickBot="1" x14ac:dyDescent="0.35">
      <c r="A15" s="23"/>
      <c r="B15" s="24">
        <v>44847</v>
      </c>
      <c r="C15" s="25">
        <v>11178</v>
      </c>
      <c r="D15" s="40" t="s">
        <v>1391</v>
      </c>
      <c r="E15" s="27">
        <v>44847</v>
      </c>
      <c r="F15" s="28">
        <v>117443</v>
      </c>
      <c r="G15" s="572"/>
      <c r="H15" s="29">
        <v>44847</v>
      </c>
      <c r="I15" s="30">
        <v>4002</v>
      </c>
      <c r="J15" s="37"/>
      <c r="K15" s="38"/>
      <c r="L15" s="39"/>
      <c r="M15" s="32">
        <f>66150</f>
        <v>66150</v>
      </c>
      <c r="N15" s="33">
        <v>36114</v>
      </c>
      <c r="O15" s="176" t="s">
        <v>937</v>
      </c>
      <c r="P15" s="39">
        <f t="shared" si="1"/>
        <v>117444</v>
      </c>
      <c r="Q15" s="325">
        <f t="shared" si="0"/>
        <v>1</v>
      </c>
      <c r="R15" s="319">
        <v>0</v>
      </c>
    </row>
    <row r="16" spans="1:18" ht="18" thickBot="1" x14ac:dyDescent="0.35">
      <c r="A16" s="23"/>
      <c r="B16" s="24">
        <v>44848</v>
      </c>
      <c r="C16" s="25">
        <v>7077.5</v>
      </c>
      <c r="D16" s="35" t="s">
        <v>1392</v>
      </c>
      <c r="E16" s="27">
        <v>44848</v>
      </c>
      <c r="F16" s="28">
        <v>135341</v>
      </c>
      <c r="G16" s="572"/>
      <c r="H16" s="29">
        <v>44848</v>
      </c>
      <c r="I16" s="30">
        <v>1710</v>
      </c>
      <c r="J16" s="37"/>
      <c r="K16" s="169"/>
      <c r="L16" s="9"/>
      <c r="M16" s="32">
        <v>77006.5</v>
      </c>
      <c r="N16" s="33">
        <v>49547</v>
      </c>
      <c r="O16" s="176" t="s">
        <v>937</v>
      </c>
      <c r="P16" s="39">
        <f t="shared" si="1"/>
        <v>135341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44849</v>
      </c>
      <c r="C17" s="25">
        <v>7361</v>
      </c>
      <c r="D17" s="42" t="s">
        <v>1393</v>
      </c>
      <c r="E17" s="27">
        <v>44849</v>
      </c>
      <c r="F17" s="28">
        <v>156982</v>
      </c>
      <c r="G17" s="572"/>
      <c r="H17" s="29">
        <v>44849</v>
      </c>
      <c r="I17" s="30">
        <v>2666.5</v>
      </c>
      <c r="J17" s="37">
        <v>44849</v>
      </c>
      <c r="K17" s="38" t="s">
        <v>1394</v>
      </c>
      <c r="L17" s="45">
        <v>18357</v>
      </c>
      <c r="M17" s="32">
        <v>76392.5</v>
      </c>
      <c r="N17" s="33">
        <v>52205</v>
      </c>
      <c r="O17" s="176" t="s">
        <v>937</v>
      </c>
      <c r="P17" s="39">
        <f t="shared" si="1"/>
        <v>156982</v>
      </c>
      <c r="Q17" s="325">
        <f t="shared" si="0"/>
        <v>0</v>
      </c>
      <c r="R17" s="319">
        <v>0</v>
      </c>
    </row>
    <row r="18" spans="1:18" ht="18" thickBot="1" x14ac:dyDescent="0.35">
      <c r="A18" s="23"/>
      <c r="B18" s="24">
        <v>44850</v>
      </c>
      <c r="C18" s="25">
        <v>21626</v>
      </c>
      <c r="D18" s="35" t="s">
        <v>639</v>
      </c>
      <c r="E18" s="27">
        <v>44850</v>
      </c>
      <c r="F18" s="28">
        <v>92253</v>
      </c>
      <c r="G18" s="572"/>
      <c r="H18" s="29">
        <v>44850</v>
      </c>
      <c r="I18" s="30">
        <v>600.5</v>
      </c>
      <c r="J18" s="37"/>
      <c r="K18" s="564"/>
      <c r="L18" s="39"/>
      <c r="M18" s="32">
        <v>32401.5</v>
      </c>
      <c r="N18" s="33">
        <v>37625</v>
      </c>
      <c r="O18" s="176" t="s">
        <v>937</v>
      </c>
      <c r="P18" s="39">
        <f t="shared" si="1"/>
        <v>92253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44851</v>
      </c>
      <c r="C19" s="859">
        <f>15181+57274</f>
        <v>72455</v>
      </c>
      <c r="D19" s="35" t="s">
        <v>1396</v>
      </c>
      <c r="E19" s="27">
        <v>44851</v>
      </c>
      <c r="F19" s="28">
        <v>335060</v>
      </c>
      <c r="G19" s="572"/>
      <c r="H19" s="29">
        <v>44851</v>
      </c>
      <c r="I19" s="30">
        <v>2459</v>
      </c>
      <c r="J19" s="37">
        <v>44851</v>
      </c>
      <c r="K19" s="826" t="s">
        <v>1397</v>
      </c>
      <c r="L19" s="47">
        <v>125623</v>
      </c>
      <c r="M19" s="32">
        <f>59314+3825+15405+22027</f>
        <v>100571</v>
      </c>
      <c r="N19" s="33">
        <v>46654</v>
      </c>
      <c r="O19" s="176" t="s">
        <v>937</v>
      </c>
      <c r="P19" s="39">
        <f t="shared" si="1"/>
        <v>347762</v>
      </c>
      <c r="Q19" s="325">
        <v>0</v>
      </c>
      <c r="R19" s="388">
        <v>12702</v>
      </c>
    </row>
    <row r="20" spans="1:18" ht="18" customHeight="1" thickBot="1" x14ac:dyDescent="0.35">
      <c r="A20" s="23"/>
      <c r="B20" s="24">
        <v>44852</v>
      </c>
      <c r="C20" s="25">
        <v>20132</v>
      </c>
      <c r="D20" s="35" t="s">
        <v>1398</v>
      </c>
      <c r="E20" s="27">
        <v>44852</v>
      </c>
      <c r="F20" s="28">
        <v>112448</v>
      </c>
      <c r="G20" s="572"/>
      <c r="H20" s="29">
        <v>44852</v>
      </c>
      <c r="I20" s="30">
        <v>12996</v>
      </c>
      <c r="J20" s="37"/>
      <c r="K20" s="171"/>
      <c r="L20" s="45"/>
      <c r="M20" s="32">
        <f>50356+40030</f>
        <v>90386</v>
      </c>
      <c r="N20" s="33">
        <v>38783</v>
      </c>
      <c r="O20" s="176" t="s">
        <v>937</v>
      </c>
      <c r="P20" s="39">
        <f t="shared" si="1"/>
        <v>162297</v>
      </c>
      <c r="Q20" s="325">
        <v>0</v>
      </c>
      <c r="R20" s="388">
        <v>49849</v>
      </c>
    </row>
    <row r="21" spans="1:18" ht="18" thickBot="1" x14ac:dyDescent="0.35">
      <c r="A21" s="23"/>
      <c r="B21" s="24">
        <v>44853</v>
      </c>
      <c r="C21" s="25">
        <v>20347</v>
      </c>
      <c r="D21" s="35" t="s">
        <v>1399</v>
      </c>
      <c r="E21" s="27">
        <v>44853</v>
      </c>
      <c r="F21" s="28">
        <v>112085</v>
      </c>
      <c r="G21" s="572"/>
      <c r="H21" s="29">
        <v>44853</v>
      </c>
      <c r="I21" s="30">
        <v>990.5</v>
      </c>
      <c r="J21" s="37"/>
      <c r="K21" s="565"/>
      <c r="L21" s="45"/>
      <c r="M21" s="32">
        <f>11000+26716+12485+13100</f>
        <v>63301</v>
      </c>
      <c r="N21" s="33">
        <v>27446</v>
      </c>
      <c r="O21" s="176" t="s">
        <v>937</v>
      </c>
      <c r="P21" s="39">
        <f t="shared" si="1"/>
        <v>112084.5</v>
      </c>
      <c r="Q21" s="325">
        <f t="shared" si="0"/>
        <v>-0.5</v>
      </c>
      <c r="R21" s="319">
        <v>0</v>
      </c>
    </row>
    <row r="22" spans="1:18" ht="18" thickBot="1" x14ac:dyDescent="0.35">
      <c r="A22" s="23"/>
      <c r="B22" s="24">
        <v>44854</v>
      </c>
      <c r="C22" s="25">
        <v>13240.5</v>
      </c>
      <c r="D22" s="35" t="s">
        <v>1400</v>
      </c>
      <c r="E22" s="27">
        <v>44854</v>
      </c>
      <c r="F22" s="28">
        <v>125544</v>
      </c>
      <c r="G22" s="572"/>
      <c r="H22" s="29">
        <v>44854</v>
      </c>
      <c r="I22" s="30">
        <v>1065</v>
      </c>
      <c r="J22" s="37"/>
      <c r="K22" s="772"/>
      <c r="L22" s="49"/>
      <c r="M22" s="32">
        <f>4423+1978+70094.5+500</f>
        <v>76995.5</v>
      </c>
      <c r="N22" s="33">
        <f>34743</f>
        <v>34743</v>
      </c>
      <c r="O22" s="176" t="s">
        <v>937</v>
      </c>
      <c r="P22" s="39">
        <f t="shared" si="1"/>
        <v>126044</v>
      </c>
      <c r="Q22" s="325">
        <f t="shared" si="0"/>
        <v>500</v>
      </c>
      <c r="R22" s="319">
        <v>0</v>
      </c>
    </row>
    <row r="23" spans="1:18" ht="18" customHeight="1" thickBot="1" x14ac:dyDescent="0.35">
      <c r="A23" s="23"/>
      <c r="B23" s="24">
        <v>44855</v>
      </c>
      <c r="C23" s="25">
        <v>6653.5</v>
      </c>
      <c r="D23" s="35" t="s">
        <v>334</v>
      </c>
      <c r="E23" s="27">
        <v>44855</v>
      </c>
      <c r="F23" s="28">
        <v>142617</v>
      </c>
      <c r="G23" s="572"/>
      <c r="H23" s="29">
        <v>44855</v>
      </c>
      <c r="I23" s="30">
        <v>3138</v>
      </c>
      <c r="J23" s="50"/>
      <c r="K23" s="172"/>
      <c r="L23" s="45"/>
      <c r="M23" s="32">
        <v>80491.5</v>
      </c>
      <c r="N23" s="33">
        <v>52118</v>
      </c>
      <c r="O23" s="176" t="s">
        <v>937</v>
      </c>
      <c r="P23" s="39">
        <f t="shared" si="1"/>
        <v>142401</v>
      </c>
      <c r="Q23" s="827">
        <f t="shared" si="0"/>
        <v>-216</v>
      </c>
      <c r="R23" s="319">
        <v>0</v>
      </c>
    </row>
    <row r="24" spans="1:18" ht="18" customHeight="1" thickBot="1" x14ac:dyDescent="0.35">
      <c r="A24" s="23"/>
      <c r="B24" s="24">
        <v>44856</v>
      </c>
      <c r="C24" s="25">
        <v>28062</v>
      </c>
      <c r="D24" s="42" t="s">
        <v>1401</v>
      </c>
      <c r="E24" s="27">
        <v>44856</v>
      </c>
      <c r="F24" s="28">
        <v>162964</v>
      </c>
      <c r="G24" s="572"/>
      <c r="H24" s="29">
        <v>44856</v>
      </c>
      <c r="I24" s="30">
        <v>3901</v>
      </c>
      <c r="J24" s="51">
        <v>44856</v>
      </c>
      <c r="K24" s="172" t="s">
        <v>1402</v>
      </c>
      <c r="L24" s="52">
        <v>18363</v>
      </c>
      <c r="M24" s="32">
        <v>61506</v>
      </c>
      <c r="N24" s="33">
        <v>51132</v>
      </c>
      <c r="O24" s="176" t="s">
        <v>937</v>
      </c>
      <c r="P24" s="39">
        <f>N24+M24+L24+I24+C24</f>
        <v>162964</v>
      </c>
      <c r="Q24" s="325">
        <f t="shared" si="0"/>
        <v>0</v>
      </c>
      <c r="R24" s="319">
        <v>0</v>
      </c>
    </row>
    <row r="25" spans="1:18" ht="18" thickBot="1" x14ac:dyDescent="0.35">
      <c r="A25" s="23"/>
      <c r="B25" s="24">
        <v>44857</v>
      </c>
      <c r="C25" s="25">
        <v>15549</v>
      </c>
      <c r="D25" s="35" t="s">
        <v>1404</v>
      </c>
      <c r="E25" s="27">
        <v>44857</v>
      </c>
      <c r="F25" s="28">
        <v>158176</v>
      </c>
      <c r="G25" s="572"/>
      <c r="H25" s="29">
        <v>44857</v>
      </c>
      <c r="I25" s="30">
        <v>210</v>
      </c>
      <c r="J25" s="50"/>
      <c r="K25" s="38"/>
      <c r="L25" s="54"/>
      <c r="M25" s="32">
        <f>98113+12000</f>
        <v>110113</v>
      </c>
      <c r="N25" s="33">
        <v>32304</v>
      </c>
      <c r="O25" s="176" t="s">
        <v>937</v>
      </c>
      <c r="P25" s="283">
        <f t="shared" si="1"/>
        <v>158176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44858</v>
      </c>
      <c r="C26" s="25">
        <v>10271</v>
      </c>
      <c r="D26" s="35" t="s">
        <v>1405</v>
      </c>
      <c r="E26" s="27">
        <v>44858</v>
      </c>
      <c r="F26" s="28">
        <v>164192</v>
      </c>
      <c r="G26" s="572"/>
      <c r="H26" s="29">
        <v>44858</v>
      </c>
      <c r="I26" s="30">
        <v>1084</v>
      </c>
      <c r="J26" s="37"/>
      <c r="K26" s="727"/>
      <c r="L26" s="728"/>
      <c r="M26" s="32">
        <f>42320+18000+17955+16315+7924</f>
        <v>102514</v>
      </c>
      <c r="N26" s="33">
        <f>50323</f>
        <v>50323</v>
      </c>
      <c r="O26" s="176" t="s">
        <v>7</v>
      </c>
      <c r="P26" s="283">
        <f t="shared" si="1"/>
        <v>164192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44859</v>
      </c>
      <c r="C27" s="25">
        <v>34616</v>
      </c>
      <c r="D27" s="42" t="s">
        <v>1411</v>
      </c>
      <c r="E27" s="27">
        <v>44859</v>
      </c>
      <c r="F27" s="28">
        <v>125063</v>
      </c>
      <c r="G27" s="572"/>
      <c r="H27" s="29">
        <v>44859</v>
      </c>
      <c r="I27" s="30">
        <v>3549</v>
      </c>
      <c r="J27" s="55"/>
      <c r="K27" s="174"/>
      <c r="L27" s="54"/>
      <c r="M27" s="32">
        <v>51280</v>
      </c>
      <c r="N27" s="33">
        <v>35618</v>
      </c>
      <c r="P27" s="283">
        <f t="shared" si="1"/>
        <v>125063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44860</v>
      </c>
      <c r="C28" s="25">
        <v>15813</v>
      </c>
      <c r="D28" s="42" t="s">
        <v>1412</v>
      </c>
      <c r="E28" s="27">
        <v>44860</v>
      </c>
      <c r="F28" s="28">
        <v>126017</v>
      </c>
      <c r="G28" s="572"/>
      <c r="H28" s="29">
        <v>44860</v>
      </c>
      <c r="I28" s="30">
        <v>452</v>
      </c>
      <c r="J28" s="837"/>
      <c r="K28" s="57"/>
      <c r="L28" s="54"/>
      <c r="M28" s="32">
        <f>39321+6763</f>
        <v>46084</v>
      </c>
      <c r="N28" s="33">
        <v>63668</v>
      </c>
      <c r="P28" s="283">
        <f t="shared" si="1"/>
        <v>126017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44861</v>
      </c>
      <c r="C29" s="25">
        <v>6397</v>
      </c>
      <c r="D29" s="58" t="s">
        <v>1413</v>
      </c>
      <c r="E29" s="27">
        <v>44861</v>
      </c>
      <c r="F29" s="28">
        <v>166135</v>
      </c>
      <c r="G29" s="572"/>
      <c r="H29" s="29">
        <v>44861</v>
      </c>
      <c r="I29" s="30">
        <v>1832</v>
      </c>
      <c r="J29" s="59"/>
      <c r="K29" s="175"/>
      <c r="L29" s="54"/>
      <c r="M29" s="32">
        <f>103432+5190+10223.4</f>
        <v>118845.4</v>
      </c>
      <c r="N29" s="33">
        <v>39061</v>
      </c>
      <c r="P29" s="283">
        <f t="shared" si="1"/>
        <v>166135.4</v>
      </c>
      <c r="Q29" s="325">
        <f t="shared" si="0"/>
        <v>0.39999999999417923</v>
      </c>
      <c r="R29" s="319">
        <v>0</v>
      </c>
    </row>
    <row r="30" spans="1:18" ht="18" thickBot="1" x14ac:dyDescent="0.35">
      <c r="A30" s="23"/>
      <c r="B30" s="24">
        <v>44862</v>
      </c>
      <c r="C30" s="25">
        <v>10473</v>
      </c>
      <c r="D30" s="58" t="s">
        <v>1414</v>
      </c>
      <c r="E30" s="27">
        <v>44862</v>
      </c>
      <c r="F30" s="28">
        <v>137191</v>
      </c>
      <c r="G30" s="572"/>
      <c r="H30" s="29">
        <v>44862</v>
      </c>
      <c r="I30" s="30">
        <v>3957</v>
      </c>
      <c r="J30" s="56"/>
      <c r="K30" s="38"/>
      <c r="L30" s="39"/>
      <c r="M30" s="32">
        <v>72100</v>
      </c>
      <c r="N30" s="33">
        <v>50664</v>
      </c>
      <c r="P30" s="283">
        <f t="shared" si="1"/>
        <v>137194</v>
      </c>
      <c r="Q30" s="325">
        <f t="shared" si="0"/>
        <v>3</v>
      </c>
      <c r="R30" s="319">
        <v>0</v>
      </c>
    </row>
    <row r="31" spans="1:18" ht="31.5" thickBot="1" x14ac:dyDescent="0.35">
      <c r="A31" s="23"/>
      <c r="B31" s="24">
        <v>44863</v>
      </c>
      <c r="C31" s="25">
        <v>16268</v>
      </c>
      <c r="D31" s="67" t="s">
        <v>1415</v>
      </c>
      <c r="E31" s="27">
        <v>44863</v>
      </c>
      <c r="F31" s="28">
        <v>194467</v>
      </c>
      <c r="G31" s="572"/>
      <c r="H31" s="29">
        <v>44863</v>
      </c>
      <c r="I31" s="30">
        <v>2492</v>
      </c>
      <c r="J31" s="56">
        <v>44863</v>
      </c>
      <c r="K31" s="820" t="s">
        <v>1416</v>
      </c>
      <c r="L31" s="54">
        <v>21822</v>
      </c>
      <c r="M31" s="32">
        <v>110525</v>
      </c>
      <c r="N31" s="33">
        <v>43360</v>
      </c>
      <c r="P31" s="34">
        <f t="shared" si="1"/>
        <v>194467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44864</v>
      </c>
      <c r="C32" s="25">
        <v>0</v>
      </c>
      <c r="D32" s="64"/>
      <c r="E32" s="27">
        <v>44864</v>
      </c>
      <c r="F32" s="28">
        <v>145645</v>
      </c>
      <c r="G32" s="572"/>
      <c r="H32" s="29">
        <v>44864</v>
      </c>
      <c r="I32" s="30">
        <v>224</v>
      </c>
      <c r="J32" s="56"/>
      <c r="K32" s="38"/>
      <c r="L32" s="39"/>
      <c r="M32" s="32">
        <v>95861</v>
      </c>
      <c r="N32" s="33">
        <v>49560</v>
      </c>
      <c r="P32" s="34">
        <f t="shared" si="1"/>
        <v>145645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/>
      <c r="C33" s="25"/>
      <c r="D33" s="64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6">
        <v>44842</v>
      </c>
      <c r="K34" s="738" t="s">
        <v>1395</v>
      </c>
      <c r="L34" s="39">
        <v>19093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/>
      <c r="C35" s="690"/>
      <c r="D35" s="67"/>
      <c r="E35" s="27"/>
      <c r="F35" s="28"/>
      <c r="G35" s="572"/>
      <c r="H35" s="29"/>
      <c r="I35" s="30"/>
      <c r="J35" s="698">
        <v>44849</v>
      </c>
      <c r="K35" s="739" t="s">
        <v>1403</v>
      </c>
      <c r="L35" s="702">
        <v>21415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/>
      <c r="C36" s="693"/>
      <c r="D36" s="785"/>
      <c r="E36" s="27"/>
      <c r="F36" s="28"/>
      <c r="G36" s="662"/>
      <c r="H36" s="29"/>
      <c r="I36" s="30"/>
      <c r="J36" s="56">
        <v>44856</v>
      </c>
      <c r="K36" s="738" t="s">
        <v>1402</v>
      </c>
      <c r="L36" s="39">
        <v>20413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/>
      <c r="C37" s="692"/>
      <c r="D37" s="741"/>
      <c r="E37" s="27"/>
      <c r="F37" s="28"/>
      <c r="G37" s="662"/>
      <c r="H37" s="29"/>
      <c r="I37" s="30"/>
      <c r="J37" s="56">
        <v>44863</v>
      </c>
      <c r="K37" s="738" t="s">
        <v>1417</v>
      </c>
      <c r="L37" s="39">
        <f>20914.58+1808.25</f>
        <v>22722.83</v>
      </c>
      <c r="M37" s="32">
        <v>0</v>
      </c>
      <c r="N37" s="33">
        <v>0</v>
      </c>
      <c r="P37" s="34">
        <v>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/>
      <c r="C38" s="692"/>
      <c r="D38" s="741"/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/>
      <c r="C39" s="692"/>
      <c r="D39" s="695"/>
      <c r="E39" s="27"/>
      <c r="F39" s="508"/>
      <c r="G39" s="662"/>
      <c r="H39" s="29"/>
      <c r="I39" s="71"/>
      <c r="J39" s="56"/>
      <c r="K39" s="663"/>
      <c r="L39" s="39"/>
      <c r="M39" s="32">
        <v>0</v>
      </c>
      <c r="N39" s="33">
        <v>0</v>
      </c>
      <c r="P39" s="34">
        <v>0</v>
      </c>
      <c r="Q39" s="325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/>
      <c r="C41" s="692"/>
      <c r="D41" s="697"/>
      <c r="E41" s="74"/>
      <c r="F41" s="75"/>
      <c r="G41" s="572"/>
      <c r="H41" s="76"/>
      <c r="I41" s="77"/>
      <c r="J41" s="56"/>
      <c r="K41" s="750"/>
      <c r="L41" s="39"/>
      <c r="M41" s="925">
        <f>SUM(M5:M40)</f>
        <v>2247959.2000000002</v>
      </c>
      <c r="N41" s="925">
        <f>SUM(N5:N40)</f>
        <v>1207891</v>
      </c>
      <c r="P41" s="505">
        <f>SUM(P5:P40)</f>
        <v>4224165.1999999993</v>
      </c>
      <c r="Q41" s="1046">
        <f>SUM(Q5:Q40)</f>
        <v>293.20000000001164</v>
      </c>
      <c r="R41" s="319"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/>
      <c r="K42" s="751"/>
      <c r="L42" s="702"/>
      <c r="M42" s="926"/>
      <c r="N42" s="926"/>
      <c r="P42" s="34"/>
      <c r="Q42" s="1047"/>
      <c r="R42" s="787">
        <f>SUM(R5:R41)</f>
        <v>66701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/>
      <c r="K43" s="750"/>
      <c r="L43" s="39"/>
      <c r="M43" s="819"/>
      <c r="N43" s="819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/>
      <c r="K44" s="38"/>
      <c r="L44" s="39"/>
      <c r="M44" s="819"/>
      <c r="N44" s="819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/>
      <c r="K45" s="38"/>
      <c r="L45" s="39"/>
      <c r="M45" s="981">
        <f>M41+N41</f>
        <v>3455850.2</v>
      </c>
      <c r="N45" s="982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/>
      <c r="K46" s="38"/>
      <c r="L46" s="39"/>
      <c r="M46" s="819"/>
      <c r="N46" s="819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622"/>
      <c r="K47" s="803"/>
      <c r="L47" s="624"/>
      <c r="M47" s="819"/>
      <c r="N47" s="819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466"/>
      <c r="K48" s="804"/>
      <c r="L48" s="54"/>
      <c r="M48" s="819"/>
      <c r="N48" s="819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802"/>
      <c r="L49" s="69"/>
      <c r="M49" s="819"/>
      <c r="N49" s="819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802"/>
      <c r="L50" s="69"/>
      <c r="M50" s="819"/>
      <c r="N50" s="819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802"/>
      <c r="L51" s="69"/>
      <c r="M51" s="819"/>
      <c r="N51" s="819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802"/>
      <c r="L52" s="69"/>
      <c r="M52" s="819"/>
      <c r="N52" s="819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802"/>
      <c r="L53" s="69"/>
      <c r="M53" s="819"/>
      <c r="N53" s="819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801"/>
      <c r="L54" s="69"/>
      <c r="M54" s="819"/>
      <c r="N54" s="819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802"/>
      <c r="L55" s="69"/>
      <c r="M55" s="819"/>
      <c r="N55" s="819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801"/>
      <c r="L56" s="69"/>
      <c r="M56" s="819"/>
      <c r="N56" s="819"/>
      <c r="P56" s="34"/>
      <c r="Q56" s="13"/>
    </row>
    <row r="57" spans="1:17" ht="18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802"/>
      <c r="L57" s="69"/>
      <c r="M57" s="819"/>
      <c r="N57" s="819"/>
      <c r="P57" s="34"/>
      <c r="Q57" s="13"/>
    </row>
    <row r="58" spans="1:17" ht="18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01"/>
      <c r="K58" s="802"/>
      <c r="L58" s="69"/>
      <c r="M58" s="819"/>
      <c r="N58" s="819"/>
      <c r="P58" s="34"/>
      <c r="Q58" s="13"/>
    </row>
    <row r="59" spans="1:17" ht="18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601"/>
      <c r="K59" s="671"/>
      <c r="L59" s="69"/>
      <c r="M59" s="819"/>
      <c r="N59" s="819"/>
      <c r="P59" s="34"/>
      <c r="Q59" s="13"/>
    </row>
    <row r="60" spans="1:17" ht="16.5" thickBot="1" x14ac:dyDescent="0.3">
      <c r="A60" s="23"/>
      <c r="B60" s="24"/>
      <c r="C60" s="25"/>
      <c r="D60" s="821"/>
      <c r="E60" s="74"/>
      <c r="F60" s="72"/>
      <c r="G60" s="572"/>
      <c r="H60" s="822"/>
      <c r="I60" s="77"/>
      <c r="J60" s="800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823"/>
      <c r="C61" s="596"/>
      <c r="D61" s="821"/>
      <c r="E61" s="824"/>
      <c r="F61" s="34"/>
      <c r="G61" s="572"/>
      <c r="H61" s="76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486080</v>
      </c>
      <c r="D67" s="88"/>
      <c r="E67" s="91" t="s">
        <v>8</v>
      </c>
      <c r="F67" s="90">
        <f>SUM(F5:F60)</f>
        <v>4120859</v>
      </c>
      <c r="G67" s="573"/>
      <c r="H67" s="91" t="s">
        <v>9</v>
      </c>
      <c r="I67" s="92">
        <f>SUM(I5:I60)</f>
        <v>70078</v>
      </c>
      <c r="J67" s="93"/>
      <c r="K67" s="94" t="s">
        <v>10</v>
      </c>
      <c r="L67" s="95">
        <f>SUM(L5:L65)-L26</f>
        <v>295800.83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80" t="s">
        <v>11</v>
      </c>
      <c r="I69" s="881"/>
      <c r="J69" s="559"/>
      <c r="K69" s="1013">
        <f>I67+L67</f>
        <v>365878.83</v>
      </c>
      <c r="L69" s="1014"/>
      <c r="M69" s="272"/>
      <c r="N69" s="272"/>
      <c r="P69" s="34"/>
      <c r="Q69" s="13"/>
    </row>
    <row r="70" spans="1:17" x14ac:dyDescent="0.25">
      <c r="D70" s="886" t="s">
        <v>12</v>
      </c>
      <c r="E70" s="886"/>
      <c r="F70" s="312">
        <f>F67-K69-C67</f>
        <v>3268900.17</v>
      </c>
      <c r="I70" s="102"/>
      <c r="J70" s="560"/>
    </row>
    <row r="71" spans="1:17" ht="18.75" x14ac:dyDescent="0.3">
      <c r="D71" s="916" t="s">
        <v>95</v>
      </c>
      <c r="E71" s="916"/>
      <c r="F71" s="111">
        <v>-2010648.49</v>
      </c>
      <c r="I71" s="887" t="s">
        <v>13</v>
      </c>
      <c r="J71" s="888"/>
      <c r="K71" s="889">
        <f>F73+F74+F75</f>
        <v>4258046.13</v>
      </c>
      <c r="L71" s="889"/>
      <c r="M71" s="404"/>
      <c r="N71" s="404"/>
      <c r="O71" s="825"/>
      <c r="P71" s="404"/>
      <c r="Q71" s="404"/>
    </row>
    <row r="72" spans="1:17" ht="19.5" thickBot="1" x14ac:dyDescent="0.35">
      <c r="D72" s="313" t="s">
        <v>94</v>
      </c>
      <c r="E72" s="314"/>
      <c r="F72" s="315">
        <v>-176791.2</v>
      </c>
      <c r="I72" s="105"/>
      <c r="J72" s="106"/>
      <c r="K72" s="571"/>
      <c r="L72" s="154"/>
      <c r="M72" s="404"/>
      <c r="N72" s="404"/>
      <c r="O72" s="825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1081460.48</v>
      </c>
      <c r="H73" s="555"/>
      <c r="I73" s="108" t="s">
        <v>15</v>
      </c>
      <c r="J73" s="109"/>
      <c r="K73" s="1015">
        <f>-C4</f>
        <v>-3773503.4</v>
      </c>
      <c r="L73" s="889"/>
    </row>
    <row r="74" spans="1:17" ht="16.5" thickBot="1" x14ac:dyDescent="0.3">
      <c r="D74" s="110" t="s">
        <v>16</v>
      </c>
      <c r="E74" s="98" t="s">
        <v>17</v>
      </c>
      <c r="F74" s="111">
        <v>0</v>
      </c>
    </row>
    <row r="75" spans="1:17" ht="20.25" thickTop="1" thickBot="1" x14ac:dyDescent="0.35">
      <c r="C75" s="112">
        <v>44864</v>
      </c>
      <c r="D75" s="869" t="s">
        <v>18</v>
      </c>
      <c r="E75" s="870"/>
      <c r="F75" s="113">
        <v>3176585.65</v>
      </c>
      <c r="I75" s="1043" t="s">
        <v>198</v>
      </c>
      <c r="J75" s="1044"/>
      <c r="K75" s="1045">
        <f>K71+K73</f>
        <v>484542.73</v>
      </c>
      <c r="L75" s="1045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5" right="0.25" top="0.35" bottom="0.35" header="0.3" footer="0.3"/>
  <pageSetup paperSize="5" orientation="landscape" horizontalDpi="0" verticalDpi="0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66"/>
  </sheetPr>
  <dimension ref="B1:N123"/>
  <sheetViews>
    <sheetView topLeftCell="E7" workbookViewId="0">
      <selection activeCell="O46" sqref="O46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54" t="s">
        <v>19</v>
      </c>
      <c r="C2" s="855" t="s">
        <v>20</v>
      </c>
      <c r="D2" s="856" t="s">
        <v>21</v>
      </c>
      <c r="E2" s="857" t="s">
        <v>22</v>
      </c>
      <c r="F2" s="858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thickTop="1" x14ac:dyDescent="0.25">
      <c r="B3" s="852">
        <v>44837</v>
      </c>
      <c r="C3" s="853" t="s">
        <v>1418</v>
      </c>
      <c r="D3" s="307">
        <v>88125.66</v>
      </c>
      <c r="E3" s="731"/>
      <c r="F3" s="307"/>
      <c r="G3" s="410">
        <f>D3-F3</f>
        <v>88125.66</v>
      </c>
      <c r="I3" s="866" t="s">
        <v>1456</v>
      </c>
      <c r="J3" s="747">
        <v>10499</v>
      </c>
      <c r="K3" s="748">
        <v>2150</v>
      </c>
      <c r="L3" s="861">
        <v>44853</v>
      </c>
      <c r="M3" s="868">
        <v>2150</v>
      </c>
      <c r="N3" s="183">
        <f>K3-M3</f>
        <v>0</v>
      </c>
    </row>
    <row r="4" spans="2:14" ht="18.75" x14ac:dyDescent="0.3">
      <c r="B4" s="454">
        <v>44838</v>
      </c>
      <c r="C4" s="246" t="s">
        <v>1419</v>
      </c>
      <c r="D4" s="111">
        <v>56205.15</v>
      </c>
      <c r="E4" s="412"/>
      <c r="F4" s="111"/>
      <c r="G4" s="544">
        <f t="shared" ref="G4:G65" si="0">D4-F4</f>
        <v>56205.15</v>
      </c>
      <c r="H4" s="138"/>
      <c r="I4" s="866" t="s">
        <v>1457</v>
      </c>
      <c r="J4" s="747">
        <v>10507</v>
      </c>
      <c r="K4" s="748">
        <v>4000</v>
      </c>
      <c r="L4" s="861">
        <v>44853</v>
      </c>
      <c r="M4" s="868">
        <v>4000</v>
      </c>
      <c r="N4" s="137">
        <f>N3+K4-M4</f>
        <v>0</v>
      </c>
    </row>
    <row r="5" spans="2:14" ht="15.75" x14ac:dyDescent="0.25">
      <c r="B5" s="454">
        <v>44839</v>
      </c>
      <c r="C5" s="246" t="s">
        <v>1420</v>
      </c>
      <c r="D5" s="111">
        <v>65950</v>
      </c>
      <c r="E5" s="412"/>
      <c r="F5" s="111"/>
      <c r="G5" s="544">
        <f t="shared" si="0"/>
        <v>65950</v>
      </c>
      <c r="I5" s="866" t="s">
        <v>1457</v>
      </c>
      <c r="J5" s="747">
        <v>10508</v>
      </c>
      <c r="K5" s="748">
        <v>330</v>
      </c>
      <c r="L5" s="861">
        <v>44853</v>
      </c>
      <c r="M5" s="868">
        <v>330</v>
      </c>
      <c r="N5" s="137">
        <f t="shared" ref="N5:N65" si="1">N4+K5-M5</f>
        <v>0</v>
      </c>
    </row>
    <row r="6" spans="2:14" ht="15.75" x14ac:dyDescent="0.25">
      <c r="B6" s="454">
        <v>44839</v>
      </c>
      <c r="C6" s="246" t="s">
        <v>1421</v>
      </c>
      <c r="D6" s="111">
        <v>11783.6</v>
      </c>
      <c r="E6" s="412"/>
      <c r="F6" s="111"/>
      <c r="G6" s="544">
        <f t="shared" si="0"/>
        <v>11783.6</v>
      </c>
      <c r="I6" s="867" t="s">
        <v>1458</v>
      </c>
      <c r="J6" s="744">
        <v>10516</v>
      </c>
      <c r="K6" s="745">
        <v>330</v>
      </c>
      <c r="L6" s="861">
        <v>44853</v>
      </c>
      <c r="M6" s="868">
        <v>330</v>
      </c>
      <c r="N6" s="137">
        <f t="shared" si="1"/>
        <v>0</v>
      </c>
    </row>
    <row r="7" spans="2:14" ht="15.75" x14ac:dyDescent="0.25">
      <c r="B7" s="454">
        <v>44840</v>
      </c>
      <c r="C7" s="246" t="s">
        <v>1422</v>
      </c>
      <c r="D7" s="111">
        <v>43663.74</v>
      </c>
      <c r="E7" s="412"/>
      <c r="F7" s="111"/>
      <c r="G7" s="544">
        <f t="shared" si="0"/>
        <v>43663.74</v>
      </c>
      <c r="I7" s="867" t="s">
        <v>1459</v>
      </c>
      <c r="J7" s="744">
        <v>10522</v>
      </c>
      <c r="K7" s="745">
        <v>3646.4</v>
      </c>
      <c r="L7" s="861">
        <v>44853</v>
      </c>
      <c r="M7" s="868">
        <v>3646.4</v>
      </c>
      <c r="N7" s="137">
        <f t="shared" si="1"/>
        <v>0</v>
      </c>
    </row>
    <row r="8" spans="2:14" ht="15.75" x14ac:dyDescent="0.25">
      <c r="B8" s="454">
        <v>44841</v>
      </c>
      <c r="C8" s="246" t="s">
        <v>1423</v>
      </c>
      <c r="D8" s="111">
        <v>134361.29999999999</v>
      </c>
      <c r="E8" s="412"/>
      <c r="F8" s="111"/>
      <c r="G8" s="544">
        <f t="shared" si="0"/>
        <v>134361.29999999999</v>
      </c>
      <c r="I8" s="866" t="s">
        <v>1460</v>
      </c>
      <c r="J8" s="747">
        <v>10535</v>
      </c>
      <c r="K8" s="748">
        <v>330</v>
      </c>
      <c r="L8" s="861">
        <v>44853</v>
      </c>
      <c r="M8" s="868">
        <v>330</v>
      </c>
      <c r="N8" s="137">
        <f t="shared" si="1"/>
        <v>0</v>
      </c>
    </row>
    <row r="9" spans="2:14" ht="15.75" x14ac:dyDescent="0.25">
      <c r="B9" s="454">
        <v>44842</v>
      </c>
      <c r="C9" s="246" t="s">
        <v>1424</v>
      </c>
      <c r="D9" s="111">
        <v>119152.93</v>
      </c>
      <c r="E9" s="412"/>
      <c r="F9" s="111"/>
      <c r="G9" s="544">
        <f t="shared" si="0"/>
        <v>119152.93</v>
      </c>
      <c r="I9" s="867" t="s">
        <v>1461</v>
      </c>
      <c r="J9" s="744">
        <v>10544</v>
      </c>
      <c r="K9" s="745">
        <v>11444.8</v>
      </c>
      <c r="L9" s="861">
        <v>44853</v>
      </c>
      <c r="M9" s="868">
        <v>11444.8</v>
      </c>
      <c r="N9" s="137">
        <f t="shared" si="1"/>
        <v>0</v>
      </c>
    </row>
    <row r="10" spans="2:14" ht="18.75" x14ac:dyDescent="0.3">
      <c r="B10" s="454">
        <v>44844</v>
      </c>
      <c r="C10" s="246" t="s">
        <v>1425</v>
      </c>
      <c r="D10" s="111">
        <v>56609.8</v>
      </c>
      <c r="E10" s="412"/>
      <c r="F10" s="111"/>
      <c r="G10" s="544">
        <f t="shared" si="0"/>
        <v>56609.8</v>
      </c>
      <c r="H10" s="138"/>
      <c r="I10" s="867" t="s">
        <v>1461</v>
      </c>
      <c r="J10" s="744">
        <v>10546</v>
      </c>
      <c r="K10" s="745">
        <v>550</v>
      </c>
      <c r="L10" s="861">
        <v>44853</v>
      </c>
      <c r="M10" s="868">
        <v>550</v>
      </c>
      <c r="N10" s="137">
        <f t="shared" si="1"/>
        <v>0</v>
      </c>
    </row>
    <row r="11" spans="2:14" ht="15.75" x14ac:dyDescent="0.25">
      <c r="B11" s="454">
        <v>44844</v>
      </c>
      <c r="C11" s="246" t="s">
        <v>1426</v>
      </c>
      <c r="D11" s="111">
        <v>11900.34</v>
      </c>
      <c r="E11" s="412"/>
      <c r="F11" s="111"/>
      <c r="G11" s="544">
        <f t="shared" si="0"/>
        <v>11900.34</v>
      </c>
      <c r="I11" s="866" t="s">
        <v>1462</v>
      </c>
      <c r="J11" s="747">
        <v>10556</v>
      </c>
      <c r="K11" s="748">
        <v>3917.2</v>
      </c>
      <c r="L11" s="861">
        <v>44853</v>
      </c>
      <c r="M11" s="868">
        <v>3917.2</v>
      </c>
      <c r="N11" s="137">
        <f t="shared" si="1"/>
        <v>0</v>
      </c>
    </row>
    <row r="12" spans="2:14" ht="15.75" x14ac:dyDescent="0.25">
      <c r="B12" s="454">
        <v>44844</v>
      </c>
      <c r="C12" s="246" t="s">
        <v>1427</v>
      </c>
      <c r="D12" s="111">
        <v>4077.4</v>
      </c>
      <c r="E12" s="412"/>
      <c r="F12" s="111"/>
      <c r="G12" s="544">
        <f t="shared" si="0"/>
        <v>4077.4</v>
      </c>
      <c r="I12" s="866" t="s">
        <v>1462</v>
      </c>
      <c r="J12" s="747">
        <v>10561</v>
      </c>
      <c r="K12" s="748">
        <v>738</v>
      </c>
      <c r="L12" s="861">
        <v>44853</v>
      </c>
      <c r="M12" s="868">
        <v>738</v>
      </c>
      <c r="N12" s="137">
        <f t="shared" si="1"/>
        <v>0</v>
      </c>
    </row>
    <row r="13" spans="2:14" ht="15.75" x14ac:dyDescent="0.25">
      <c r="B13" s="454">
        <v>44844</v>
      </c>
      <c r="C13" s="246" t="s">
        <v>1428</v>
      </c>
      <c r="D13" s="111">
        <v>34319.599999999999</v>
      </c>
      <c r="E13" s="412"/>
      <c r="F13" s="111"/>
      <c r="G13" s="544">
        <f t="shared" si="0"/>
        <v>34319.599999999999</v>
      </c>
      <c r="I13" s="867" t="s">
        <v>1463</v>
      </c>
      <c r="J13" s="744">
        <v>10566</v>
      </c>
      <c r="K13" s="745">
        <v>330</v>
      </c>
      <c r="L13" s="861">
        <v>44853</v>
      </c>
      <c r="M13" s="868">
        <v>330</v>
      </c>
      <c r="N13" s="137">
        <f t="shared" si="1"/>
        <v>0</v>
      </c>
    </row>
    <row r="14" spans="2:14" ht="15.75" x14ac:dyDescent="0.25">
      <c r="B14" s="454">
        <v>44845</v>
      </c>
      <c r="C14" s="246" t="s">
        <v>1429</v>
      </c>
      <c r="D14" s="111">
        <v>75381.73</v>
      </c>
      <c r="E14" s="412"/>
      <c r="F14" s="111"/>
      <c r="G14" s="544">
        <f t="shared" si="0"/>
        <v>75381.73</v>
      </c>
      <c r="I14" s="866" t="s">
        <v>1464</v>
      </c>
      <c r="J14" s="747">
        <v>10575</v>
      </c>
      <c r="K14" s="748">
        <v>330</v>
      </c>
      <c r="L14" s="861">
        <v>44853</v>
      </c>
      <c r="M14" s="868">
        <v>330</v>
      </c>
      <c r="N14" s="137">
        <f t="shared" si="1"/>
        <v>0</v>
      </c>
    </row>
    <row r="15" spans="2:14" ht="15.75" x14ac:dyDescent="0.25">
      <c r="B15" s="454">
        <v>44846</v>
      </c>
      <c r="C15" s="246" t="s">
        <v>1430</v>
      </c>
      <c r="D15" s="111">
        <v>16980.2</v>
      </c>
      <c r="E15" s="412"/>
      <c r="F15" s="111"/>
      <c r="G15" s="544">
        <f t="shared" si="0"/>
        <v>16980.2</v>
      </c>
      <c r="I15" s="867" t="s">
        <v>1465</v>
      </c>
      <c r="J15" s="744">
        <v>10583</v>
      </c>
      <c r="K15" s="745">
        <v>24229.599999999999</v>
      </c>
      <c r="L15" s="861">
        <v>44853</v>
      </c>
      <c r="M15" s="868">
        <v>24229.599999999999</v>
      </c>
      <c r="N15" s="137">
        <f t="shared" si="1"/>
        <v>0</v>
      </c>
    </row>
    <row r="16" spans="2:14" ht="15.75" x14ac:dyDescent="0.25">
      <c r="B16" s="454">
        <v>44846</v>
      </c>
      <c r="C16" s="246" t="s">
        <v>1431</v>
      </c>
      <c r="D16" s="111">
        <v>105790.02</v>
      </c>
      <c r="E16" s="412"/>
      <c r="F16" s="111"/>
      <c r="G16" s="544">
        <f t="shared" si="0"/>
        <v>105790.02</v>
      </c>
      <c r="I16" s="867" t="s">
        <v>1466</v>
      </c>
      <c r="J16" s="744">
        <v>10598</v>
      </c>
      <c r="K16" s="745">
        <v>585</v>
      </c>
      <c r="L16" s="861">
        <v>44853</v>
      </c>
      <c r="M16" s="868">
        <v>585</v>
      </c>
      <c r="N16" s="137">
        <f t="shared" si="1"/>
        <v>0</v>
      </c>
    </row>
    <row r="17" spans="2:14" ht="15.75" x14ac:dyDescent="0.25">
      <c r="B17" s="454">
        <v>44847</v>
      </c>
      <c r="C17" s="246" t="s">
        <v>1432</v>
      </c>
      <c r="D17" s="111">
        <v>24981.4</v>
      </c>
      <c r="E17" s="412"/>
      <c r="F17" s="111"/>
      <c r="G17" s="544">
        <f t="shared" si="0"/>
        <v>24981.4</v>
      </c>
      <c r="I17" s="866" t="s">
        <v>1467</v>
      </c>
      <c r="J17" s="747">
        <v>10609</v>
      </c>
      <c r="K17" s="748">
        <v>550</v>
      </c>
      <c r="L17" s="861">
        <v>44853</v>
      </c>
      <c r="M17" s="868">
        <v>550</v>
      </c>
      <c r="N17" s="137">
        <f t="shared" si="1"/>
        <v>0</v>
      </c>
    </row>
    <row r="18" spans="2:14" ht="15.75" x14ac:dyDescent="0.25">
      <c r="B18" s="454">
        <v>44848</v>
      </c>
      <c r="C18" s="246" t="s">
        <v>1433</v>
      </c>
      <c r="D18" s="111">
        <v>86391.58</v>
      </c>
      <c r="E18" s="412"/>
      <c r="F18" s="111"/>
      <c r="G18" s="544">
        <f t="shared" si="0"/>
        <v>86391.58</v>
      </c>
      <c r="I18" s="866" t="s">
        <v>1468</v>
      </c>
      <c r="J18" s="747">
        <v>10622</v>
      </c>
      <c r="K18" s="748">
        <v>26499</v>
      </c>
      <c r="L18" s="861">
        <v>44853</v>
      </c>
      <c r="M18" s="868">
        <v>26499</v>
      </c>
      <c r="N18" s="137">
        <f t="shared" si="1"/>
        <v>0</v>
      </c>
    </row>
    <row r="19" spans="2:14" ht="15.75" x14ac:dyDescent="0.25">
      <c r="B19" s="454">
        <v>44849</v>
      </c>
      <c r="C19" s="246" t="s">
        <v>1434</v>
      </c>
      <c r="D19" s="111">
        <v>94144.84</v>
      </c>
      <c r="E19" s="412"/>
      <c r="F19" s="111"/>
      <c r="G19" s="544">
        <f t="shared" si="0"/>
        <v>94144.84</v>
      </c>
      <c r="I19" s="867" t="s">
        <v>1469</v>
      </c>
      <c r="J19" s="744">
        <v>10624</v>
      </c>
      <c r="K19" s="745">
        <v>440</v>
      </c>
      <c r="L19" s="861">
        <v>44853</v>
      </c>
      <c r="M19" s="868">
        <v>440</v>
      </c>
      <c r="N19" s="137">
        <f t="shared" si="1"/>
        <v>0</v>
      </c>
    </row>
    <row r="20" spans="2:14" ht="17.25" x14ac:dyDescent="0.3">
      <c r="B20" s="454">
        <v>44852</v>
      </c>
      <c r="C20" s="246" t="s">
        <v>1435</v>
      </c>
      <c r="D20" s="111">
        <v>70298.16</v>
      </c>
      <c r="E20" s="412"/>
      <c r="F20" s="111"/>
      <c r="G20" s="544">
        <f t="shared" si="0"/>
        <v>70298.16</v>
      </c>
      <c r="I20" s="867" t="s">
        <v>1470</v>
      </c>
      <c r="J20" s="744">
        <v>10632</v>
      </c>
      <c r="K20" s="745">
        <v>550</v>
      </c>
      <c r="L20" s="731"/>
      <c r="M20" s="706"/>
      <c r="N20" s="137">
        <f t="shared" si="1"/>
        <v>550</v>
      </c>
    </row>
    <row r="21" spans="2:14" ht="17.25" x14ac:dyDescent="0.3">
      <c r="B21" s="454">
        <v>44853</v>
      </c>
      <c r="C21" s="246" t="s">
        <v>1436</v>
      </c>
      <c r="D21" s="111">
        <v>146110.1</v>
      </c>
      <c r="E21" s="412"/>
      <c r="F21" s="111"/>
      <c r="G21" s="544">
        <f t="shared" si="0"/>
        <v>146110.1</v>
      </c>
      <c r="I21" s="867" t="s">
        <v>1471</v>
      </c>
      <c r="J21" s="744">
        <v>10646</v>
      </c>
      <c r="K21" s="745">
        <v>10860</v>
      </c>
      <c r="L21" s="731"/>
      <c r="M21" s="706"/>
      <c r="N21" s="137">
        <f t="shared" si="1"/>
        <v>11410</v>
      </c>
    </row>
    <row r="22" spans="2:14" ht="18.75" x14ac:dyDescent="0.3">
      <c r="B22" s="454">
        <v>44853</v>
      </c>
      <c r="C22" s="246" t="s">
        <v>1437</v>
      </c>
      <c r="D22" s="111">
        <v>57043.199999999997</v>
      </c>
      <c r="E22" s="412"/>
      <c r="F22" s="111"/>
      <c r="G22" s="544">
        <f t="shared" si="0"/>
        <v>57043.199999999997</v>
      </c>
      <c r="H22" s="644"/>
      <c r="I22" s="867" t="s">
        <v>1472</v>
      </c>
      <c r="J22" s="744">
        <v>10664</v>
      </c>
      <c r="K22" s="745">
        <v>7291</v>
      </c>
      <c r="L22" s="731"/>
      <c r="M22" s="706"/>
      <c r="N22" s="137">
        <f t="shared" si="1"/>
        <v>18701</v>
      </c>
    </row>
    <row r="23" spans="2:14" ht="15.75" x14ac:dyDescent="0.25">
      <c r="B23" s="454">
        <v>44853</v>
      </c>
      <c r="C23" s="246" t="s">
        <v>1438</v>
      </c>
      <c r="D23" s="111">
        <v>20156.400000000001</v>
      </c>
      <c r="E23" s="412"/>
      <c r="F23" s="111"/>
      <c r="G23" s="544">
        <f t="shared" si="0"/>
        <v>20156.400000000001</v>
      </c>
      <c r="H23" s="2"/>
      <c r="I23" s="867" t="s">
        <v>1473</v>
      </c>
      <c r="J23" s="744">
        <v>10665</v>
      </c>
      <c r="K23" s="745">
        <v>2880</v>
      </c>
      <c r="L23" s="412"/>
      <c r="M23" s="111"/>
      <c r="N23" s="137">
        <f t="shared" si="1"/>
        <v>21581</v>
      </c>
    </row>
    <row r="24" spans="2:14" ht="21" customHeight="1" x14ac:dyDescent="0.25">
      <c r="B24" s="454">
        <v>44854</v>
      </c>
      <c r="C24" s="246" t="s">
        <v>1439</v>
      </c>
      <c r="D24" s="111">
        <v>27112.25</v>
      </c>
      <c r="E24" s="412"/>
      <c r="F24" s="111"/>
      <c r="G24" s="544">
        <f t="shared" si="0"/>
        <v>27112.25</v>
      </c>
      <c r="H24" s="2"/>
      <c r="I24" s="866" t="s">
        <v>1473</v>
      </c>
      <c r="J24" s="747">
        <v>10666</v>
      </c>
      <c r="K24" s="748">
        <v>440</v>
      </c>
      <c r="L24" s="412"/>
      <c r="M24" s="111"/>
      <c r="N24" s="137">
        <f t="shared" si="1"/>
        <v>22021</v>
      </c>
    </row>
    <row r="25" spans="2:14" ht="15.75" x14ac:dyDescent="0.25">
      <c r="B25" s="454">
        <v>44855</v>
      </c>
      <c r="C25" s="246" t="s">
        <v>1440</v>
      </c>
      <c r="D25" s="111">
        <v>89839.6</v>
      </c>
      <c r="E25" s="412"/>
      <c r="F25" s="111"/>
      <c r="G25" s="544">
        <f t="shared" si="0"/>
        <v>89839.6</v>
      </c>
      <c r="H25" s="645"/>
      <c r="I25" s="866" t="s">
        <v>1474</v>
      </c>
      <c r="J25" s="747">
        <v>10673</v>
      </c>
      <c r="K25" s="748">
        <v>1334.6</v>
      </c>
      <c r="L25" s="412"/>
      <c r="M25" s="111"/>
      <c r="N25" s="137">
        <f t="shared" si="1"/>
        <v>23355.599999999999</v>
      </c>
    </row>
    <row r="26" spans="2:14" ht="15.75" x14ac:dyDescent="0.25">
      <c r="B26" s="454">
        <v>44856</v>
      </c>
      <c r="C26" s="246" t="s">
        <v>1441</v>
      </c>
      <c r="D26" s="111">
        <v>63880.7</v>
      </c>
      <c r="E26" s="412"/>
      <c r="F26" s="111"/>
      <c r="G26" s="544">
        <f t="shared" si="0"/>
        <v>63880.7</v>
      </c>
      <c r="H26" s="645"/>
      <c r="I26" s="866" t="s">
        <v>1475</v>
      </c>
      <c r="J26" s="747">
        <v>10681</v>
      </c>
      <c r="K26" s="748">
        <v>330</v>
      </c>
      <c r="L26" s="412"/>
      <c r="M26" s="111"/>
      <c r="N26" s="137">
        <f t="shared" si="1"/>
        <v>23685.599999999999</v>
      </c>
    </row>
    <row r="27" spans="2:14" ht="15.75" x14ac:dyDescent="0.25">
      <c r="B27" s="454">
        <v>44856</v>
      </c>
      <c r="C27" s="246" t="s">
        <v>1442</v>
      </c>
      <c r="D27" s="111">
        <v>33646.400000000001</v>
      </c>
      <c r="E27" s="412"/>
      <c r="F27" s="111"/>
      <c r="G27" s="544">
        <f t="shared" si="0"/>
        <v>33646.400000000001</v>
      </c>
      <c r="H27" s="645"/>
      <c r="I27" s="866" t="s">
        <v>1476</v>
      </c>
      <c r="J27" s="747">
        <v>10689</v>
      </c>
      <c r="K27" s="748">
        <v>18840</v>
      </c>
      <c r="L27" s="412"/>
      <c r="M27" s="111"/>
      <c r="N27" s="137">
        <f t="shared" si="1"/>
        <v>42525.599999999999</v>
      </c>
    </row>
    <row r="28" spans="2:14" ht="15.75" x14ac:dyDescent="0.25">
      <c r="B28" s="454">
        <v>44859</v>
      </c>
      <c r="C28" s="246" t="s">
        <v>1443</v>
      </c>
      <c r="D28" s="111">
        <v>103246.58</v>
      </c>
      <c r="E28" s="412"/>
      <c r="F28" s="111"/>
      <c r="G28" s="544">
        <f t="shared" si="0"/>
        <v>103246.58</v>
      </c>
      <c r="H28" s="645"/>
      <c r="I28" s="867" t="s">
        <v>1476</v>
      </c>
      <c r="J28" s="744">
        <v>10692</v>
      </c>
      <c r="K28" s="745">
        <v>6241</v>
      </c>
      <c r="L28" s="412"/>
      <c r="M28" s="111"/>
      <c r="N28" s="137">
        <f t="shared" si="1"/>
        <v>48766.6</v>
      </c>
    </row>
    <row r="29" spans="2:14" ht="15.75" x14ac:dyDescent="0.25">
      <c r="B29" s="454">
        <v>44860</v>
      </c>
      <c r="C29" s="246" t="s">
        <v>1444</v>
      </c>
      <c r="D29" s="111">
        <v>144593.79999999999</v>
      </c>
      <c r="E29" s="412"/>
      <c r="F29" s="111"/>
      <c r="G29" s="544">
        <f t="shared" si="0"/>
        <v>144593.79999999999</v>
      </c>
      <c r="H29" s="645"/>
      <c r="I29" s="867" t="s">
        <v>1477</v>
      </c>
      <c r="J29" s="744">
        <v>10699</v>
      </c>
      <c r="K29" s="745">
        <v>15297.6</v>
      </c>
      <c r="L29" s="412"/>
      <c r="M29" s="111"/>
      <c r="N29" s="137">
        <f t="shared" si="1"/>
        <v>64064.2</v>
      </c>
    </row>
    <row r="30" spans="2:14" ht="15.75" x14ac:dyDescent="0.25">
      <c r="B30" s="454">
        <v>44861</v>
      </c>
      <c r="C30" s="246" t="s">
        <v>1445</v>
      </c>
      <c r="D30" s="111">
        <v>89553.91</v>
      </c>
      <c r="E30" s="412"/>
      <c r="F30" s="111"/>
      <c r="G30" s="544">
        <f t="shared" si="0"/>
        <v>89553.91</v>
      </c>
      <c r="H30" s="645"/>
      <c r="I30" s="867" t="s">
        <v>1477</v>
      </c>
      <c r="J30" s="744">
        <v>10704</v>
      </c>
      <c r="K30" s="745">
        <v>4465</v>
      </c>
      <c r="L30" s="412"/>
      <c r="M30" s="111"/>
      <c r="N30" s="137">
        <f t="shared" si="1"/>
        <v>68529.2</v>
      </c>
    </row>
    <row r="31" spans="2:14" ht="15.75" x14ac:dyDescent="0.25">
      <c r="B31" s="454">
        <v>44862</v>
      </c>
      <c r="C31" s="246" t="s">
        <v>1446</v>
      </c>
      <c r="D31" s="111">
        <v>24569.3</v>
      </c>
      <c r="E31" s="412"/>
      <c r="F31" s="111"/>
      <c r="G31" s="544">
        <f t="shared" si="0"/>
        <v>24569.3</v>
      </c>
      <c r="H31" s="2"/>
      <c r="I31" s="866" t="s">
        <v>1478</v>
      </c>
      <c r="J31" s="747">
        <v>10716</v>
      </c>
      <c r="K31" s="748">
        <v>26098</v>
      </c>
      <c r="L31" s="412"/>
      <c r="M31" s="111"/>
      <c r="N31" s="137">
        <f t="shared" si="1"/>
        <v>94627.199999999997</v>
      </c>
    </row>
    <row r="32" spans="2:14" ht="15.75" x14ac:dyDescent="0.25">
      <c r="B32" s="454">
        <v>44862</v>
      </c>
      <c r="C32" s="246" t="s">
        <v>1447</v>
      </c>
      <c r="D32" s="111">
        <v>3740</v>
      </c>
      <c r="E32" s="412"/>
      <c r="F32" s="111"/>
      <c r="G32" s="544">
        <f t="shared" si="0"/>
        <v>3740</v>
      </c>
      <c r="H32" s="2"/>
      <c r="I32" s="867" t="s">
        <v>1478</v>
      </c>
      <c r="J32" s="744">
        <v>10717</v>
      </c>
      <c r="K32" s="745">
        <v>1764</v>
      </c>
      <c r="L32" s="412"/>
      <c r="M32" s="111"/>
      <c r="N32" s="137">
        <f t="shared" si="1"/>
        <v>96391.2</v>
      </c>
    </row>
    <row r="33" spans="2:14" ht="15.75" x14ac:dyDescent="0.25">
      <c r="B33" s="454">
        <v>44863</v>
      </c>
      <c r="C33" s="246" t="s">
        <v>1454</v>
      </c>
      <c r="D33" s="111">
        <v>107038.8</v>
      </c>
      <c r="E33" s="412"/>
      <c r="F33" s="111"/>
      <c r="G33" s="544">
        <f t="shared" si="0"/>
        <v>107038.8</v>
      </c>
      <c r="I33" s="500"/>
      <c r="J33" s="501"/>
      <c r="K33" s="502"/>
      <c r="L33" s="412"/>
      <c r="M33" s="111"/>
      <c r="N33" s="137">
        <f t="shared" si="1"/>
        <v>96391.2</v>
      </c>
    </row>
    <row r="34" spans="2:14" ht="15.75" x14ac:dyDescent="0.25">
      <c r="B34" s="454"/>
      <c r="C34" s="246"/>
      <c r="D34" s="111"/>
      <c r="E34" s="412"/>
      <c r="F34" s="111"/>
      <c r="G34" s="544">
        <f t="shared" si="0"/>
        <v>0</v>
      </c>
      <c r="I34" s="497"/>
      <c r="J34" s="498"/>
      <c r="K34" s="499"/>
      <c r="L34" s="412"/>
      <c r="M34" s="111"/>
      <c r="N34" s="137">
        <f t="shared" si="1"/>
        <v>96391.2</v>
      </c>
    </row>
    <row r="35" spans="2:14" ht="15.75" x14ac:dyDescent="0.25">
      <c r="B35" s="454"/>
      <c r="C35" s="246"/>
      <c r="D35" s="111"/>
      <c r="E35" s="412"/>
      <c r="F35" s="111"/>
      <c r="G35" s="544">
        <f t="shared" si="0"/>
        <v>0</v>
      </c>
      <c r="I35" s="500"/>
      <c r="J35" s="501"/>
      <c r="K35" s="502"/>
      <c r="L35" s="412"/>
      <c r="M35" s="111"/>
      <c r="N35" s="137">
        <f t="shared" si="1"/>
        <v>96391.2</v>
      </c>
    </row>
    <row r="36" spans="2:14" ht="15.75" x14ac:dyDescent="0.25">
      <c r="B36" s="454"/>
      <c r="C36" s="246"/>
      <c r="D36" s="111"/>
      <c r="E36" s="412"/>
      <c r="F36" s="111"/>
      <c r="G36" s="544">
        <f t="shared" si="0"/>
        <v>0</v>
      </c>
      <c r="I36" s="1024" t="s">
        <v>1479</v>
      </c>
      <c r="J36" s="1025"/>
      <c r="K36" s="1025"/>
      <c r="L36" s="1026"/>
      <c r="M36" s="111"/>
      <c r="N36" s="137">
        <f t="shared" si="1"/>
        <v>96391.2</v>
      </c>
    </row>
    <row r="37" spans="2:14" ht="15.75" x14ac:dyDescent="0.25">
      <c r="B37" s="454"/>
      <c r="C37" s="246"/>
      <c r="D37" s="111"/>
      <c r="E37" s="412"/>
      <c r="F37" s="111"/>
      <c r="G37" s="544">
        <f t="shared" si="0"/>
        <v>0</v>
      </c>
      <c r="I37" s="1024"/>
      <c r="J37" s="1025"/>
      <c r="K37" s="1025"/>
      <c r="L37" s="1026"/>
      <c r="M37" s="111"/>
      <c r="N37" s="137">
        <f t="shared" si="1"/>
        <v>96391.2</v>
      </c>
    </row>
    <row r="38" spans="2:14" ht="15.75" x14ac:dyDescent="0.25">
      <c r="B38" s="454"/>
      <c r="C38" s="246"/>
      <c r="D38" s="111"/>
      <c r="E38" s="412"/>
      <c r="F38" s="111"/>
      <c r="G38" s="544">
        <f t="shared" si="0"/>
        <v>0</v>
      </c>
      <c r="I38" s="500"/>
      <c r="J38" s="501"/>
      <c r="K38" s="502"/>
      <c r="L38" s="412"/>
      <c r="M38" s="111"/>
      <c r="N38" s="137">
        <f t="shared" si="1"/>
        <v>96391.2</v>
      </c>
    </row>
    <row r="39" spans="2:14" ht="15.75" x14ac:dyDescent="0.25">
      <c r="B39" s="454"/>
      <c r="C39" s="246"/>
      <c r="D39" s="111"/>
      <c r="E39" s="253"/>
      <c r="F39" s="69"/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96391.2</v>
      </c>
    </row>
    <row r="40" spans="2:14" ht="15.75" x14ac:dyDescent="0.25">
      <c r="B40" s="454"/>
      <c r="C40" s="246"/>
      <c r="D40" s="111"/>
      <c r="E40" s="253"/>
      <c r="F40" s="69"/>
      <c r="G40" s="111">
        <f t="shared" si="0"/>
        <v>0</v>
      </c>
      <c r="I40" s="973" t="s">
        <v>594</v>
      </c>
      <c r="J40" s="974"/>
      <c r="K40" s="69"/>
      <c r="L40" s="253"/>
      <c r="M40" s="69"/>
      <c r="N40" s="137">
        <f t="shared" si="1"/>
        <v>96391.2</v>
      </c>
    </row>
    <row r="41" spans="2:14" ht="15.75" x14ac:dyDescent="0.25">
      <c r="B41" s="838"/>
      <c r="C41" s="839"/>
      <c r="D41" s="840"/>
      <c r="E41" s="253"/>
      <c r="F41" s="69"/>
      <c r="G41" s="111">
        <f t="shared" si="0"/>
        <v>0</v>
      </c>
      <c r="I41" s="975"/>
      <c r="J41" s="976"/>
      <c r="K41" s="69"/>
      <c r="L41" s="253"/>
      <c r="M41" s="69"/>
      <c r="N41" s="137">
        <f t="shared" si="1"/>
        <v>96391.2</v>
      </c>
    </row>
    <row r="42" spans="2:14" ht="15.75" x14ac:dyDescent="0.25">
      <c r="B42" s="838"/>
      <c r="C42" s="839"/>
      <c r="D42" s="840"/>
      <c r="E42" s="253"/>
      <c r="F42" s="69"/>
      <c r="G42" s="111">
        <f t="shared" si="0"/>
        <v>0</v>
      </c>
      <c r="I42" s="977"/>
      <c r="J42" s="978"/>
      <c r="K42" s="69"/>
      <c r="L42" s="253"/>
      <c r="M42" s="69"/>
      <c r="N42" s="137">
        <f t="shared" si="1"/>
        <v>96391.2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96391.2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96391.2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96391.2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96391.2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96391.2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96391.2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96391.2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96391.2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96391.2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96391.2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96391.2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96391.2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96391.2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96391.2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96391.2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96391.2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96391.2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96391.2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96391.2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96391.2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96391.2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96391.2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96391.2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2010648.49</v>
      </c>
      <c r="E67" s="407"/>
      <c r="F67" s="395">
        <f>SUM(F3:F66)</f>
        <v>0</v>
      </c>
      <c r="G67" s="153">
        <f>SUM(G3:G66)</f>
        <v>2010648.49</v>
      </c>
      <c r="I67" s="969" t="s">
        <v>594</v>
      </c>
      <c r="J67" s="970"/>
      <c r="K67" s="642">
        <f>SUM(K3:K66)</f>
        <v>176791.2</v>
      </c>
      <c r="L67" s="713"/>
      <c r="M67" s="209">
        <f>SUM(M3:M66)</f>
        <v>80400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31" t="s">
        <v>207</v>
      </c>
      <c r="I68" s="971"/>
      <c r="J68" s="972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32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E72" s="456"/>
      <c r="F72"/>
      <c r="H72" s="2"/>
      <c r="I72" s="791"/>
      <c r="J72" s="792"/>
      <c r="K72" s="793"/>
      <c r="L72" s="793"/>
      <c r="M72"/>
      <c r="N72"/>
    </row>
    <row r="73" spans="2:14" ht="15.75" customHeight="1" x14ac:dyDescent="0.25">
      <c r="C73" s="194"/>
      <c r="E73" s="456"/>
      <c r="F73"/>
      <c r="H73" s="2"/>
      <c r="I73" s="791"/>
      <c r="J73" s="792"/>
      <c r="K73" s="793"/>
      <c r="L73" s="793"/>
      <c r="M73"/>
      <c r="N73"/>
    </row>
    <row r="74" spans="2:14" x14ac:dyDescent="0.25">
      <c r="C74" s="194"/>
      <c r="D74" s="129"/>
      <c r="E74" s="456"/>
      <c r="F74"/>
      <c r="H74" s="2"/>
      <c r="I74" s="791"/>
      <c r="J74" s="792"/>
      <c r="K74" s="793"/>
      <c r="L74" s="793"/>
      <c r="M74"/>
      <c r="N74"/>
    </row>
    <row r="75" spans="2:14" ht="15.75" x14ac:dyDescent="0.25">
      <c r="C75" s="194"/>
      <c r="D75" s="233"/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233"/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233"/>
      <c r="E77" s="456"/>
      <c r="I77"/>
      <c r="J77"/>
      <c r="K77"/>
      <c r="M77"/>
      <c r="N77"/>
    </row>
    <row r="78" spans="2:14" ht="15.75" x14ac:dyDescent="0.25">
      <c r="C78" s="194"/>
      <c r="D78" s="233"/>
      <c r="E78" s="456"/>
      <c r="I78"/>
      <c r="J78"/>
      <c r="K78"/>
      <c r="M78"/>
      <c r="N78"/>
    </row>
    <row r="79" spans="2:14" ht="15.75" x14ac:dyDescent="0.25">
      <c r="C79" s="194"/>
      <c r="D79" s="233"/>
      <c r="E79" s="456"/>
      <c r="I79"/>
      <c r="J79"/>
      <c r="K79"/>
      <c r="M79"/>
      <c r="N79"/>
    </row>
    <row r="80" spans="2:14" ht="15.75" x14ac:dyDescent="0.25">
      <c r="C80" s="194"/>
      <c r="D80" s="233"/>
      <c r="E80" s="456"/>
      <c r="I80"/>
      <c r="J80"/>
      <c r="K80"/>
      <c r="M80"/>
      <c r="N80"/>
    </row>
    <row r="81" spans="3:14" ht="15.75" x14ac:dyDescent="0.25">
      <c r="C81" s="116"/>
      <c r="D81" s="233"/>
      <c r="E81" s="456"/>
      <c r="I81"/>
      <c r="J81"/>
      <c r="K81"/>
      <c r="M81"/>
      <c r="N81"/>
    </row>
    <row r="82" spans="3:14" ht="15.75" x14ac:dyDescent="0.25">
      <c r="C82" s="116"/>
      <c r="D82" s="233"/>
      <c r="E82" s="456"/>
      <c r="I82"/>
      <c r="J82"/>
      <c r="K82"/>
      <c r="M82"/>
      <c r="N82"/>
    </row>
    <row r="83" spans="3:14" ht="15.75" x14ac:dyDescent="0.25">
      <c r="C83" s="116"/>
      <c r="D83" s="233"/>
      <c r="E83" s="456"/>
      <c r="I83"/>
      <c r="J83"/>
      <c r="K83"/>
      <c r="M83"/>
      <c r="N83"/>
    </row>
    <row r="84" spans="3:14" ht="15.75" x14ac:dyDescent="0.25">
      <c r="C84" s="116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40:J42"/>
    <mergeCell ref="I67:J68"/>
    <mergeCell ref="G68:G69"/>
    <mergeCell ref="I36:L3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0"/>
  <sheetViews>
    <sheetView topLeftCell="A10" workbookViewId="0">
      <selection activeCell="I32" sqref="I32"/>
    </sheetView>
  </sheetViews>
  <sheetFormatPr baseColWidth="10" defaultRowHeight="15" x14ac:dyDescent="0.25"/>
  <cols>
    <col min="2" max="2" width="17.28515625" customWidth="1"/>
    <col min="3" max="3" width="18.85546875" bestFit="1" customWidth="1"/>
    <col min="4" max="4" width="20.28515625" customWidth="1"/>
  </cols>
  <sheetData>
    <row r="2" spans="2:9" ht="18.75" x14ac:dyDescent="0.3">
      <c r="B2" s="833" t="s">
        <v>1410</v>
      </c>
    </row>
    <row r="3" spans="2:9" ht="38.25" x14ac:dyDescent="0.35">
      <c r="B3" s="831" t="s">
        <v>1406</v>
      </c>
      <c r="D3" s="828">
        <v>142617</v>
      </c>
      <c r="H3">
        <v>1</v>
      </c>
      <c r="I3" s="23">
        <v>44867</v>
      </c>
    </row>
    <row r="4" spans="2:9" ht="21" x14ac:dyDescent="0.35">
      <c r="B4" s="5" t="s">
        <v>3</v>
      </c>
      <c r="C4" s="829">
        <v>3138</v>
      </c>
      <c r="H4">
        <v>2</v>
      </c>
      <c r="I4" s="23">
        <v>44868</v>
      </c>
    </row>
    <row r="5" spans="2:9" ht="21" x14ac:dyDescent="0.35">
      <c r="B5" s="5" t="s">
        <v>1407</v>
      </c>
      <c r="C5" s="829">
        <v>6653.5</v>
      </c>
      <c r="H5">
        <v>3</v>
      </c>
      <c r="I5" s="23">
        <v>44869</v>
      </c>
    </row>
    <row r="6" spans="2:9" ht="21" x14ac:dyDescent="0.35">
      <c r="B6" s="5" t="s">
        <v>5</v>
      </c>
      <c r="C6" s="829">
        <v>52118</v>
      </c>
      <c r="H6">
        <v>4</v>
      </c>
      <c r="I6" s="23">
        <v>44870</v>
      </c>
    </row>
    <row r="7" spans="2:9" ht="21" x14ac:dyDescent="0.35">
      <c r="B7" s="5" t="s">
        <v>1408</v>
      </c>
      <c r="C7" s="829">
        <v>80491.5</v>
      </c>
      <c r="H7">
        <v>5</v>
      </c>
      <c r="I7" s="23">
        <v>44871</v>
      </c>
    </row>
    <row r="8" spans="2:9" ht="21.75" thickBot="1" x14ac:dyDescent="0.4">
      <c r="B8" s="760"/>
      <c r="C8" s="830">
        <v>0</v>
      </c>
      <c r="H8">
        <v>6</v>
      </c>
      <c r="I8" s="23">
        <v>44872</v>
      </c>
    </row>
    <row r="9" spans="2:9" ht="33.75" thickBot="1" x14ac:dyDescent="0.4">
      <c r="C9" s="828">
        <f>SUM(C4:C8)</f>
        <v>142401</v>
      </c>
      <c r="D9" s="832" t="s">
        <v>1409</v>
      </c>
      <c r="H9">
        <v>7</v>
      </c>
      <c r="I9" s="23">
        <v>44873</v>
      </c>
    </row>
    <row r="10" spans="2:9" ht="27" thickBot="1" x14ac:dyDescent="0.45">
      <c r="C10" s="834"/>
      <c r="D10" s="835">
        <f>142401-142617</f>
        <v>-216</v>
      </c>
      <c r="H10">
        <v>8</v>
      </c>
      <c r="I10" s="23">
        <v>44874</v>
      </c>
    </row>
    <row r="11" spans="2:9" x14ac:dyDescent="0.25">
      <c r="C11" s="836"/>
      <c r="D11" s="836"/>
      <c r="H11">
        <v>9</v>
      </c>
      <c r="I11" s="23">
        <v>44875</v>
      </c>
    </row>
    <row r="12" spans="2:9" x14ac:dyDescent="0.25">
      <c r="H12">
        <v>10</v>
      </c>
      <c r="I12" s="23">
        <v>44876</v>
      </c>
    </row>
    <row r="13" spans="2:9" x14ac:dyDescent="0.25">
      <c r="H13">
        <v>11</v>
      </c>
      <c r="I13" s="23">
        <v>44877</v>
      </c>
    </row>
    <row r="14" spans="2:9" x14ac:dyDescent="0.25">
      <c r="H14">
        <v>12</v>
      </c>
      <c r="I14" s="23">
        <v>44878</v>
      </c>
    </row>
    <row r="15" spans="2:9" x14ac:dyDescent="0.25">
      <c r="H15">
        <v>13</v>
      </c>
      <c r="I15" s="23">
        <v>44879</v>
      </c>
    </row>
    <row r="16" spans="2:9" x14ac:dyDescent="0.25">
      <c r="H16">
        <v>14</v>
      </c>
      <c r="I16" s="23">
        <v>44880</v>
      </c>
    </row>
    <row r="17" spans="8:9" x14ac:dyDescent="0.25">
      <c r="H17">
        <v>15</v>
      </c>
      <c r="I17" s="23">
        <v>44881</v>
      </c>
    </row>
    <row r="18" spans="8:9" x14ac:dyDescent="0.25">
      <c r="H18">
        <v>16</v>
      </c>
      <c r="I18" s="23">
        <v>44882</v>
      </c>
    </row>
    <row r="19" spans="8:9" x14ac:dyDescent="0.25">
      <c r="H19">
        <v>17</v>
      </c>
      <c r="I19" s="23">
        <v>44883</v>
      </c>
    </row>
    <row r="20" spans="8:9" x14ac:dyDescent="0.25">
      <c r="H20">
        <v>18</v>
      </c>
      <c r="I20" s="23">
        <v>44884</v>
      </c>
    </row>
    <row r="21" spans="8:9" x14ac:dyDescent="0.25">
      <c r="H21">
        <v>19</v>
      </c>
      <c r="I21" s="23">
        <v>44885</v>
      </c>
    </row>
    <row r="22" spans="8:9" x14ac:dyDescent="0.25">
      <c r="H22">
        <v>20</v>
      </c>
      <c r="I22" s="23">
        <v>44886</v>
      </c>
    </row>
    <row r="23" spans="8:9" x14ac:dyDescent="0.25">
      <c r="H23">
        <v>21</v>
      </c>
      <c r="I23" s="23">
        <v>44887</v>
      </c>
    </row>
    <row r="24" spans="8:9" x14ac:dyDescent="0.25">
      <c r="H24">
        <v>22</v>
      </c>
      <c r="I24" s="23">
        <v>44888</v>
      </c>
    </row>
    <row r="25" spans="8:9" x14ac:dyDescent="0.25">
      <c r="H25">
        <v>23</v>
      </c>
      <c r="I25" s="23">
        <v>44889</v>
      </c>
    </row>
    <row r="26" spans="8:9" x14ac:dyDescent="0.25">
      <c r="H26">
        <v>24</v>
      </c>
      <c r="I26" s="23">
        <v>44890</v>
      </c>
    </row>
    <row r="27" spans="8:9" x14ac:dyDescent="0.25">
      <c r="H27">
        <v>25</v>
      </c>
      <c r="I27" s="23">
        <v>44891</v>
      </c>
    </row>
    <row r="28" spans="8:9" x14ac:dyDescent="0.25">
      <c r="H28">
        <v>26</v>
      </c>
      <c r="I28" s="23">
        <v>44892</v>
      </c>
    </row>
    <row r="29" spans="8:9" x14ac:dyDescent="0.25">
      <c r="H29">
        <v>27</v>
      </c>
      <c r="I29" s="23">
        <v>44893</v>
      </c>
    </row>
    <row r="30" spans="8:9" x14ac:dyDescent="0.25">
      <c r="H30">
        <v>28</v>
      </c>
      <c r="I30" s="23">
        <v>44894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893"/>
      <c r="C1" s="895" t="s">
        <v>208</v>
      </c>
      <c r="D1" s="896"/>
      <c r="E1" s="896"/>
      <c r="F1" s="896"/>
      <c r="G1" s="896"/>
      <c r="H1" s="896"/>
      <c r="I1" s="896"/>
      <c r="J1" s="896"/>
      <c r="K1" s="896"/>
      <c r="L1" s="896"/>
      <c r="M1" s="896"/>
    </row>
    <row r="2" spans="1:25" ht="16.5" thickBot="1" x14ac:dyDescent="0.3">
      <c r="B2" s="894"/>
      <c r="C2" s="3"/>
      <c r="H2" s="5"/>
      <c r="I2" s="6"/>
      <c r="J2" s="7"/>
      <c r="L2" s="8"/>
      <c r="M2" s="6"/>
      <c r="N2" s="9"/>
    </row>
    <row r="3" spans="1:25" ht="21.75" thickBot="1" x14ac:dyDescent="0.35">
      <c r="B3" s="897" t="s">
        <v>0</v>
      </c>
      <c r="C3" s="898"/>
      <c r="D3" s="10"/>
      <c r="E3" s="11"/>
      <c r="F3" s="11"/>
      <c r="H3" s="899" t="s">
        <v>26</v>
      </c>
      <c r="I3" s="899"/>
      <c r="K3" s="165"/>
      <c r="L3" s="13"/>
      <c r="M3" s="14"/>
      <c r="P3" s="923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900" t="s">
        <v>2</v>
      </c>
      <c r="F4" s="901"/>
      <c r="H4" s="902" t="s">
        <v>3</v>
      </c>
      <c r="I4" s="903"/>
      <c r="J4" s="19"/>
      <c r="K4" s="166"/>
      <c r="L4" s="20"/>
      <c r="M4" s="21" t="s">
        <v>4</v>
      </c>
      <c r="N4" s="22" t="s">
        <v>5</v>
      </c>
      <c r="P4" s="924"/>
      <c r="Q4" s="286" t="s">
        <v>209</v>
      </c>
      <c r="W4" s="906" t="s">
        <v>124</v>
      </c>
      <c r="X4" s="906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906"/>
      <c r="X5" s="906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910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911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912"/>
      <c r="X21" s="912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913"/>
      <c r="X23" s="913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913"/>
      <c r="X24" s="913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914"/>
      <c r="X25" s="914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914"/>
      <c r="X26" s="914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907"/>
      <c r="X27" s="908"/>
      <c r="Y27" s="909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908"/>
      <c r="X28" s="908"/>
      <c r="Y28" s="909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925">
        <f>SUM(M5:M35)</f>
        <v>321168.83</v>
      </c>
      <c r="N36" s="927">
        <f>SUM(N5:N35)</f>
        <v>467016</v>
      </c>
      <c r="O36" s="276"/>
      <c r="P36" s="277">
        <v>0</v>
      </c>
      <c r="Q36" s="929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926"/>
      <c r="N37" s="928"/>
      <c r="O37" s="276"/>
      <c r="P37" s="277">
        <v>0</v>
      </c>
      <c r="Q37" s="930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80" t="s">
        <v>11</v>
      </c>
      <c r="I52" s="881"/>
      <c r="J52" s="100"/>
      <c r="K52" s="882">
        <f>I50+L50</f>
        <v>71911.59</v>
      </c>
      <c r="L52" s="915"/>
      <c r="M52" s="272"/>
      <c r="N52" s="272"/>
      <c r="P52" s="34"/>
      <c r="Q52" s="13"/>
    </row>
    <row r="53" spans="1:17" ht="16.5" thickBot="1" x14ac:dyDescent="0.3">
      <c r="D53" s="886" t="s">
        <v>12</v>
      </c>
      <c r="E53" s="886"/>
      <c r="F53" s="312">
        <f>F50-K52-C50</f>
        <v>-25952.549999999814</v>
      </c>
      <c r="I53" s="102"/>
      <c r="J53" s="103"/>
    </row>
    <row r="54" spans="1:17" ht="18.75" x14ac:dyDescent="0.3">
      <c r="D54" s="916" t="s">
        <v>95</v>
      </c>
      <c r="E54" s="916"/>
      <c r="F54" s="111">
        <v>-706888.38</v>
      </c>
      <c r="I54" s="887" t="s">
        <v>13</v>
      </c>
      <c r="J54" s="888"/>
      <c r="K54" s="889">
        <f>F56+F57+F58</f>
        <v>1308778.3500000003</v>
      </c>
      <c r="L54" s="889"/>
      <c r="M54" s="917" t="s">
        <v>211</v>
      </c>
      <c r="N54" s="918"/>
      <c r="O54" s="918"/>
      <c r="P54" s="918"/>
      <c r="Q54" s="919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920"/>
      <c r="N55" s="921"/>
      <c r="O55" s="921"/>
      <c r="P55" s="921"/>
      <c r="Q55" s="922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891">
        <f>-C4</f>
        <v>-567389.35</v>
      </c>
      <c r="L56" s="892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869" t="s">
        <v>18</v>
      </c>
      <c r="E58" s="870"/>
      <c r="F58" s="113">
        <v>2142307.62</v>
      </c>
      <c r="I58" s="871" t="s">
        <v>198</v>
      </c>
      <c r="J58" s="872"/>
      <c r="K58" s="873">
        <f>K54+K56</f>
        <v>741389.00000000035</v>
      </c>
      <c r="L58" s="87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C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931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932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93"/>
      <c r="C1" s="895" t="s">
        <v>208</v>
      </c>
      <c r="D1" s="896"/>
      <c r="E1" s="896"/>
      <c r="F1" s="896"/>
      <c r="G1" s="896"/>
      <c r="H1" s="896"/>
      <c r="I1" s="896"/>
      <c r="J1" s="896"/>
      <c r="K1" s="896"/>
      <c r="L1" s="896"/>
      <c r="M1" s="896"/>
    </row>
    <row r="2" spans="1:25" ht="16.5" thickBot="1" x14ac:dyDescent="0.3">
      <c r="B2" s="894"/>
      <c r="C2" s="3"/>
      <c r="H2" s="5"/>
      <c r="I2" s="6"/>
      <c r="J2" s="7"/>
      <c r="L2" s="8"/>
      <c r="M2" s="6"/>
      <c r="N2" s="9"/>
    </row>
    <row r="3" spans="1:25" ht="21.75" thickBot="1" x14ac:dyDescent="0.35">
      <c r="B3" s="897" t="s">
        <v>0</v>
      </c>
      <c r="C3" s="898"/>
      <c r="D3" s="10"/>
      <c r="E3" s="11"/>
      <c r="F3" s="11"/>
      <c r="H3" s="899" t="s">
        <v>26</v>
      </c>
      <c r="I3" s="899"/>
      <c r="K3" s="165"/>
      <c r="L3" s="13"/>
      <c r="M3" s="14"/>
      <c r="P3" s="923" t="s">
        <v>6</v>
      </c>
      <c r="R3" s="933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900" t="s">
        <v>2</v>
      </c>
      <c r="F4" s="901"/>
      <c r="H4" s="902" t="s">
        <v>3</v>
      </c>
      <c r="I4" s="903"/>
      <c r="J4" s="19"/>
      <c r="K4" s="166"/>
      <c r="L4" s="20"/>
      <c r="M4" s="21" t="s">
        <v>4</v>
      </c>
      <c r="N4" s="22" t="s">
        <v>5</v>
      </c>
      <c r="P4" s="924"/>
      <c r="Q4" s="322" t="s">
        <v>217</v>
      </c>
      <c r="R4" s="934"/>
      <c r="W4" s="906" t="s">
        <v>124</v>
      </c>
      <c r="X4" s="906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906"/>
      <c r="X5" s="906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910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911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912"/>
      <c r="X21" s="912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913"/>
      <c r="X23" s="913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913"/>
      <c r="X24" s="913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914"/>
      <c r="X25" s="914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914"/>
      <c r="X26" s="914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907"/>
      <c r="X27" s="908"/>
      <c r="Y27" s="909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908"/>
      <c r="X28" s="908"/>
      <c r="Y28" s="909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925">
        <f>SUM(M5:M35)</f>
        <v>1077791.3</v>
      </c>
      <c r="N36" s="927">
        <f>SUM(N5:N35)</f>
        <v>936398</v>
      </c>
      <c r="O36" s="276"/>
      <c r="P36" s="277">
        <v>0</v>
      </c>
      <c r="Q36" s="929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926"/>
      <c r="N37" s="928"/>
      <c r="O37" s="276"/>
      <c r="P37" s="277">
        <v>0</v>
      </c>
      <c r="Q37" s="930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80" t="s">
        <v>11</v>
      </c>
      <c r="I52" s="881"/>
      <c r="J52" s="100"/>
      <c r="K52" s="882">
        <f>I50+L50</f>
        <v>90750.75</v>
      </c>
      <c r="L52" s="915"/>
      <c r="M52" s="272"/>
      <c r="N52" s="272"/>
      <c r="P52" s="34"/>
      <c r="Q52" s="13"/>
    </row>
    <row r="53" spans="1:17" ht="16.5" thickBot="1" x14ac:dyDescent="0.3">
      <c r="D53" s="886" t="s">
        <v>12</v>
      </c>
      <c r="E53" s="886"/>
      <c r="F53" s="312">
        <f>F50-K52-C50</f>
        <v>1739855.03</v>
      </c>
      <c r="I53" s="102"/>
      <c r="J53" s="103"/>
    </row>
    <row r="54" spans="1:17" ht="18.75" x14ac:dyDescent="0.3">
      <c r="D54" s="916" t="s">
        <v>95</v>
      </c>
      <c r="E54" s="916"/>
      <c r="F54" s="111">
        <v>-1567070.66</v>
      </c>
      <c r="I54" s="887" t="s">
        <v>13</v>
      </c>
      <c r="J54" s="888"/>
      <c r="K54" s="889">
        <f>F56+F57+F58</f>
        <v>703192.8600000001</v>
      </c>
      <c r="L54" s="889"/>
      <c r="M54" s="917" t="s">
        <v>211</v>
      </c>
      <c r="N54" s="918"/>
      <c r="O54" s="918"/>
      <c r="P54" s="918"/>
      <c r="Q54" s="919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920"/>
      <c r="N55" s="921"/>
      <c r="O55" s="921"/>
      <c r="P55" s="921"/>
      <c r="Q55" s="922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891">
        <f>-C4</f>
        <v>-567389.35</v>
      </c>
      <c r="L56" s="892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869" t="s">
        <v>18</v>
      </c>
      <c r="E58" s="870"/>
      <c r="F58" s="113">
        <v>754143.23</v>
      </c>
      <c r="I58" s="871" t="s">
        <v>198</v>
      </c>
      <c r="J58" s="872"/>
      <c r="K58" s="873">
        <f>K54+K56</f>
        <v>135803.51000000013</v>
      </c>
      <c r="L58" s="87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D28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931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932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93"/>
      <c r="C1" s="935" t="s">
        <v>316</v>
      </c>
      <c r="D1" s="936"/>
      <c r="E1" s="936"/>
      <c r="F1" s="936"/>
      <c r="G1" s="936"/>
      <c r="H1" s="936"/>
      <c r="I1" s="936"/>
      <c r="J1" s="936"/>
      <c r="K1" s="936"/>
      <c r="L1" s="936"/>
      <c r="M1" s="936"/>
    </row>
    <row r="2" spans="1:25" ht="16.5" thickBot="1" x14ac:dyDescent="0.3">
      <c r="B2" s="894"/>
      <c r="C2" s="3"/>
      <c r="H2" s="5"/>
      <c r="I2" s="6"/>
      <c r="J2" s="7"/>
      <c r="L2" s="8"/>
      <c r="M2" s="6"/>
      <c r="N2" s="9"/>
    </row>
    <row r="3" spans="1:25" ht="21.75" thickBot="1" x14ac:dyDescent="0.35">
      <c r="B3" s="897" t="s">
        <v>0</v>
      </c>
      <c r="C3" s="898"/>
      <c r="D3" s="10"/>
      <c r="E3" s="11"/>
      <c r="F3" s="11"/>
      <c r="H3" s="899" t="s">
        <v>26</v>
      </c>
      <c r="I3" s="899"/>
      <c r="K3" s="165"/>
      <c r="L3" s="13"/>
      <c r="M3" s="14"/>
      <c r="P3" s="923" t="s">
        <v>6</v>
      </c>
      <c r="R3" s="933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900" t="s">
        <v>2</v>
      </c>
      <c r="F4" s="901"/>
      <c r="H4" s="902" t="s">
        <v>3</v>
      </c>
      <c r="I4" s="903"/>
      <c r="J4" s="19"/>
      <c r="K4" s="166"/>
      <c r="L4" s="20"/>
      <c r="M4" s="21" t="s">
        <v>4</v>
      </c>
      <c r="N4" s="22" t="s">
        <v>5</v>
      </c>
      <c r="P4" s="924"/>
      <c r="Q4" s="322" t="s">
        <v>217</v>
      </c>
      <c r="R4" s="934"/>
      <c r="W4" s="906" t="s">
        <v>124</v>
      </c>
      <c r="X4" s="906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906"/>
      <c r="X5" s="906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910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911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912"/>
      <c r="X21" s="912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913"/>
      <c r="X23" s="913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913"/>
      <c r="X24" s="913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914"/>
      <c r="X25" s="914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914"/>
      <c r="X26" s="914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907"/>
      <c r="X27" s="908"/>
      <c r="Y27" s="909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908"/>
      <c r="X28" s="908"/>
      <c r="Y28" s="909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925">
        <f>SUM(M5:M35)</f>
        <v>1818445.73</v>
      </c>
      <c r="N36" s="927">
        <f>SUM(N5:N35)</f>
        <v>739014</v>
      </c>
      <c r="O36" s="276"/>
      <c r="P36" s="277">
        <v>0</v>
      </c>
      <c r="Q36" s="929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926"/>
      <c r="N37" s="928"/>
      <c r="O37" s="276"/>
      <c r="P37" s="277">
        <v>0</v>
      </c>
      <c r="Q37" s="930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80" t="s">
        <v>11</v>
      </c>
      <c r="I52" s="881"/>
      <c r="J52" s="100"/>
      <c r="K52" s="882">
        <f>I50+L50</f>
        <v>158798.12</v>
      </c>
      <c r="L52" s="915"/>
      <c r="M52" s="272"/>
      <c r="N52" s="272"/>
      <c r="P52" s="34"/>
      <c r="Q52" s="13"/>
    </row>
    <row r="53" spans="1:17" x14ac:dyDescent="0.25">
      <c r="D53" s="886" t="s">
        <v>12</v>
      </c>
      <c r="E53" s="886"/>
      <c r="F53" s="312">
        <f>F50-K52-C50</f>
        <v>2078470.75</v>
      </c>
      <c r="I53" s="102"/>
      <c r="J53" s="103"/>
    </row>
    <row r="54" spans="1:17" ht="18.75" x14ac:dyDescent="0.3">
      <c r="D54" s="916" t="s">
        <v>95</v>
      </c>
      <c r="E54" s="916"/>
      <c r="F54" s="111">
        <v>-1448401.2</v>
      </c>
      <c r="I54" s="887" t="s">
        <v>13</v>
      </c>
      <c r="J54" s="888"/>
      <c r="K54" s="889">
        <f>F56+F57+F58</f>
        <v>1025960.7</v>
      </c>
      <c r="L54" s="889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891">
        <f>-C4</f>
        <v>-754143.23</v>
      </c>
      <c r="L56" s="892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869" t="s">
        <v>18</v>
      </c>
      <c r="E58" s="870"/>
      <c r="F58" s="113">
        <v>1149740.4099999999</v>
      </c>
      <c r="I58" s="871" t="s">
        <v>198</v>
      </c>
      <c r="J58" s="872"/>
      <c r="K58" s="873">
        <f>K54+K56</f>
        <v>271817.46999999997</v>
      </c>
      <c r="L58" s="87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F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937" t="s">
        <v>413</v>
      </c>
      <c r="C43" s="938"/>
      <c r="D43" s="938"/>
      <c r="E43" s="939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940"/>
      <c r="C44" s="941"/>
      <c r="D44" s="941"/>
      <c r="E44" s="942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943"/>
      <c r="C45" s="944"/>
      <c r="D45" s="944"/>
      <c r="E45" s="945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952" t="s">
        <v>593</v>
      </c>
      <c r="C47" s="953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954"/>
      <c r="C48" s="955"/>
      <c r="D48" s="253"/>
      <c r="E48" s="69"/>
      <c r="F48" s="137">
        <f t="shared" si="2"/>
        <v>0</v>
      </c>
      <c r="I48" s="348"/>
      <c r="J48" s="946" t="s">
        <v>414</v>
      </c>
      <c r="K48" s="947"/>
      <c r="L48" s="948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949"/>
      <c r="K49" s="950"/>
      <c r="L49" s="951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956" t="s">
        <v>594</v>
      </c>
      <c r="J50" s="957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956"/>
      <c r="J51" s="957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956"/>
      <c r="J52" s="957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956"/>
      <c r="J53" s="957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956"/>
      <c r="J54" s="957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956"/>
      <c r="J55" s="957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956"/>
      <c r="J56" s="957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956"/>
      <c r="J57" s="957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956"/>
      <c r="J58" s="957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956"/>
      <c r="J59" s="957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956"/>
      <c r="J60" s="957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956"/>
      <c r="J61" s="957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956"/>
      <c r="J62" s="957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956"/>
      <c r="J63" s="957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956"/>
      <c r="J64" s="957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956"/>
      <c r="J65" s="957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956"/>
      <c r="J66" s="957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956"/>
      <c r="J67" s="957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956"/>
      <c r="J68" s="957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956"/>
      <c r="J69" s="957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956"/>
      <c r="J70" s="957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956"/>
      <c r="J71" s="957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956"/>
      <c r="J72" s="957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956"/>
      <c r="J73" s="957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956"/>
      <c r="J74" s="957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956"/>
      <c r="J75" s="957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956"/>
      <c r="J76" s="957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956"/>
      <c r="J77" s="957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958"/>
      <c r="J78" s="959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931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932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93"/>
      <c r="C1" s="935" t="s">
        <v>646</v>
      </c>
      <c r="D1" s="936"/>
      <c r="E1" s="936"/>
      <c r="F1" s="936"/>
      <c r="G1" s="936"/>
      <c r="H1" s="936"/>
      <c r="I1" s="936"/>
      <c r="J1" s="936"/>
      <c r="K1" s="936"/>
      <c r="L1" s="936"/>
      <c r="M1" s="936"/>
    </row>
    <row r="2" spans="1:25" ht="16.5" thickBot="1" x14ac:dyDescent="0.3">
      <c r="B2" s="894"/>
      <c r="C2" s="3"/>
      <c r="H2" s="5"/>
      <c r="I2" s="6"/>
      <c r="J2" s="7"/>
      <c r="L2" s="8"/>
      <c r="M2" s="6"/>
      <c r="N2" s="9"/>
    </row>
    <row r="3" spans="1:25" ht="21.75" thickBot="1" x14ac:dyDescent="0.35">
      <c r="B3" s="897" t="s">
        <v>0</v>
      </c>
      <c r="C3" s="898"/>
      <c r="D3" s="10"/>
      <c r="E3" s="11"/>
      <c r="F3" s="11"/>
      <c r="H3" s="899" t="s">
        <v>26</v>
      </c>
      <c r="I3" s="899"/>
      <c r="K3" s="165"/>
      <c r="L3" s="13"/>
      <c r="M3" s="14"/>
      <c r="P3" s="923" t="s">
        <v>6</v>
      </c>
      <c r="R3" s="933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900" t="s">
        <v>2</v>
      </c>
      <c r="F4" s="901"/>
      <c r="H4" s="902" t="s">
        <v>3</v>
      </c>
      <c r="I4" s="903"/>
      <c r="J4" s="19"/>
      <c r="K4" s="166"/>
      <c r="L4" s="20"/>
      <c r="M4" s="21" t="s">
        <v>4</v>
      </c>
      <c r="N4" s="22" t="s">
        <v>5</v>
      </c>
      <c r="P4" s="924"/>
      <c r="Q4" s="322" t="s">
        <v>217</v>
      </c>
      <c r="R4" s="934"/>
      <c r="W4" s="906" t="s">
        <v>124</v>
      </c>
      <c r="X4" s="906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906"/>
      <c r="X5" s="906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910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911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912"/>
      <c r="X21" s="912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913"/>
      <c r="X23" s="913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913"/>
      <c r="X24" s="913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914"/>
      <c r="X25" s="914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914"/>
      <c r="X26" s="914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907"/>
      <c r="X27" s="908"/>
      <c r="Y27" s="909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908"/>
      <c r="X28" s="908"/>
      <c r="Y28" s="909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925">
        <f>SUM(M5:M35)</f>
        <v>2143864.4900000002</v>
      </c>
      <c r="N36" s="927">
        <f>SUM(N5:N35)</f>
        <v>791108</v>
      </c>
      <c r="O36" s="276"/>
      <c r="P36" s="277">
        <v>0</v>
      </c>
      <c r="Q36" s="960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926"/>
      <c r="N37" s="928"/>
      <c r="O37" s="276"/>
      <c r="P37" s="277">
        <v>0</v>
      </c>
      <c r="Q37" s="961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962">
        <f>M36+N36</f>
        <v>2934972.49</v>
      </c>
      <c r="N39" s="963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80" t="s">
        <v>11</v>
      </c>
      <c r="I52" s="881"/>
      <c r="J52" s="100"/>
      <c r="K52" s="882">
        <f>I50+L50</f>
        <v>197471.8</v>
      </c>
      <c r="L52" s="915"/>
      <c r="M52" s="272"/>
      <c r="N52" s="272"/>
      <c r="P52" s="34"/>
      <c r="Q52" s="13"/>
    </row>
    <row r="53" spans="1:17" x14ac:dyDescent="0.25">
      <c r="D53" s="886" t="s">
        <v>12</v>
      </c>
      <c r="E53" s="886"/>
      <c r="F53" s="312">
        <f>F50-K52-C50</f>
        <v>2057786.11</v>
      </c>
      <c r="I53" s="102"/>
      <c r="J53" s="103"/>
    </row>
    <row r="54" spans="1:17" ht="18.75" x14ac:dyDescent="0.3">
      <c r="D54" s="916" t="s">
        <v>95</v>
      </c>
      <c r="E54" s="916"/>
      <c r="F54" s="111">
        <v>-1702928.14</v>
      </c>
      <c r="I54" s="887" t="s">
        <v>13</v>
      </c>
      <c r="J54" s="888"/>
      <c r="K54" s="889">
        <f>F56+F57+F58</f>
        <v>1147965.3400000003</v>
      </c>
      <c r="L54" s="889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891">
        <f>-C4</f>
        <v>-1149740.4099999999</v>
      </c>
      <c r="L56" s="892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869" t="s">
        <v>18</v>
      </c>
      <c r="E58" s="870"/>
      <c r="F58" s="113">
        <v>1266568.45</v>
      </c>
      <c r="I58" s="871" t="s">
        <v>97</v>
      </c>
      <c r="J58" s="872"/>
      <c r="K58" s="873">
        <f>K54+K56</f>
        <v>-1775.0699999995995</v>
      </c>
      <c r="L58" s="87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   A G O S T O   2 0 2 2    </vt:lpstr>
      <vt:lpstr>  COMPRAS  AGOSTO    2022     </vt:lpstr>
      <vt:lpstr> S E P T I E M B R E     2022  </vt:lpstr>
      <vt:lpstr>COMPRAS  SEPTIEMBRE  2022    </vt:lpstr>
      <vt:lpstr>   O C T U B R E     2 0 2 2   </vt:lpstr>
      <vt:lpstr> COMPRAS  OCTUBRE   2022    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2022-11-03T14:19:31Z</cp:lastPrinted>
  <dcterms:created xsi:type="dcterms:W3CDTF">2021-11-04T19:08:42Z</dcterms:created>
  <dcterms:modified xsi:type="dcterms:W3CDTF">2023-01-06T20:55:21Z</dcterms:modified>
</cp:coreProperties>
</file>