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 s="1"/>
  <c r="I115" i="38"/>
  <c r="S116" i="38"/>
  <c r="T116" i="38" s="1"/>
  <c r="I116" i="38"/>
  <c r="S113" i="38" l="1"/>
  <c r="T113" i="38"/>
  <c r="I113" i="38"/>
  <c r="S122" i="38" l="1"/>
  <c r="T122" i="38"/>
  <c r="I122" i="38"/>
  <c r="S121" i="38" l="1"/>
  <c r="T121" i="38"/>
  <c r="I121" i="38"/>
  <c r="S104" i="38"/>
  <c r="T104" i="38"/>
  <c r="I104" i="38"/>
  <c r="S120" i="38"/>
  <c r="T120" i="38"/>
  <c r="I120" i="38"/>
  <c r="S107" i="38"/>
  <c r="T107" i="38"/>
  <c r="I107" i="38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6" i="38"/>
  <c r="T106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6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5" i="38"/>
  <c r="T105" i="38" s="1"/>
  <c r="I102" i="38"/>
  <c r="I103" i="38"/>
  <c r="I105" i="38"/>
  <c r="I108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5" i="38" l="1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3" i="38"/>
  <c r="T143" i="38" s="1"/>
  <c r="S144" i="38"/>
  <c r="T144" i="38" s="1"/>
  <c r="S145" i="38"/>
  <c r="T145" i="38" s="1"/>
  <c r="S146" i="38"/>
  <c r="T146" i="38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/>
  <c r="S167" i="38"/>
  <c r="T167" i="38" s="1"/>
  <c r="S168" i="38"/>
  <c r="T168" i="38"/>
  <c r="S169" i="38"/>
  <c r="T169" i="38" s="1"/>
  <c r="S170" i="38"/>
  <c r="T170" i="38" s="1"/>
  <c r="S171" i="38"/>
  <c r="T171" i="38" s="1"/>
  <c r="S172" i="38"/>
  <c r="T172" i="38" s="1"/>
  <c r="S173" i="38"/>
  <c r="T173" i="38" s="1"/>
  <c r="I148" i="38" l="1"/>
  <c r="I147" i="38"/>
  <c r="I146" i="38"/>
  <c r="I141" i="38"/>
  <c r="I140" i="38"/>
  <c r="I139" i="38"/>
  <c r="I138" i="38"/>
  <c r="I149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2" i="38"/>
  <c r="T142" i="38" s="1"/>
  <c r="G6" i="129" l="1"/>
  <c r="H6" i="129" s="1"/>
  <c r="E73" i="54"/>
  <c r="S131" i="38"/>
  <c r="T131" i="38" s="1"/>
  <c r="I131" i="38"/>
  <c r="S125" i="38"/>
  <c r="T125" i="38" s="1"/>
  <c r="S124" i="38"/>
  <c r="T124" i="38" s="1"/>
  <c r="S123" i="38"/>
  <c r="T123" i="38" s="1"/>
  <c r="I125" i="38"/>
  <c r="I124" i="38"/>
  <c r="I123" i="38"/>
  <c r="I137" i="38"/>
  <c r="S129" i="38" l="1"/>
  <c r="T129" i="38" s="1"/>
  <c r="I129" i="38"/>
  <c r="S108" i="38" l="1"/>
  <c r="T108" i="38" s="1"/>
  <c r="S119" i="38" l="1"/>
  <c r="T119" i="38" s="1"/>
  <c r="S126" i="38"/>
  <c r="T126" i="38" s="1"/>
  <c r="S127" i="38"/>
  <c r="T127" i="38" s="1"/>
  <c r="S128" i="38"/>
  <c r="T128" i="38" s="1"/>
  <c r="S130" i="38"/>
  <c r="T130" i="38" s="1"/>
  <c r="S132" i="38"/>
  <c r="T132" i="38" s="1"/>
  <c r="S133" i="38"/>
  <c r="T133" i="38" s="1"/>
  <c r="S134" i="38"/>
  <c r="T134" i="38" s="1"/>
  <c r="I126" i="38"/>
  <c r="I127" i="38"/>
  <c r="I12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8" i="38"/>
  <c r="T118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9" i="38" l="1"/>
  <c r="I118" i="38"/>
  <c r="I130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I150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5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3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7" i="38" l="1"/>
  <c r="T117" i="38" s="1"/>
  <c r="I11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4" i="38" l="1"/>
  <c r="I153" i="38"/>
  <c r="I152" i="38"/>
  <c r="S21" i="38" l="1"/>
  <c r="BP5" i="1" l="1"/>
  <c r="H4" i="1" l="1"/>
  <c r="G4" i="1"/>
  <c r="F4" i="1"/>
  <c r="E4" i="1"/>
  <c r="D4" i="1"/>
  <c r="B4" i="1"/>
  <c r="I134" i="38" l="1"/>
  <c r="I165" i="38" l="1"/>
  <c r="I16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9" i="38" l="1"/>
  <c r="I158" i="38"/>
  <c r="I157" i="38"/>
  <c r="I155" i="38"/>
  <c r="I151" i="38"/>
  <c r="I14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9" i="38" l="1"/>
  <c r="S109" i="38" l="1"/>
  <c r="T109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14" i="38" l="1"/>
  <c r="T114" i="38" s="1"/>
  <c r="I114" i="38" l="1"/>
  <c r="S100" i="38" l="1"/>
  <c r="S110" i="38"/>
  <c r="S111" i="38"/>
  <c r="I111" i="38" l="1"/>
  <c r="T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2" i="38" l="1"/>
  <c r="AE1" i="1" l="1"/>
  <c r="F10" i="156" l="1"/>
  <c r="I14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11" i="38" l="1"/>
  <c r="I110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2" i="38" l="1"/>
  <c r="GF5" i="1" l="1"/>
  <c r="FV5" i="1"/>
  <c r="EH5" i="1"/>
  <c r="DX5" i="1"/>
  <c r="I6" i="1"/>
  <c r="I136" i="38" l="1"/>
  <c r="I144" i="38"/>
  <c r="I160" i="38"/>
  <c r="I161" i="38"/>
  <c r="I16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<sst xmlns="http://schemas.openxmlformats.org/spreadsheetml/2006/main" count="3928" uniqueCount="614">
  <si>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</si>
  <si>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</si>
  <si>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</si>
  <si>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</si>
  <si>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</si>
  <si>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</si>
  <si>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</si>
  <si>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</si>
  <si>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</si>
  <si>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</si>
  <si>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</si>
  <si>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</si>
  <si>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</si>
  <si>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</si>
  <si>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</si>
  <si>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</si>
  <si>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</si>
  <si>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</si>
  <si>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</si>
  <si>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</si>
  <si>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</si>
  <si>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</si>
  <si>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</si>
  <si>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</si>
  <si>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</si>
  <si>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</si>
  <si>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</si>
  <si>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</si>
  <si>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</si>
  <si>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</si>
  <si>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</si>
  <si>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</si>
  <si>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</si>
  <si>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</si>
  <si>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</si>
  <si>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</si>
  <si>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</si>
  <si>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</si>
  <si>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</si>
  <si>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</si>
  <si>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</si>
  <si>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</si>
  <si>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</si>
  <si>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</si>
  <si>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</si>
  <si>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</si>
  <si>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</si>
  <si>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</si>
  <si>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</si>
  <si>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</si>
  <si>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</si>
  <si>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</si>
  <si>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</si>
  <si>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</si>
  <si>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</si>
  <si>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</si>
  <si>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</si>
  <si>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</si>
  <si>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</si>
  <si>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</si>
  <si>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</si>
  <si>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</si>
  <si>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</si>
  <si>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</si>
  <si>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</si>
  <si>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</si>
  <si>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</si>
  <si>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</si>
  <si>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</si>
  <si>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</si>
  <si>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</si>
  <si>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</si>
  <si>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</si>
  <si>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</si>
  <si>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</si>
  <si>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</si>
  <si>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</si>
  <si>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</si>
  <si>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</si>
  <si>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</si>
  <si>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</si>
  <si>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</si>
  <si>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</si>
  <si>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</si>
  <si>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</si>
  <si>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</si>
  <si>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</si>
  <si>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</si>
  <si>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</si>
  <si>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</si>
  <si>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</si>
  <si>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</si>
  <si>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</si>
  <si>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</si>
  <si>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</si>
  <si>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</si>
  <si>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</si>
  <si>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</si>
  <si>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</si>
  <si>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</si>
  <si>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</si>
  <si>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</si>
  <si>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</si>
  <si>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</si>
  <si>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</si>
  <si>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</si>
  <si>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</si>
  <si>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</si>
  <si>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</si>
  <si>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</si>
  <si>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</si>
  <si>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</si>
  <si>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</si>
  <si>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</si>
  <si>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</si>
  <si>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</si>
  <si>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</si>
  <si>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</si>
  <si>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</si>
  <si>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</si>
  <si>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</si>
  <si>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</si>
  <si>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</si>
  <si>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</si>
  <si>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</si>
  <si>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</si>
  <si>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</si>
  <si>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</si>
  <si>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</si>
  <si>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</si>
  <si>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</si>
  <si>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</si>
  <si>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</si>
  <si>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</si>
  <si>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</si>
  <si>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</si>
  <si>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</si>
  <si>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</si>
  <si>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</si>
  <si>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</si>
  <si>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</si>
  <si>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</si>
  <si>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</si>
  <si>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</si>
  <si>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</si>
  <si>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</si>
  <si>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</si>
  <si>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</si>
  <si>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</si>
  <si>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</si>
  <si>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</si>
  <si>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</si>
  <si>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</si>
  <si>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</si>
  <si>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</si>
  <si>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</si>
  <si>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</si>
  <si>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</si>
  <si>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</si>
  <si>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</si>
  <si>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</si>
  <si>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</si>
  <si>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</si>
  <si>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</si>
  <si>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</si>
  <si>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</si>
  <si>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</si>
  <si>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</si>
  <si>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</si>
  <si>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</si>
  <si>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</si>
  <si>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</si>
  <si>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</si>
  <si>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</si>
  <si>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</si>
  <si>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</si>
  <si>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</si>
  <si>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</si>
  <si>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</si>
  <si>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</si>
  <si>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</si>
  <si>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</si>
  <si>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</si>
  <si>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</si>
  <si>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</si>
  <si>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</si>
  <si>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</si>
  <si>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</si>
  <si>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</si>
  <si>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</si>
  <si>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</si>
  <si>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</si>
  <si>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</si>
  <si>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</si>
  <si>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</si>
  <si>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</si>
  <si>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</si>
  <si>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</si>
  <si>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</si>
  <si>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</si>
  <si>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</si>
  <si>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</si>
  <si>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</si>
  <si>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</si>
  <si>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</si>
  <si>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</si>
  <si>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</si>
  <si>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</si>
  <si>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</si>
  <si>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</si>
  <si>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</si>
  <si>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</si>
  <si>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</si>
  <si>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</si>
  <si>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</si>
  <si>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</si>
  <si>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</si>
  <si>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</si>
  <si>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</si>
  <si>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</si>
  <si>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</si>
  <si>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</si>
  <si>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</si>
  <si>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</si>
  <si>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</si>
  <si>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</si>
  <si>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</si>
  <si>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</si>
  <si>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</si>
  <si>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</si>
  <si>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</si>
  <si>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</si>
  <si>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</si>
  <si>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</si>
  <si>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</si>
  <si>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</si>
  <si>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</si>
  <si>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</si>
  <si>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</si>
  <si>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</si>
  <si>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</si>
  <si>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</si>
  <si>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</si>
  <si>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</si>
  <si>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</si>
  <si>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</si>
  <si>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</si>
  <si>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</si>
  <si>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</si>
  <si>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</si>
  <si>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</si>
  <si>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</si>
  <si>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</si>
  <si>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</si>
  <si>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</si>
  <si>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</si>
  <si>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</si>
  <si>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</si>
  <si>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</si>
  <si>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</si>
  <si>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</si>
  <si>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</si>
  <si>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</si>
  <si>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</si>
  <si>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</si>
  <si>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</si>
  <si>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</si>
  <si>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</si>
  <si>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</si>
  <si>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</si>
  <si>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</si>
  <si>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</si>
  <si>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</si>
  <si>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</si>
  <si>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</si>
  <si>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</si>
  <si>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</si>
  <si>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</si>
  <si>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</si>
  <si>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</si>
  <si>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</si>
  <si>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</si>
  <si>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</si>
  <si>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</si>
  <si>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</si>
  <si>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</si>
  <si>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</si>
  <si>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</si>
  <si>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</si>
  <si>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</si>
  <si>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</si>
  <si>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</si>
  <si>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</si>
  <si>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</si>
  <si>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</si>
  <si>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</si>
  <si>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</si>
  <si>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</si>
  <si>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</si>
  <si>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</si>
  <si>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</si>
  <si>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</si>
  <si>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</si>
  <si>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</si>
  <si>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</si>
  <si>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</si>
  <si>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</si>
  <si>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</si>
  <si>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</si>
  <si>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</si>
  <si>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</si>
  <si>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</si>
  <si>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</si>
  <si>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</si>
  <si>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</si>
  <si>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</si>
  <si>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</si>
  <si>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</si>
  <si>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</si>
  <si>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</si>
  <si>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</si>
  <si>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</si>
  <si>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</si>
  <si>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</si>
  <si>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</si>
  <si>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</si>
  <si>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</si>
  <si>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</si>
  <si>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</si>
  <si>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</si>
  <si>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</si>
  <si>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</si>
  <si>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</si>
  <si>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</si>
  <si>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</si>
  <si>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</si>
  <si>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</si>
  <si>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</si>
  <si>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</si>
  <si>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</si>
  <si>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</si>
  <si>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</si>
  <si>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</si>
  <si>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</si>
  <si>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</si>
  <si>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</si>
  <si>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</si>
  <si>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</si>
  <si>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</si>
  <si>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</si>
  <si>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</si>
  <si>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</si>
  <si>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</si>
  <si>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</si>
  <si>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</si>
  <si>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</si>
  <si>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</si>
  <si>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</si>
  <si>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</si>
  <si>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</si>
  <si>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</si>
  <si>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</si>
  <si>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</si>
  <si>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</si>
  <si>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</si>
  <si>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</si>
  <si>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</si>
  <si>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</si>
  <si>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</si>
  <si>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</si>
  <si>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</si>
  <si>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</si>
  <si>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</si>
  <si>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</si>
  <si>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</si>
  <si>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</si>
  <si>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</si>
  <si>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</si>
  <si>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</si>
  <si>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</si>
  <si>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</si>
  <si>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</si>
  <si>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</si>
  <si>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</si>
  <si>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</si>
  <si>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</si>
  <si>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</si>
  <si>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</si>
  <si>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</si>
  <si>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</si>
  <si>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</si>
  <si>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</si>
  <si>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</si>
  <si>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</si>
  <si>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</si>
  <si>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</si>
  <si>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</si>
  <si>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</si>
  <si>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</si>
  <si>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</si>
  <si>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</si>
  <si>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</si>
  <si>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</si>
  <si>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</si>
  <si>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</si>
  <si>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</si>
  <si>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</si>
  <si>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</si>
  <si>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</si>
  <si>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</si>
  <si>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</si>
  <si>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</si>
  <si>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</si>
  <si>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</si>
  <si>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</si>
  <si>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</si>
  <si>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</si>
  <si>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</si>
  <si>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</si>
  <si>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</si>
  <si>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</si>
  <si>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</si>
  <si>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</si>
  <si>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</si>
  <si>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</si>
  <si>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</si>
  <si>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</si>
  <si>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</si>
  <si>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</si>
  <si>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</si>
  <si>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</si>
  <si>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</si>
  <si>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</si>
  <si>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</si>
  <si>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</si>
  <si>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</si>
  <si>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</si>
  <si>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</si>
  <si>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</si>
  <si>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</si>
  <si>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</si>
  <si>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</si>
  <si>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</si>
  <si>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</si>
  <si>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</si>
  <si>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</si>
  <si>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</si>
  <si>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</si>
  <si>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</si>
  <si>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</si>
  <si>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</si>
  <si>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</si>
  <si>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</si>
  <si>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</si>
  <si>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</si>
  <si>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</si>
  <si>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</si>
  <si>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</si>
  <si>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</si>
  <si>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</si>
  <si>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</si>
  <si>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</si>
  <si>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</si>
  <si>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</si>
  <si>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</si>
  <si>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</si>
  <si>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</si>
  <si>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</si>
  <si>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</si>
  <si>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</si>
  <si>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</si>
  <si>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</si>
  <si>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</si>
  <si>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</si>
  <si>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</si>
  <si>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</si>
  <si>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</si>
  <si>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</si>
  <si>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</si>
  <si>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</si>
  <si>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</si>
  <si>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</si>
  <si>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</si>
  <si>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</si>
  <si>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</si>
  <si>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</si>
  <si>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</si>
  <si>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</si>
  <si>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</si>
  <si>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</si>
  <si>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</si>
  <si>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</si>
  <si>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</si>
  <si>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</si>
  <si>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</si>
  <si>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</si>
  <si>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</si>
  <si>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</si>
  <si>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</si>
  <si>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</si>
  <si>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</si>
  <si>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</si>
  <si>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</si>
  <si>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</si>
  <si>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</si>
  <si>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</si>
  <si>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</si>
  <si>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</si>
  <si>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</si>
  <si>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</si>
  <si>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</si>
  <si>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</si>
  <si>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</si>
  <si>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</si>
  <si>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</si>
  <si>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</si>
  <si>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</si>
  <si>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</si>
  <si>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</si>
  <si>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</si>
  <si>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</si>
  <si>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</si>
  <si>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</si>
  <si>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</si>
  <si>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</si>
  <si>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</si>
  <si>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</si>
  <si>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</si>
  <si>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</si>
  <si>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</si>
  <si>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</si>
  <si>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</si>
  <si>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</si>
  <si>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</si>
  <si>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</si>
  <si>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</si>
  <si>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</si>
  <si>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</si>
  <si>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</si>
  <si>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</si>
  <si>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</si>
  <si>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</si>
  <si>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</si>
  <si>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</si>
  <si>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</si>
  <si>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</si>
  <si>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</si>
  <si>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</si>
  <si>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</si>
  <si>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</si>
  <si>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</si>
  <si>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</si>
  <si>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</si>
  <si>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</si>
  <si>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</si>
  <si>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</si>
  <si>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</si>
  <si>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</si>
  <si>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</si>
  <si>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</si>
  <si>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</si>
  <si>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</si>
  <si>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</si>
  <si>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</si>
  <si>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</si>
  <si>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</si>
  <si>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</si>
  <si>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</si>
  <si>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</si>
  <si>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</si>
  <si>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</si>
  <si>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</si>
  <si>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</si>
  <si>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</si>
  <si>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</si>
  <si>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</si>
  <si>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</si>
  <si>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</si>
  <si>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</si>
  <si>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</si>
  <si>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</si>
  <si>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</si>
  <si>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</si>
  <si>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</si>
  <si>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</si>
  <si>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</si>
  <si>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</si>
  <si>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</si>
  <si>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</si>
  <si>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</si>
  <si>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</si>
  <si>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</si>
  <si>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TOTAL DE ENTRADAS DEL MES      OCTUBRE        2022</t>
  </si>
  <si>
    <t>VARIOS</t>
  </si>
  <si>
    <t>FOLIO CENTRAL 11136</t>
  </si>
  <si>
    <t>A-335866---Nota 3038</t>
  </si>
  <si>
    <t>Transfer S 3-Nov-22</t>
  </si>
  <si>
    <t>A-335940--* Nota 3913</t>
  </si>
  <si>
    <t>A-335847--/*Nota 2741</t>
  </si>
  <si>
    <t>A-335942--Nota 4214</t>
  </si>
  <si>
    <t>FOLIO CENTRAL 11154</t>
  </si>
  <si>
    <t>FOLIO CENTRAL 11147</t>
  </si>
  <si>
    <t>FOLIO CENTRAL 11132</t>
  </si>
  <si>
    <t>FOLIO CENTRAL 11158</t>
  </si>
  <si>
    <t>A-336019--Nota 4467</t>
  </si>
  <si>
    <t>FOLIO CENTRAL 11141</t>
  </si>
  <si>
    <t>A-335877---Nota 3389</t>
  </si>
  <si>
    <t>A-335941--Nota 3801</t>
  </si>
  <si>
    <t>Transfer S 4-Nov-22</t>
  </si>
  <si>
    <t>FOLIO CENTRAL  11153</t>
  </si>
  <si>
    <t>FOLIO CENTRAL 11144</t>
  </si>
  <si>
    <t>A-336123--Nota 3715</t>
  </si>
  <si>
    <t>Transfer S 14-Nov-22</t>
  </si>
  <si>
    <t>Transfer Bnte 14-Nov-22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</si>
</sst>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44" fontId="10" fillId="2" borderId="33" xfId="1" applyFont="1" applyFill="1" applyBorder="1" applyAlignment="1"/>
    <xf numFmtId="44" fontId="10" fillId="2" borderId="33" xfId="1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168" fontId="40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91" xfId="1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44" fontId="83" fillId="0" borderId="33" xfId="1" applyFont="1" applyFill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/>
    </xf>
    <xf numFmtId="44" fontId="10" fillId="2" borderId="91" xfId="1" applyFont="1" applyFill="1" applyBorder="1" applyAlignment="1"/>
    <xf numFmtId="0" fontId="7" fillId="0" borderId="33" xfId="0" applyFont="1" applyBorder="1" applyAlignment="1"/>
    <xf numFmtId="168" fontId="7" fillId="0" borderId="33" xfId="0" applyNumberFormat="1" applyFont="1" applyBorder="1" applyAlignment="1"/>
    <xf numFmtId="4" fontId="7" fillId="0" borderId="33" xfId="0" applyNumberFormat="1" applyFont="1" applyBorder="1" applyAlignment="1"/>
    <xf numFmtId="0" fontId="56" fillId="0" borderId="33" xfId="0" applyFont="1" applyBorder="1" applyAlignment="1">
      <alignment horizontal="center" wrapText="1"/>
    </xf>
    <xf numFmtId="44" fontId="40" fillId="0" borderId="33" xfId="1" applyFont="1" applyFill="1" applyBorder="1" applyAlignment="1">
      <alignment horizontal="center"/>
    </xf>
    <xf numFmtId="0" fontId="40" fillId="0" borderId="91" xfId="0" applyFont="1" applyBorder="1" applyAlignment="1">
      <alignment horizontal="center" vertical="center"/>
    </xf>
    <xf numFmtId="0" fontId="83" fillId="0" borderId="91" xfId="0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center"/>
    </xf>
    <xf numFmtId="0" fontId="56" fillId="0" borderId="33" xfId="0" applyFont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10" fillId="2" borderId="87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/>
    <xf numFmtId="0" fontId="90" fillId="2" borderId="33" xfId="0" applyFont="1" applyFill="1" applyBorder="1" applyAlignment="1">
      <alignment horizontal="left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8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" fontId="7" fillId="23" borderId="33" xfId="0" applyNumberFormat="1" applyFont="1" applyFill="1" applyBorder="1" applyAlignment="1">
      <alignment horizontal="center"/>
    </xf>
    <xf numFmtId="1" fontId="7" fillId="23" borderId="33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FF3399"/>
      <color rgb="FF00FF00"/>
      <color rgb="FF99FFCC"/>
      <color rgb="FF66FFFF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OCTUBRE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OCTUBRE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OCTUBRE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OCTUBRE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OCTUBRE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6148</c:v>
                </c:pt>
                <c:pt idx="1">
                  <c:v>6206</c:v>
                </c:pt>
                <c:pt idx="2">
                  <c:v>6148</c:v>
                </c:pt>
                <c:pt idx="3">
                  <c:v>6119</c:v>
                </c:pt>
                <c:pt idx="4">
                  <c:v>6090</c:v>
                </c:pt>
                <c:pt idx="5">
                  <c:v>6032</c:v>
                </c:pt>
                <c:pt idx="6">
                  <c:v>6264</c:v>
                </c:pt>
                <c:pt idx="7">
                  <c:v>6322</c:v>
                </c:pt>
                <c:pt idx="8">
                  <c:v>6148</c:v>
                </c:pt>
                <c:pt idx="9">
                  <c:v>6438</c:v>
                </c:pt>
                <c:pt idx="10">
                  <c:v>6380</c:v>
                </c:pt>
                <c:pt idx="11">
                  <c:v>6380</c:v>
                </c:pt>
                <c:pt idx="12">
                  <c:v>6264</c:v>
                </c:pt>
                <c:pt idx="13" formatCode="&quot;$&quot;#,##0.00">
                  <c:v>6786</c:v>
                </c:pt>
                <c:pt idx="14" formatCode="&quot;$&quot;#,##0.00">
                  <c:v>6670</c:v>
                </c:pt>
                <c:pt idx="15" formatCode="&quot;$&quot;#,##0.00">
                  <c:v>6786</c:v>
                </c:pt>
                <c:pt idx="16" formatCode="&quot;$&quot;#,##0.00">
                  <c:v>6786</c:v>
                </c:pt>
                <c:pt idx="17" formatCode="&quot;$&quot;#,##0.00">
                  <c:v>6786</c:v>
                </c:pt>
                <c:pt idx="18" formatCode="&quot;$&quot;#,##0.00">
                  <c:v>6525</c:v>
                </c:pt>
                <c:pt idx="19" formatCode="&quot;$&quot;#,##0.00">
                  <c:v>6409</c:v>
                </c:pt>
                <c:pt idx="20" formatCode="&quot;$&quot;#,##0.00">
                  <c:v>6264</c:v>
                </c:pt>
                <c:pt idx="21" formatCode="&quot;$&quot;#,##0.00">
                  <c:v>6438</c:v>
                </c:pt>
                <c:pt idx="22" formatCode="&quot;$&quot;#,##0.00">
                  <c:v>6148</c:v>
                </c:pt>
                <c:pt idx="23" formatCode="&quot;$&quot;#,##0.00">
                  <c:v>6206</c:v>
                </c:pt>
                <c:pt idx="24" formatCode="&quot;$&quot;#,##0.00">
                  <c:v>6206</c:v>
                </c:pt>
                <c:pt idx="25" formatCode="&quot;$&quot;#,##0.00">
                  <c:v>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1062396.3810000001</c:v>
                </c:pt>
                <c:pt idx="2">
                  <c:v>1054004.4641999998</c:v>
                </c:pt>
                <c:pt idx="3">
                  <c:v>1024102.4334000001</c:v>
                </c:pt>
                <c:pt idx="4">
                  <c:v>1039884.9187599999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1085666.054</c:v>
                </c:pt>
                <c:pt idx="8">
                  <c:v>1050549.4015000002</c:v>
                </c:pt>
                <c:pt idx="9">
                  <c:v>1104089.0197000001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1083754.3869000003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1161809.5006500001</c:v>
                </c:pt>
                <c:pt idx="17">
                  <c:v>1117665.0389999999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1046949.3500000001</c:v>
                </c:pt>
                <c:pt idx="21">
                  <c:v>1091599.7006000001</c:v>
                </c:pt>
                <c:pt idx="22">
                  <c:v>1031851.199216</c:v>
                </c:pt>
                <c:pt idx="23">
                  <c:v>1066340.5696</c:v>
                </c:pt>
                <c:pt idx="24">
                  <c:v>1058990.01</c:v>
                </c:pt>
                <c:pt idx="25">
                  <c:v>1042959.8363000001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56.365034477279956</c:v>
                </c:pt>
                <c:pt idx="2">
                  <c:v>56.431943614849331</c:v>
                </c:pt>
                <c:pt idx="3">
                  <c:v>55.584382405191604</c:v>
                </c:pt>
                <c:pt idx="4">
                  <c:v>54.643328390321685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56.545445489474311</c:v>
                </c:pt>
                <c:pt idx="8">
                  <c:v>56.164883926331925</c:v>
                </c:pt>
                <c:pt idx="9">
                  <c:v>58.273633224793464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56.770748176346643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61.338759666979421</c:v>
                </c:pt>
                <c:pt idx="17">
                  <c:v>59.822832875570413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56.797221647580756</c:v>
                </c:pt>
                <c:pt idx="21">
                  <c:v>57.056197593605219</c:v>
                </c:pt>
                <c:pt idx="22">
                  <c:v>56.802660420561416</c:v>
                </c:pt>
                <c:pt idx="23">
                  <c:v>57.077855709324076</c:v>
                </c:pt>
                <c:pt idx="24">
                  <c:v>55.426319171612477</c:v>
                </c:pt>
                <c:pt idx="25">
                  <c:v>55.456745572085964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I14" activePane="bottomRight" state="frozen"/>
      <selection pane="topRight" activeCell="B1" sqref="B1"/>
      <selection pane="bottomLeft" activeCell="A3" sqref="A3"/>
      <selection pane="bottomRight" activeCell="U17" sqref="U1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2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592</v>
      </c>
      <c r="C1" s="521"/>
      <c r="D1" s="522"/>
      <c r="E1" s="523"/>
      <c r="F1" s="524"/>
      <c r="G1" s="525"/>
      <c r="H1" s="524"/>
      <c r="I1" s="526"/>
      <c r="J1" s="527"/>
      <c r="K1" s="1067" t="s">
        <v>26</v>
      </c>
      <c r="L1" s="684"/>
      <c r="M1" s="1069" t="s">
        <v>27</v>
      </c>
      <c r="N1" s="345"/>
      <c r="P1" s="97" t="s">
        <v>38</v>
      </c>
      <c r="Q1" s="1065" t="s">
        <v>28</v>
      </c>
      <c r="R1" s="695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68"/>
      <c r="L2" s="685" t="s">
        <v>29</v>
      </c>
      <c r="M2" s="1070"/>
      <c r="N2" s="346" t="s">
        <v>29</v>
      </c>
      <c r="O2" s="395" t="s">
        <v>30</v>
      </c>
      <c r="P2" s="98" t="s">
        <v>39</v>
      </c>
      <c r="Q2" s="1066"/>
      <c r="R2" s="708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6"/>
      <c r="M3" s="361"/>
      <c r="N3" s="345"/>
      <c r="O3" s="127"/>
      <c r="P3" s="116"/>
      <c r="Q3" s="245"/>
      <c r="R3" s="696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7" t="str">
        <f>PIERNA!B4</f>
        <v>TYSON FRESH MEATS</v>
      </c>
      <c r="C4" s="878" t="str">
        <f>PIERNA!C4</f>
        <v xml:space="preserve">I B P </v>
      </c>
      <c r="D4" s="879" t="str">
        <f>PIERNA!D4</f>
        <v>PED. 88013413</v>
      </c>
      <c r="E4" s="880">
        <f>PIERNA!E4</f>
        <v>44838</v>
      </c>
      <c r="F4" s="630">
        <f>PIERNA!F4</f>
        <v>18696.48</v>
      </c>
      <c r="G4" s="384">
        <f>PIERNA!G4</f>
        <v>20</v>
      </c>
      <c r="H4" s="418">
        <f>PIERNA!H4</f>
        <v>18730.080000000002</v>
      </c>
      <c r="I4" s="754">
        <f>PIERNA!I4</f>
        <v>-33.600000000002183</v>
      </c>
      <c r="J4" s="897" t="s">
        <v>292</v>
      </c>
      <c r="K4" s="747">
        <v>12161</v>
      </c>
      <c r="L4" s="625" t="s">
        <v>315</v>
      </c>
      <c r="M4" s="389">
        <v>33640</v>
      </c>
      <c r="N4" s="920" t="s">
        <v>316</v>
      </c>
      <c r="O4" s="397">
        <v>1123520</v>
      </c>
      <c r="P4" s="1030">
        <v>6148</v>
      </c>
      <c r="Q4" s="536">
        <f>48663.8*20.04</f>
        <v>975222.55200000003</v>
      </c>
      <c r="R4" s="919" t="s">
        <v>313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1" t="str">
        <f>PIERNA!B5</f>
        <v>SEABOARD FOODS</v>
      </c>
      <c r="C5" s="272" t="str">
        <f>PIERNA!C5</f>
        <v>Seaboard</v>
      </c>
      <c r="D5" s="628" t="str">
        <f>PIERNA!D5</f>
        <v>PED. 88012949</v>
      </c>
      <c r="E5" s="629">
        <f>PIERNA!E5</f>
        <v>44838</v>
      </c>
      <c r="F5" s="630">
        <f>PIERNA!F5</f>
        <v>18828.52</v>
      </c>
      <c r="G5" s="384">
        <f>PIERNA!G5</f>
        <v>21</v>
      </c>
      <c r="H5" s="418">
        <f>PIERNA!H5</f>
        <v>18882</v>
      </c>
      <c r="I5" s="754">
        <f>PIERNA!I5</f>
        <v>-53.479999999999563</v>
      </c>
      <c r="J5" s="852" t="s">
        <v>293</v>
      </c>
      <c r="K5" s="756">
        <v>11151</v>
      </c>
      <c r="L5" s="853" t="s">
        <v>315</v>
      </c>
      <c r="M5" s="835">
        <v>33640</v>
      </c>
      <c r="N5" s="854" t="s">
        <v>316</v>
      </c>
      <c r="O5" s="855">
        <v>2089822</v>
      </c>
      <c r="P5" s="1030">
        <v>6206</v>
      </c>
      <c r="Q5" s="560">
        <f>49724.65*20.34</f>
        <v>1011399.3810000001</v>
      </c>
      <c r="R5" s="900" t="s">
        <v>301</v>
      </c>
      <c r="S5" s="65">
        <f>Q5+M5+K5+P5</f>
        <v>1062396.3810000001</v>
      </c>
      <c r="T5" s="65">
        <f>S5/H5+0.1</f>
        <v>56.365034477279956</v>
      </c>
      <c r="U5" s="188"/>
    </row>
    <row r="6" spans="1:29" s="152" customFormat="1" ht="30" customHeight="1" x14ac:dyDescent="0.25">
      <c r="A6" s="100">
        <v>3</v>
      </c>
      <c r="B6" s="632" t="str">
        <f>PIERNA!B6</f>
        <v>SEABOARD FOODS</v>
      </c>
      <c r="C6" s="272" t="str">
        <f>PIERNA!C6</f>
        <v>Seaboard</v>
      </c>
      <c r="D6" s="628" t="str">
        <f>PIERNA!D6</f>
        <v>PED. 88013415</v>
      </c>
      <c r="E6" s="629">
        <f>PIERNA!E6</f>
        <v>44838</v>
      </c>
      <c r="F6" s="630">
        <f>PIERNA!F6</f>
        <v>18725.03</v>
      </c>
      <c r="G6" s="384">
        <f>PIERNA!G6</f>
        <v>21</v>
      </c>
      <c r="H6" s="418">
        <f>PIERNA!H6</f>
        <v>18710.599999999999</v>
      </c>
      <c r="I6" s="754">
        <f>PIERNA!I6</f>
        <v>14.430000000000291</v>
      </c>
      <c r="J6" s="852" t="s">
        <v>294</v>
      </c>
      <c r="K6" s="834">
        <v>12001</v>
      </c>
      <c r="L6" s="853" t="s">
        <v>315</v>
      </c>
      <c r="M6" s="835">
        <v>33640</v>
      </c>
      <c r="N6" s="854" t="s">
        <v>316</v>
      </c>
      <c r="O6" s="858">
        <v>2089821</v>
      </c>
      <c r="P6" s="1030">
        <v>6148</v>
      </c>
      <c r="Q6" s="901">
        <f>49273.13*20.34</f>
        <v>1002215.4641999999</v>
      </c>
      <c r="R6" s="902" t="s">
        <v>301</v>
      </c>
      <c r="S6" s="65">
        <f t="shared" si="0"/>
        <v>1054004.4641999998</v>
      </c>
      <c r="T6" s="65">
        <f t="shared" ref="T6:T31" si="1">S6/H6+0.1</f>
        <v>56.431943614849331</v>
      </c>
      <c r="U6" s="212"/>
    </row>
    <row r="7" spans="1:29" s="152" customFormat="1" ht="30" customHeight="1" x14ac:dyDescent="0.3">
      <c r="A7" s="100">
        <v>4</v>
      </c>
      <c r="B7" s="633" t="str">
        <f>PIERNA!B7</f>
        <v>TYSON FRESH MEATS</v>
      </c>
      <c r="C7" s="272" t="str">
        <f>PIERNA!C7</f>
        <v xml:space="preserve">I B P </v>
      </c>
      <c r="D7" s="628" t="str">
        <f>PIERNA!D7</f>
        <v>PED. 88053310</v>
      </c>
      <c r="E7" s="629">
        <f>PIERNA!E7</f>
        <v>44839</v>
      </c>
      <c r="F7" s="630">
        <f>PIERNA!F7</f>
        <v>18386.240000000002</v>
      </c>
      <c r="G7" s="384">
        <f>PIERNA!G7</f>
        <v>20</v>
      </c>
      <c r="H7" s="418">
        <f>PIERNA!H7</f>
        <v>18457.490000000002</v>
      </c>
      <c r="I7" s="754">
        <f>PIERNA!I7</f>
        <v>-71.25</v>
      </c>
      <c r="J7" s="896" t="s">
        <v>295</v>
      </c>
      <c r="K7" s="834">
        <v>11151</v>
      </c>
      <c r="L7" s="868" t="s">
        <v>312</v>
      </c>
      <c r="M7" s="835">
        <v>33640</v>
      </c>
      <c r="N7" s="854" t="s">
        <v>317</v>
      </c>
      <c r="O7" s="858">
        <v>1125993</v>
      </c>
      <c r="P7" s="1030">
        <v>6119</v>
      </c>
      <c r="Q7" s="394">
        <f>48708.33*19.98</f>
        <v>973192.4334000001</v>
      </c>
      <c r="R7" s="857" t="s">
        <v>314</v>
      </c>
      <c r="S7" s="65">
        <f t="shared" si="0"/>
        <v>1024102.4334000001</v>
      </c>
      <c r="T7" s="65">
        <f t="shared" si="1"/>
        <v>55.584382405191604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8" t="str">
        <f>PIERNA!D8</f>
        <v>PED. 88074555</v>
      </c>
      <c r="E8" s="629">
        <f>PIERNA!E8</f>
        <v>44840</v>
      </c>
      <c r="F8" s="630">
        <f>PIERNA!F8</f>
        <v>18990.62</v>
      </c>
      <c r="G8" s="384">
        <f>PIERNA!G8</f>
        <v>21</v>
      </c>
      <c r="H8" s="418">
        <f>PIERNA!H8</f>
        <v>19065.3</v>
      </c>
      <c r="I8" s="754">
        <f>PIERNA!I8</f>
        <v>-74.680000000000291</v>
      </c>
      <c r="J8" s="852" t="s">
        <v>296</v>
      </c>
      <c r="K8" s="834">
        <v>11151</v>
      </c>
      <c r="L8" s="853" t="s">
        <v>313</v>
      </c>
      <c r="M8" s="835">
        <v>33640</v>
      </c>
      <c r="N8" s="860" t="s">
        <v>317</v>
      </c>
      <c r="O8" s="858">
        <v>209454</v>
      </c>
      <c r="P8" s="1030">
        <v>6090</v>
      </c>
      <c r="Q8" s="903">
        <f>49026.12*20.173</f>
        <v>989003.91875999991</v>
      </c>
      <c r="R8" s="904" t="s">
        <v>302</v>
      </c>
      <c r="S8" s="65">
        <f t="shared" si="0"/>
        <v>1039884.9187599999</v>
      </c>
      <c r="T8" s="65">
        <f t="shared" si="1"/>
        <v>54.643328390321685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1" t="str">
        <f>PIERNA!B9</f>
        <v>SEABOARD FOODS</v>
      </c>
      <c r="C9" s="272" t="str">
        <f>PIERNA!C9</f>
        <v>Seaboard</v>
      </c>
      <c r="D9" s="628" t="str">
        <f>PIERNA!D9</f>
        <v>PED. 88157564</v>
      </c>
      <c r="E9" s="629">
        <f>PIERNA!E9</f>
        <v>44841</v>
      </c>
      <c r="F9" s="630">
        <f>PIERNA!F9</f>
        <v>18628.8</v>
      </c>
      <c r="G9" s="384">
        <f>PIERNA!G9</f>
        <v>21</v>
      </c>
      <c r="H9" s="418">
        <f>PIERNA!H9</f>
        <v>18643.5</v>
      </c>
      <c r="I9" s="754">
        <f>PIERNA!I9</f>
        <v>-14.700000000000728</v>
      </c>
      <c r="J9" s="852" t="s">
        <v>300</v>
      </c>
      <c r="K9" s="834">
        <v>10101</v>
      </c>
      <c r="L9" s="861" t="s">
        <v>313</v>
      </c>
      <c r="M9" s="835">
        <v>33640</v>
      </c>
      <c r="N9" s="860" t="s">
        <v>318</v>
      </c>
      <c r="O9" s="862">
        <v>2090791</v>
      </c>
      <c r="P9" s="1030">
        <v>6032</v>
      </c>
      <c r="Q9" s="560">
        <f>48894.94*20.13</f>
        <v>984255.1422</v>
      </c>
      <c r="R9" s="905" t="s">
        <v>303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8" t="str">
        <f>PIERNA!D10</f>
        <v>PED. 88305377</v>
      </c>
      <c r="E10" s="629">
        <f>PIERNA!E10</f>
        <v>44845</v>
      </c>
      <c r="F10" s="630">
        <f>PIERNA!F10</f>
        <v>18440.98</v>
      </c>
      <c r="G10" s="384">
        <f>PIERNA!G10</f>
        <v>20</v>
      </c>
      <c r="H10" s="418">
        <f>PIERNA!H10</f>
        <v>18514.62</v>
      </c>
      <c r="I10" s="754">
        <f>PIERNA!I10</f>
        <v>-73.639999999999418</v>
      </c>
      <c r="J10" s="864" t="s">
        <v>333</v>
      </c>
      <c r="K10" s="834">
        <v>12151</v>
      </c>
      <c r="L10" s="861" t="s">
        <v>346</v>
      </c>
      <c r="M10" s="835">
        <v>33640</v>
      </c>
      <c r="N10" s="860" t="s">
        <v>348</v>
      </c>
      <c r="O10" s="862">
        <v>1135545</v>
      </c>
      <c r="P10" s="1030">
        <v>6264</v>
      </c>
      <c r="Q10" s="536">
        <f>50100.02*19.98</f>
        <v>1000998.3996</v>
      </c>
      <c r="R10" s="863" t="s">
        <v>343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8" t="str">
        <f>PIERNA!D11</f>
        <v>PED. 883455446</v>
      </c>
      <c r="E11" s="629">
        <f>PIERNA!E11</f>
        <v>44846</v>
      </c>
      <c r="F11" s="630">
        <f>PIERNA!F11</f>
        <v>19100.54</v>
      </c>
      <c r="G11" s="384">
        <f>PIERNA!G11</f>
        <v>21</v>
      </c>
      <c r="H11" s="418">
        <f>PIERNA!H11</f>
        <v>19233.900000000001</v>
      </c>
      <c r="I11" s="754">
        <f>PIERNA!I11</f>
        <v>-133.36000000000058</v>
      </c>
      <c r="J11" s="852" t="s">
        <v>334</v>
      </c>
      <c r="K11" s="834">
        <v>12001</v>
      </c>
      <c r="L11" s="861" t="s">
        <v>348</v>
      </c>
      <c r="M11" s="835">
        <v>33640</v>
      </c>
      <c r="N11" s="860" t="s">
        <v>349</v>
      </c>
      <c r="O11" s="865">
        <v>2092736</v>
      </c>
      <c r="P11" s="1030">
        <v>6322</v>
      </c>
      <c r="Q11" s="536">
        <f>51749.84*19.975</f>
        <v>1033703.054</v>
      </c>
      <c r="R11" s="863" t="s">
        <v>311</v>
      </c>
      <c r="S11" s="65">
        <f t="shared" si="0"/>
        <v>1085666.054</v>
      </c>
      <c r="T11" s="65">
        <f t="shared" si="1"/>
        <v>56.545445489474311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8" t="str">
        <f>PIERNA!D12</f>
        <v>PED. 88346414</v>
      </c>
      <c r="E12" s="629">
        <f>PIERNA!E12</f>
        <v>44846</v>
      </c>
      <c r="F12" s="630">
        <f>PIERNA!F12</f>
        <v>18667.43</v>
      </c>
      <c r="G12" s="384">
        <f>PIERNA!G12</f>
        <v>21</v>
      </c>
      <c r="H12" s="418">
        <f>PIERNA!H12</f>
        <v>18738.099999999999</v>
      </c>
      <c r="I12" s="754">
        <f>PIERNA!I12</f>
        <v>-70.669999999998254</v>
      </c>
      <c r="J12" s="852" t="s">
        <v>335</v>
      </c>
      <c r="K12" s="834">
        <v>9851</v>
      </c>
      <c r="L12" s="861" t="s">
        <v>348</v>
      </c>
      <c r="M12" s="835">
        <v>33640</v>
      </c>
      <c r="N12" s="860" t="s">
        <v>349</v>
      </c>
      <c r="O12" s="865">
        <v>2092737</v>
      </c>
      <c r="P12" s="1030">
        <v>6148</v>
      </c>
      <c r="Q12" s="536">
        <f>50415.94*19.975</f>
        <v>1007058.4015000002</v>
      </c>
      <c r="R12" s="863" t="s">
        <v>311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3" t="str">
        <f>PIERNA!B13</f>
        <v>SEABOARD FOODS</v>
      </c>
      <c r="C13" s="272" t="str">
        <f>PIERNA!C13</f>
        <v>Seaboard</v>
      </c>
      <c r="D13" s="628" t="str">
        <f>PIERNA!D13</f>
        <v>PED. 88414702</v>
      </c>
      <c r="E13" s="629">
        <f>PIERNA!E13</f>
        <v>44847</v>
      </c>
      <c r="F13" s="630">
        <f>PIERNA!F13</f>
        <v>18939.02</v>
      </c>
      <c r="G13" s="384">
        <f>PIERNA!G13</f>
        <v>21</v>
      </c>
      <c r="H13" s="418">
        <f>PIERNA!H13</f>
        <v>18979.2</v>
      </c>
      <c r="I13" s="754">
        <f>PIERNA!I13</f>
        <v>-40.180000000000291</v>
      </c>
      <c r="J13" s="866" t="s">
        <v>339</v>
      </c>
      <c r="K13" s="834">
        <v>10101</v>
      </c>
      <c r="L13" s="861" t="s">
        <v>349</v>
      </c>
      <c r="M13" s="835">
        <v>33640</v>
      </c>
      <c r="N13" s="860" t="s">
        <v>350</v>
      </c>
      <c r="O13" s="865">
        <v>2092738</v>
      </c>
      <c r="P13" s="1030">
        <v>6438</v>
      </c>
      <c r="Q13" s="394">
        <f>52511.71*20.07</f>
        <v>1053910.0197000001</v>
      </c>
      <c r="R13" s="863" t="s">
        <v>352</v>
      </c>
      <c r="S13" s="65">
        <f t="shared" si="0"/>
        <v>1104089.0197000001</v>
      </c>
      <c r="T13" s="65">
        <f t="shared" si="1"/>
        <v>58.273633224793464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3" t="str">
        <f>PIERNA!B14</f>
        <v>SEABOARD FOODS</v>
      </c>
      <c r="C14" s="272" t="str">
        <f>PIERNA!C14</f>
        <v>Seaboard</v>
      </c>
      <c r="D14" s="628" t="str">
        <f>PIERNA!D14</f>
        <v>PED. 88420233</v>
      </c>
      <c r="E14" s="629">
        <f>PIERNA!E14</f>
        <v>44847</v>
      </c>
      <c r="F14" s="630">
        <f>PIERNA!F14</f>
        <v>18969.060000000001</v>
      </c>
      <c r="G14" s="384">
        <f>PIERNA!G14</f>
        <v>21</v>
      </c>
      <c r="H14" s="418">
        <f>PIERNA!H14</f>
        <v>19045.099999999999</v>
      </c>
      <c r="I14" s="754">
        <f>PIERNA!I14</f>
        <v>-76.039999999997235</v>
      </c>
      <c r="J14" s="864" t="s">
        <v>340</v>
      </c>
      <c r="K14" s="834">
        <v>12151</v>
      </c>
      <c r="L14" s="861" t="s">
        <v>349</v>
      </c>
      <c r="M14" s="835">
        <v>33640</v>
      </c>
      <c r="N14" s="860" t="s">
        <v>350</v>
      </c>
      <c r="O14" s="862">
        <v>2093537</v>
      </c>
      <c r="P14" s="1030">
        <v>6380</v>
      </c>
      <c r="Q14" s="394">
        <f>51966.07*20.05</f>
        <v>1041919.7035000001</v>
      </c>
      <c r="R14" s="867" t="s">
        <v>398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7" t="str">
        <f>PIERNA!B15</f>
        <v>SEABOARD FOODS</v>
      </c>
      <c r="C15" s="272" t="str">
        <f>PIERNA!C15</f>
        <v>Seaboard</v>
      </c>
      <c r="D15" s="628" t="str">
        <f>PIERNA!D15</f>
        <v>PED. 88455281</v>
      </c>
      <c r="E15" s="629">
        <f>PIERNA!E15</f>
        <v>44848</v>
      </c>
      <c r="F15" s="630">
        <f>PIERNA!F15</f>
        <v>18949.18</v>
      </c>
      <c r="G15" s="384">
        <f>PIERNA!G15</f>
        <v>21</v>
      </c>
      <c r="H15" s="418">
        <f>PIERNA!H15</f>
        <v>19005.400000000001</v>
      </c>
      <c r="I15" s="754">
        <f>PIERNA!I15</f>
        <v>-56.220000000001164</v>
      </c>
      <c r="J15" s="866" t="s">
        <v>341</v>
      </c>
      <c r="K15" s="834">
        <v>11151</v>
      </c>
      <c r="L15" s="861" t="s">
        <v>350</v>
      </c>
      <c r="M15" s="835">
        <v>33640</v>
      </c>
      <c r="N15" s="868" t="s">
        <v>351</v>
      </c>
      <c r="O15" s="869">
        <v>2093538</v>
      </c>
      <c r="P15" s="1030">
        <v>6380</v>
      </c>
      <c r="Q15" s="394">
        <f>51862.11*19.98</f>
        <v>1036204.9578000001</v>
      </c>
      <c r="R15" s="870" t="s">
        <v>314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3" t="str">
        <f>PIERNA!B16</f>
        <v>TYSON FRESH MEAT</v>
      </c>
      <c r="C16" s="272" t="str">
        <f>PIERNA!C16</f>
        <v xml:space="preserve">I B  P </v>
      </c>
      <c r="D16" s="628" t="str">
        <f>PIERNA!D16</f>
        <v>PED. 88454674</v>
      </c>
      <c r="E16" s="629">
        <f>PIERNA!E16</f>
        <v>44848</v>
      </c>
      <c r="F16" s="630">
        <f>PIERNA!F16</f>
        <v>19065.310000000001</v>
      </c>
      <c r="G16" s="384">
        <f>PIERNA!G16</f>
        <v>20</v>
      </c>
      <c r="H16" s="418">
        <f>PIERNA!H16</f>
        <v>19123.7</v>
      </c>
      <c r="I16" s="754">
        <f>PIERNA!I16</f>
        <v>-58.389999999999418</v>
      </c>
      <c r="J16" s="871" t="s">
        <v>342</v>
      </c>
      <c r="K16" s="834">
        <v>12161</v>
      </c>
      <c r="L16" s="861" t="s">
        <v>350</v>
      </c>
      <c r="M16" s="835">
        <v>33640</v>
      </c>
      <c r="N16" s="868" t="s">
        <v>351</v>
      </c>
      <c r="O16" s="865">
        <v>1141340</v>
      </c>
      <c r="P16" s="1030">
        <v>6264</v>
      </c>
      <c r="Q16" s="536">
        <f>51558.69*20.01</f>
        <v>1031689.3869000002</v>
      </c>
      <c r="R16" s="863" t="s">
        <v>347</v>
      </c>
      <c r="S16" s="65">
        <f t="shared" si="0"/>
        <v>1083754.3869000003</v>
      </c>
      <c r="T16" s="65">
        <f t="shared" si="1"/>
        <v>56.770748176346643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1" t="str">
        <f>PIERNA!B17</f>
        <v>SEABOARD FOODS</v>
      </c>
      <c r="C17" s="272" t="str">
        <f>PIERNA!C17</f>
        <v>Seaboard</v>
      </c>
      <c r="D17" s="628" t="str">
        <f>PIERNA!D17</f>
        <v>PED. 88637175</v>
      </c>
      <c r="E17" s="629">
        <f>PIERNA!E17</f>
        <v>44852</v>
      </c>
      <c r="F17" s="630">
        <f>PIERNA!F17</f>
        <v>18989.669999999998</v>
      </c>
      <c r="G17" s="384">
        <f>PIERNA!G17</f>
        <v>21</v>
      </c>
      <c r="H17" s="418">
        <f>PIERNA!H17</f>
        <v>18968.7</v>
      </c>
      <c r="I17" s="754">
        <f>PIERNA!I17</f>
        <v>20.969999999997526</v>
      </c>
      <c r="J17" s="872" t="s">
        <v>362</v>
      </c>
      <c r="K17" s="834">
        <v>12161</v>
      </c>
      <c r="L17" s="861" t="s">
        <v>404</v>
      </c>
      <c r="M17" s="835">
        <v>33640</v>
      </c>
      <c r="N17" s="868" t="s">
        <v>404</v>
      </c>
      <c r="O17" s="1185">
        <v>2095479</v>
      </c>
      <c r="P17" s="1182">
        <v>6786</v>
      </c>
      <c r="Q17" s="536">
        <f>55544*20.05</f>
        <v>1113657.2</v>
      </c>
      <c r="R17" s="863" t="s">
        <v>400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1" t="str">
        <f>PIERNA!B18</f>
        <v>TYSON FRESH MEAT</v>
      </c>
      <c r="C18" s="272" t="str">
        <f>PIERNA!C18</f>
        <v xml:space="preserve">I B P </v>
      </c>
      <c r="D18" s="628" t="str">
        <f>PIERNA!D18</f>
        <v>PED. 88573246</v>
      </c>
      <c r="E18" s="629">
        <f>PIERNA!E18</f>
        <v>44852</v>
      </c>
      <c r="F18" s="630">
        <f>PIERNA!F18</f>
        <v>18705.12</v>
      </c>
      <c r="G18" s="384">
        <f>PIERNA!G18</f>
        <v>20</v>
      </c>
      <c r="H18" s="418">
        <f>PIERNA!H18</f>
        <v>18721.02</v>
      </c>
      <c r="I18" s="754">
        <f>PIERNA!I18</f>
        <v>-15.900000000001455</v>
      </c>
      <c r="J18" s="896">
        <v>78647</v>
      </c>
      <c r="K18" s="834">
        <v>12001</v>
      </c>
      <c r="L18" s="861" t="s">
        <v>402</v>
      </c>
      <c r="M18" s="835">
        <v>33640</v>
      </c>
      <c r="N18" s="868" t="s">
        <v>403</v>
      </c>
      <c r="O18" s="1183">
        <v>1145150</v>
      </c>
      <c r="P18" s="1182">
        <v>6670</v>
      </c>
      <c r="Q18" s="536">
        <f>54022.23*20.08</f>
        <v>1084766.3784</v>
      </c>
      <c r="R18" s="867" t="s">
        <v>396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1" t="str">
        <f>PIERNA!B19</f>
        <v>TYSON FRERH MEAT</v>
      </c>
      <c r="C19" s="272" t="str">
        <f>PIERNA!C19</f>
        <v xml:space="preserve">I B P </v>
      </c>
      <c r="D19" s="628" t="str">
        <f>PIERNA!D19</f>
        <v>PED. 8637858</v>
      </c>
      <c r="E19" s="629">
        <f>PIERNA!E19</f>
        <v>44853</v>
      </c>
      <c r="F19" s="630">
        <f>PIERNA!F19</f>
        <v>18392.509999999998</v>
      </c>
      <c r="G19" s="384">
        <f>PIERNA!G19</f>
        <v>20</v>
      </c>
      <c r="H19" s="418">
        <f>PIERNA!H19</f>
        <v>18468.36</v>
      </c>
      <c r="I19" s="754">
        <f>PIERNA!I19</f>
        <v>-75.850000000002183</v>
      </c>
      <c r="J19" s="896">
        <v>78684</v>
      </c>
      <c r="K19" s="834">
        <v>11151</v>
      </c>
      <c r="L19" s="861" t="s">
        <v>404</v>
      </c>
      <c r="M19" s="835">
        <v>33640</v>
      </c>
      <c r="N19" s="860" t="s">
        <v>404</v>
      </c>
      <c r="O19" s="1184">
        <v>1145927</v>
      </c>
      <c r="P19" s="1182">
        <v>6786</v>
      </c>
      <c r="Q19" s="536">
        <f>54180.78*19.94</f>
        <v>1080364.7532000002</v>
      </c>
      <c r="R19" s="854" t="s">
        <v>394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3" t="str">
        <f>PIERNA!B20</f>
        <v>SEABOARD FOODS</v>
      </c>
      <c r="C20" s="272" t="str">
        <f>PIERNA!C20</f>
        <v>Seaboard</v>
      </c>
      <c r="D20" s="628" t="str">
        <f>PIERNA!D20</f>
        <v>PED. 8685317</v>
      </c>
      <c r="E20" s="629">
        <f>PIERNA!E20</f>
        <v>44854</v>
      </c>
      <c r="F20" s="630">
        <f>PIERNA!F20</f>
        <v>19018.57</v>
      </c>
      <c r="G20" s="384">
        <f>PIERNA!G20</f>
        <v>21</v>
      </c>
      <c r="H20" s="418">
        <f>PIERNA!H20</f>
        <v>18971.8</v>
      </c>
      <c r="I20" s="754">
        <f>PIERNA!I20</f>
        <v>46.770000000000437</v>
      </c>
      <c r="J20" s="852" t="s">
        <v>366</v>
      </c>
      <c r="K20" s="834">
        <v>11151</v>
      </c>
      <c r="L20" s="861" t="s">
        <v>404</v>
      </c>
      <c r="M20" s="835">
        <v>33640</v>
      </c>
      <c r="N20" s="860" t="s">
        <v>405</v>
      </c>
      <c r="O20" s="1184">
        <v>2095478</v>
      </c>
      <c r="P20" s="1182">
        <v>6786</v>
      </c>
      <c r="Q20" s="536">
        <f>55553.29*19.985</f>
        <v>1110232.5006500001</v>
      </c>
      <c r="R20" s="854" t="s">
        <v>399</v>
      </c>
      <c r="S20" s="65">
        <f t="shared" si="0"/>
        <v>1161809.5006500001</v>
      </c>
      <c r="T20" s="65">
        <f t="shared" si="1"/>
        <v>61.338759666979421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8" t="str">
        <f>PIERNA!D21</f>
        <v>PED. 8685318</v>
      </c>
      <c r="E21" s="629">
        <f>PIERNA!E21</f>
        <v>44854</v>
      </c>
      <c r="F21" s="630">
        <f>PIERNA!F21</f>
        <v>18726.77</v>
      </c>
      <c r="G21" s="384">
        <f>PIERNA!G21</f>
        <v>21</v>
      </c>
      <c r="H21" s="418">
        <f>PIERNA!H21</f>
        <v>18714.2</v>
      </c>
      <c r="I21" s="754">
        <f>PIERNA!I21</f>
        <v>12.569999999999709</v>
      </c>
      <c r="J21" s="852" t="s">
        <v>367</v>
      </c>
      <c r="K21" s="834">
        <v>9851</v>
      </c>
      <c r="L21" s="861" t="s">
        <v>404</v>
      </c>
      <c r="M21" s="835">
        <v>33640</v>
      </c>
      <c r="N21" s="860" t="s">
        <v>405</v>
      </c>
      <c r="O21" s="1185">
        <v>2095480</v>
      </c>
      <c r="P21" s="1182">
        <v>6786</v>
      </c>
      <c r="Q21" s="536">
        <f>53396.1*19.99</f>
        <v>1067388.0389999999</v>
      </c>
      <c r="R21" s="854" t="s">
        <v>401</v>
      </c>
      <c r="S21" s="65">
        <f t="shared" si="0"/>
        <v>1117665.0389999999</v>
      </c>
      <c r="T21" s="65">
        <f t="shared" si="1"/>
        <v>59.822832875570413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8" t="str">
        <f>PIERNA!D22</f>
        <v>PED. 88759310</v>
      </c>
      <c r="E22" s="629">
        <f>PIERNA!E22</f>
        <v>44855</v>
      </c>
      <c r="F22" s="630">
        <f>PIERNA!F22</f>
        <v>19138.55</v>
      </c>
      <c r="G22" s="384">
        <f>PIERNA!G22</f>
        <v>21</v>
      </c>
      <c r="H22" s="418">
        <f>PIERNA!H22</f>
        <v>19147.7</v>
      </c>
      <c r="I22" s="754">
        <f>PIERNA!I22</f>
        <v>-9.1500000000014552</v>
      </c>
      <c r="J22" s="864" t="s">
        <v>368</v>
      </c>
      <c r="K22" s="834">
        <v>9851</v>
      </c>
      <c r="L22" s="861" t="s">
        <v>405</v>
      </c>
      <c r="M22" s="835">
        <v>33640</v>
      </c>
      <c r="N22" s="860" t="s">
        <v>406</v>
      </c>
      <c r="O22" s="1185">
        <v>2096816</v>
      </c>
      <c r="P22" s="1182">
        <v>6525</v>
      </c>
      <c r="Q22" s="536">
        <f>53350.05*20.075</f>
        <v>1071002.2537499999</v>
      </c>
      <c r="R22" s="854" t="s">
        <v>393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8" t="str">
        <f>PIERNA!D23</f>
        <v>PED. 88765000</v>
      </c>
      <c r="E23" s="629">
        <f>PIERNA!E23</f>
        <v>44856</v>
      </c>
      <c r="F23" s="630">
        <f>PIERNA!F23</f>
        <v>18739.82</v>
      </c>
      <c r="G23" s="384">
        <f>PIERNA!G23</f>
        <v>21</v>
      </c>
      <c r="H23" s="418">
        <f>PIERNA!H23</f>
        <v>18825.7</v>
      </c>
      <c r="I23" s="754">
        <f>PIERNA!I23</f>
        <v>-85.880000000001019</v>
      </c>
      <c r="J23" s="852" t="s">
        <v>369</v>
      </c>
      <c r="K23" s="834">
        <v>12161</v>
      </c>
      <c r="L23" s="861" t="s">
        <v>405</v>
      </c>
      <c r="M23" s="835">
        <v>27840</v>
      </c>
      <c r="N23" s="860" t="s">
        <v>410</v>
      </c>
      <c r="O23" s="1183">
        <v>2096749</v>
      </c>
      <c r="P23" s="1182">
        <v>6409</v>
      </c>
      <c r="Q23" s="536">
        <f>52452.76*20.01</f>
        <v>1049579.7276000001</v>
      </c>
      <c r="R23" s="854" t="s">
        <v>347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1" t="str">
        <f>PIERNA!B24</f>
        <v>TYSON FRESH MEAT</v>
      </c>
      <c r="C24" s="272" t="str">
        <f>PIERNA!C24</f>
        <v xml:space="preserve">I B P </v>
      </c>
      <c r="D24" s="634" t="str">
        <f>PIERNA!D24</f>
        <v>PED. 88868166</v>
      </c>
      <c r="E24" s="629">
        <f>PIERNA!E24</f>
        <v>44859</v>
      </c>
      <c r="F24" s="630">
        <f>PIERNA!F24</f>
        <v>18420.43</v>
      </c>
      <c r="G24" s="384">
        <f>PIERNA!G24</f>
        <v>20</v>
      </c>
      <c r="H24" s="418">
        <f>PIERNA!H24</f>
        <v>18465.62</v>
      </c>
      <c r="I24" s="754">
        <f>PIERNA!I24</f>
        <v>-45.18999999999869</v>
      </c>
      <c r="J24" s="896">
        <v>78673</v>
      </c>
      <c r="K24" s="834">
        <v>11151</v>
      </c>
      <c r="L24" s="861" t="s">
        <v>407</v>
      </c>
      <c r="M24" s="835">
        <v>33640</v>
      </c>
      <c r="N24" s="860" t="s">
        <v>408</v>
      </c>
      <c r="O24" s="1184">
        <v>1155179</v>
      </c>
      <c r="P24" s="1182">
        <v>6264</v>
      </c>
      <c r="Q24" s="536">
        <f>50171*19.85</f>
        <v>995894.35000000009</v>
      </c>
      <c r="R24" s="854" t="s">
        <v>373</v>
      </c>
      <c r="S24" s="65">
        <f t="shared" si="0"/>
        <v>1046949.3500000001</v>
      </c>
      <c r="T24" s="65">
        <f t="shared" si="1"/>
        <v>56.797221647580756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4" t="str">
        <f>PIERNA!HO5</f>
        <v>PED. 8884425</v>
      </c>
      <c r="E25" s="629">
        <f>PIERNA!E25</f>
        <v>44859</v>
      </c>
      <c r="F25" s="630">
        <f>PIERNA!HQ5</f>
        <v>19176.580000000002</v>
      </c>
      <c r="G25" s="384">
        <f>PIERNA!HR5</f>
        <v>21</v>
      </c>
      <c r="H25" s="418">
        <f>PIERNA!HS5</f>
        <v>19165.599999999999</v>
      </c>
      <c r="I25" s="754">
        <f>PIERNA!I25</f>
        <v>10.980000000003201</v>
      </c>
      <c r="J25" s="852" t="s">
        <v>383</v>
      </c>
      <c r="K25" s="834">
        <v>12001</v>
      </c>
      <c r="L25" s="861" t="s">
        <v>407</v>
      </c>
      <c r="M25" s="835">
        <v>33640</v>
      </c>
      <c r="N25" s="860" t="s">
        <v>408</v>
      </c>
      <c r="O25" s="1184">
        <v>2098077</v>
      </c>
      <c r="P25" s="1182">
        <v>6438</v>
      </c>
      <c r="Q25" s="536">
        <f>51950.06*20.01</f>
        <v>1039520.7006</v>
      </c>
      <c r="R25" s="857" t="s">
        <v>395</v>
      </c>
      <c r="S25" s="65">
        <f t="shared" si="0"/>
        <v>1091599.7006000001</v>
      </c>
      <c r="T25" s="65">
        <f t="shared" si="1"/>
        <v>57.056197593605219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4" t="str">
        <f>PIERNA!HY5</f>
        <v>PED. 8930850</v>
      </c>
      <c r="E26" s="629">
        <f>PIERNA!HZ5</f>
        <v>44860</v>
      </c>
      <c r="F26" s="630">
        <f>PIERNA!IA5</f>
        <v>18182.7</v>
      </c>
      <c r="G26" s="635">
        <f>PIERNA!IB5</f>
        <v>20</v>
      </c>
      <c r="H26" s="418">
        <f>PIERNA!IC5</f>
        <v>18197.580000000002</v>
      </c>
      <c r="I26" s="754">
        <f>PIERNA!I26</f>
        <v>-14.880000000001019</v>
      </c>
      <c r="J26" s="896">
        <v>78674</v>
      </c>
      <c r="K26" s="834">
        <v>12151</v>
      </c>
      <c r="L26" s="853" t="s">
        <v>408</v>
      </c>
      <c r="M26" s="835">
        <v>33640</v>
      </c>
      <c r="N26" s="854" t="s">
        <v>409</v>
      </c>
      <c r="O26" s="1184">
        <v>1156799</v>
      </c>
      <c r="P26" s="1182">
        <v>6148</v>
      </c>
      <c r="Q26" s="536">
        <f>49426.61*19.8256</f>
        <v>979912.19921600004</v>
      </c>
      <c r="R26" s="854" t="s">
        <v>392</v>
      </c>
      <c r="S26" s="65">
        <f t="shared" si="0"/>
        <v>1031851.199216</v>
      </c>
      <c r="T26" s="65">
        <f t="shared" si="1"/>
        <v>56.802660420561416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4" t="str">
        <f>PIERNA!II5</f>
        <v>PED. 89004405</v>
      </c>
      <c r="E27" s="629">
        <f>PIERNA!IJ5</f>
        <v>44861</v>
      </c>
      <c r="F27" s="630">
        <f>PIERNA!IK5</f>
        <v>18661.2</v>
      </c>
      <c r="G27" s="635">
        <f>PIERNA!IL5</f>
        <v>21</v>
      </c>
      <c r="H27" s="418">
        <f>PIERNA!IM5</f>
        <v>18715</v>
      </c>
      <c r="I27" s="754">
        <f>PIERNA!I27</f>
        <v>-53.799999999999272</v>
      </c>
      <c r="J27" s="852" t="s">
        <v>384</v>
      </c>
      <c r="K27" s="834">
        <v>12161</v>
      </c>
      <c r="L27" s="853" t="s">
        <v>409</v>
      </c>
      <c r="M27" s="835">
        <v>33640</v>
      </c>
      <c r="N27" s="854" t="s">
        <v>410</v>
      </c>
      <c r="O27" s="1184">
        <v>2098171</v>
      </c>
      <c r="P27" s="1182">
        <v>6206</v>
      </c>
      <c r="Q27" s="536">
        <f>50514.62*20.08</f>
        <v>1014333.5695999999</v>
      </c>
      <c r="R27" s="854" t="s">
        <v>396</v>
      </c>
      <c r="S27" s="65">
        <f>Q27+M27+K27+P27</f>
        <v>1066340.5696</v>
      </c>
      <c r="T27" s="65">
        <f t="shared" si="1"/>
        <v>57.077855709324076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4" t="str">
        <f>PIERNA!IS5</f>
        <v>PED. 89004869</v>
      </c>
      <c r="E28" s="629">
        <f>PIERNA!IT5</f>
        <v>44861</v>
      </c>
      <c r="F28" s="630">
        <f>PIERNA!IU5</f>
        <v>18919.16</v>
      </c>
      <c r="G28" s="635">
        <f>PIERNA!IV5</f>
        <v>21</v>
      </c>
      <c r="H28" s="418">
        <f>PIERNA!IW5</f>
        <v>19140.8</v>
      </c>
      <c r="I28" s="754">
        <f>PIERNA!I28</f>
        <v>-221.63999999999942</v>
      </c>
      <c r="J28" s="864" t="s">
        <v>385</v>
      </c>
      <c r="K28" s="834">
        <v>9851</v>
      </c>
      <c r="L28" s="853" t="s">
        <v>409</v>
      </c>
      <c r="M28" s="835">
        <v>33640</v>
      </c>
      <c r="N28" s="854" t="s">
        <v>410</v>
      </c>
      <c r="O28" s="1184">
        <v>2098912</v>
      </c>
      <c r="P28" s="1182">
        <v>6206</v>
      </c>
      <c r="Q28" s="536">
        <f>50616.5*19.94</f>
        <v>1009293.01</v>
      </c>
      <c r="R28" s="857" t="s">
        <v>387</v>
      </c>
      <c r="S28" s="65">
        <f t="shared" si="0"/>
        <v>1058990.01</v>
      </c>
      <c r="T28" s="65">
        <f t="shared" si="1"/>
        <v>55.426319171612477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2" t="str">
        <f>PIERNA!JA5</f>
        <v>SEABOARD FOODS</v>
      </c>
      <c r="C29" s="272" t="str">
        <f>PIERNA!JB5</f>
        <v>Seaboard</v>
      </c>
      <c r="D29" s="634" t="str">
        <f>PIERNA!JC5</f>
        <v xml:space="preserve">PED. </v>
      </c>
      <c r="E29" s="629">
        <f>PIERNA!JD5</f>
        <v>44863</v>
      </c>
      <c r="F29" s="630">
        <f>PIERNA!JE5</f>
        <v>18698.47</v>
      </c>
      <c r="G29" s="635">
        <f>PIERNA!JF5</f>
        <v>21</v>
      </c>
      <c r="H29" s="418">
        <f>PIERNA!JG5</f>
        <v>18840.7</v>
      </c>
      <c r="I29" s="754">
        <f>PIERNA!I29</f>
        <v>-142.22999999999956</v>
      </c>
      <c r="J29" s="873" t="s">
        <v>386</v>
      </c>
      <c r="K29" s="756">
        <v>12001</v>
      </c>
      <c r="L29" s="853" t="s">
        <v>410</v>
      </c>
      <c r="M29" s="1031">
        <v>27840</v>
      </c>
      <c r="N29" s="1032" t="s">
        <v>613</v>
      </c>
      <c r="O29" s="1183">
        <v>2098911</v>
      </c>
      <c r="P29" s="1182">
        <v>6148</v>
      </c>
      <c r="Q29" s="536">
        <f>49823.63*20.01</f>
        <v>996970.83630000008</v>
      </c>
      <c r="R29" s="857" t="s">
        <v>397</v>
      </c>
      <c r="S29" s="65">
        <f t="shared" si="0"/>
        <v>1042959.8363000001</v>
      </c>
      <c r="T29" s="65">
        <f t="shared" si="1"/>
        <v>55.456745572085964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4">
        <f>PIERNA!JM5</f>
        <v>0</v>
      </c>
      <c r="E30" s="636">
        <f>PIERNA!JN5</f>
        <v>0</v>
      </c>
      <c r="F30" s="637">
        <f>PIERNA!JO5</f>
        <v>0</v>
      </c>
      <c r="G30" s="397">
        <f>PIERNA!JP5</f>
        <v>0</v>
      </c>
      <c r="H30" s="638">
        <f>PIERNA!JQ5</f>
        <v>0</v>
      </c>
      <c r="I30" s="754">
        <f>PIERNA!I30</f>
        <v>0</v>
      </c>
      <c r="J30" s="852"/>
      <c r="K30" s="834"/>
      <c r="L30" s="853"/>
      <c r="M30" s="835"/>
      <c r="N30" s="854"/>
      <c r="O30" s="855"/>
      <c r="P30" s="856"/>
      <c r="Q30" s="536"/>
      <c r="R30" s="85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9">
        <f>PIERNA!JV5</f>
        <v>0</v>
      </c>
      <c r="D31" s="634">
        <f>PIERNA!JW5</f>
        <v>0</v>
      </c>
      <c r="E31" s="636">
        <f>PIERNA!JX5</f>
        <v>0</v>
      </c>
      <c r="F31" s="637">
        <f>PIERNA!JY5</f>
        <v>0</v>
      </c>
      <c r="G31" s="397">
        <f>PIERNA!JZ5</f>
        <v>0</v>
      </c>
      <c r="H31" s="638">
        <f>PIERNA!KA5</f>
        <v>0</v>
      </c>
      <c r="I31" s="754">
        <f>PIERNA!I31</f>
        <v>0</v>
      </c>
      <c r="J31" s="852"/>
      <c r="K31" s="834"/>
      <c r="L31" s="853"/>
      <c r="M31" s="835"/>
      <c r="N31" s="854"/>
      <c r="O31" s="855"/>
      <c r="P31" s="856"/>
      <c r="Q31" s="536"/>
      <c r="R31" s="85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4">
        <f>PIERNA!KG5</f>
        <v>0</v>
      </c>
      <c r="E32" s="636">
        <f>PIERNA!KH5</f>
        <v>0</v>
      </c>
      <c r="F32" s="637">
        <f>PIERNA!KI5</f>
        <v>0</v>
      </c>
      <c r="G32" s="397">
        <f>PIERNA!KJ5</f>
        <v>0</v>
      </c>
      <c r="H32" s="638">
        <f>PIERNA!H32</f>
        <v>0</v>
      </c>
      <c r="I32" s="754">
        <f>PIERNA!I32</f>
        <v>0</v>
      </c>
      <c r="J32" s="852"/>
      <c r="K32" s="834"/>
      <c r="L32" s="853"/>
      <c r="M32" s="835"/>
      <c r="N32" s="854"/>
      <c r="O32" s="855"/>
      <c r="P32" s="856"/>
      <c r="Q32" s="536"/>
      <c r="R32" s="85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4">
        <f>PIERNA!KQ5</f>
        <v>0</v>
      </c>
      <c r="E33" s="636">
        <f>PIERNA!KR5</f>
        <v>0</v>
      </c>
      <c r="F33" s="640">
        <f>PIERNA!KS5</f>
        <v>0</v>
      </c>
      <c r="G33" s="641">
        <f>PIERNA!KT5</f>
        <v>0</v>
      </c>
      <c r="H33" s="638">
        <f>PIERNA!KU5</f>
        <v>0</v>
      </c>
      <c r="I33" s="755">
        <f>PIERNA!I33</f>
        <v>0</v>
      </c>
      <c r="J33" s="852"/>
      <c r="K33" s="756"/>
      <c r="L33" s="853"/>
      <c r="M33" s="835"/>
      <c r="N33" s="854"/>
      <c r="O33" s="855"/>
      <c r="P33" s="874"/>
      <c r="Q33" s="536"/>
      <c r="R33" s="85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4">
        <f>PIERNA!D34</f>
        <v>0</v>
      </c>
      <c r="E34" s="636">
        <f>PIERNA!E34</f>
        <v>0</v>
      </c>
      <c r="F34" s="640">
        <f>PIERNA!F34</f>
        <v>0</v>
      </c>
      <c r="G34" s="641">
        <f>PIERNA!G34</f>
        <v>0</v>
      </c>
      <c r="H34" s="638">
        <f>PIERNA!H34</f>
        <v>0</v>
      </c>
      <c r="I34" s="754">
        <f>PIERNA!I34</f>
        <v>0</v>
      </c>
      <c r="J34" s="852"/>
      <c r="K34" s="834"/>
      <c r="L34" s="853"/>
      <c r="M34" s="835"/>
      <c r="N34" s="854"/>
      <c r="O34" s="858"/>
      <c r="P34" s="856"/>
      <c r="Q34" s="537"/>
      <c r="R34" s="85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4">
        <f>PIERNA!D35</f>
        <v>0</v>
      </c>
      <c r="E35" s="636">
        <f>PIERNA!E35</f>
        <v>0</v>
      </c>
      <c r="F35" s="640">
        <f>PIERNA!F35</f>
        <v>0</v>
      </c>
      <c r="G35" s="642">
        <f>PIERNA!G35</f>
        <v>0</v>
      </c>
      <c r="H35" s="638">
        <f>PIERNA!H35</f>
        <v>0</v>
      </c>
      <c r="I35" s="754">
        <f>PIERNA!I35</f>
        <v>0</v>
      </c>
      <c r="J35" s="852"/>
      <c r="K35" s="834"/>
      <c r="L35" s="853"/>
      <c r="M35" s="835"/>
      <c r="N35" s="854"/>
      <c r="O35" s="858"/>
      <c r="P35" s="874"/>
      <c r="Q35" s="394"/>
      <c r="R35" s="85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4">
        <f>PIERNA!D36</f>
        <v>0</v>
      </c>
      <c r="E36" s="636">
        <f>PIERNA!E36</f>
        <v>0</v>
      </c>
      <c r="F36" s="640">
        <f>PIERNA!F36</f>
        <v>0</v>
      </c>
      <c r="G36" s="642">
        <f>PIERNA!G36</f>
        <v>0</v>
      </c>
      <c r="H36" s="638">
        <f>PIERNA!H36</f>
        <v>0</v>
      </c>
      <c r="I36" s="754">
        <f>PIERNA!I36</f>
        <v>0</v>
      </c>
      <c r="J36" s="852"/>
      <c r="K36" s="834"/>
      <c r="L36" s="853"/>
      <c r="M36" s="835"/>
      <c r="N36" s="860"/>
      <c r="O36" s="858"/>
      <c r="P36" s="874"/>
      <c r="Q36" s="394"/>
      <c r="R36" s="85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8">
        <f>PIERNA!D37</f>
        <v>0</v>
      </c>
      <c r="E37" s="629">
        <f>PIERNA!E37</f>
        <v>0</v>
      </c>
      <c r="F37" s="630">
        <f>PIERNA!F37</f>
        <v>0</v>
      </c>
      <c r="G37" s="384">
        <f>PIERNA!G37</f>
        <v>0</v>
      </c>
      <c r="H37" s="418">
        <f>PIERNA!H37</f>
        <v>0</v>
      </c>
      <c r="I37" s="754">
        <f>PIERNA!I37</f>
        <v>0</v>
      </c>
      <c r="J37" s="852"/>
      <c r="K37" s="834"/>
      <c r="L37" s="853"/>
      <c r="M37" s="835"/>
      <c r="N37" s="854"/>
      <c r="O37" s="862"/>
      <c r="P37" s="856"/>
      <c r="Q37" s="536"/>
      <c r="R37" s="85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9">
        <f>PIERNA!E38</f>
        <v>0</v>
      </c>
      <c r="F38" s="643">
        <f>PIERNA!F38</f>
        <v>0</v>
      </c>
      <c r="G38" s="384">
        <f>PIERNA!G38</f>
        <v>0</v>
      </c>
      <c r="H38" s="417">
        <f>PIERNA!H38</f>
        <v>0</v>
      </c>
      <c r="I38" s="754">
        <f>PIERNA!I38</f>
        <v>0</v>
      </c>
      <c r="J38" s="875"/>
      <c r="K38" s="834"/>
      <c r="L38" s="876"/>
      <c r="M38" s="835"/>
      <c r="N38" s="854"/>
      <c r="O38" s="862"/>
      <c r="P38" s="856"/>
      <c r="Q38" s="536"/>
      <c r="R38" s="85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77"/>
      <c r="K39" s="394"/>
      <c r="L39" s="876"/>
      <c r="M39" s="835"/>
      <c r="N39" s="854"/>
      <c r="O39" s="855"/>
      <c r="P39" s="856"/>
      <c r="Q39" s="536"/>
      <c r="R39" s="85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97"/>
      <c r="K40" s="835"/>
      <c r="L40" s="853"/>
      <c r="M40" s="835"/>
      <c r="N40" s="854"/>
      <c r="O40" s="855"/>
      <c r="P40" s="856"/>
      <c r="Q40" s="536"/>
      <c r="R40" s="85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97"/>
      <c r="K41" s="394"/>
      <c r="L41" s="853"/>
      <c r="M41" s="835"/>
      <c r="N41" s="854"/>
      <c r="O41" s="855"/>
      <c r="P41" s="856"/>
      <c r="Q41" s="536"/>
      <c r="R41" s="85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97"/>
      <c r="K42" s="835"/>
      <c r="L42" s="853"/>
      <c r="M42" s="835"/>
      <c r="N42" s="854"/>
      <c r="O42" s="855"/>
      <c r="P42" s="856"/>
      <c r="Q42" s="536"/>
      <c r="R42" s="85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97"/>
      <c r="K43" s="835"/>
      <c r="L43" s="853"/>
      <c r="M43" s="835"/>
      <c r="N43" s="854"/>
      <c r="O43" s="855"/>
      <c r="P43" s="856"/>
      <c r="Q43" s="536"/>
      <c r="R43" s="85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5"/>
      <c r="M44" s="389"/>
      <c r="N44" s="626"/>
      <c r="O44" s="393"/>
      <c r="P44" s="392"/>
      <c r="Q44" s="394"/>
      <c r="R44" s="697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5"/>
      <c r="M45" s="389"/>
      <c r="N45" s="626"/>
      <c r="O45" s="393"/>
      <c r="P45" s="392"/>
      <c r="Q45" s="394"/>
      <c r="R45" s="697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5"/>
      <c r="M46" s="389"/>
      <c r="N46" s="626"/>
      <c r="O46" s="393"/>
      <c r="P46" s="392"/>
      <c r="Q46" s="394"/>
      <c r="R46" s="697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5"/>
      <c r="M47" s="607"/>
      <c r="N47" s="626"/>
      <c r="O47" s="396"/>
      <c r="P47" s="392"/>
      <c r="Q47" s="394"/>
      <c r="R47" s="697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5"/>
      <c r="M48" s="608"/>
      <c r="N48" s="626"/>
      <c r="O48" s="393"/>
      <c r="P48" s="392"/>
      <c r="Q48" s="394"/>
      <c r="R48" s="697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5"/>
      <c r="M49" s="608"/>
      <c r="N49" s="626"/>
      <c r="O49" s="393"/>
      <c r="P49" s="392"/>
      <c r="Q49" s="394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5"/>
      <c r="M50" s="608"/>
      <c r="N50" s="626"/>
      <c r="O50" s="393"/>
      <c r="P50" s="392"/>
      <c r="Q50" s="394"/>
      <c r="R50" s="69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5"/>
      <c r="M51" s="608"/>
      <c r="N51" s="626"/>
      <c r="O51" s="393"/>
      <c r="P51" s="609"/>
      <c r="Q51" s="394"/>
      <c r="R51" s="69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5"/>
      <c r="M52" s="608"/>
      <c r="N52" s="626"/>
      <c r="O52" s="393"/>
      <c r="P52" s="392"/>
      <c r="Q52" s="394"/>
      <c r="R52" s="69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5"/>
      <c r="M53" s="608"/>
      <c r="N53" s="626"/>
      <c r="O53" s="393"/>
      <c r="P53" s="392"/>
      <c r="Q53" s="394"/>
      <c r="R53" s="69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5"/>
      <c r="M54" s="608"/>
      <c r="N54" s="626"/>
      <c r="O54" s="393"/>
      <c r="P54" s="392"/>
      <c r="Q54" s="394"/>
      <c r="R54" s="69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5"/>
      <c r="M55" s="608"/>
      <c r="N55" s="626"/>
      <c r="O55" s="393"/>
      <c r="P55" s="392"/>
      <c r="Q55" s="394"/>
      <c r="R55" s="697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5"/>
      <c r="M56" s="608"/>
      <c r="N56" s="626"/>
      <c r="O56" s="393"/>
      <c r="P56" s="392"/>
      <c r="Q56" s="394"/>
      <c r="R56" s="697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5"/>
      <c r="M57" s="608"/>
      <c r="N57" s="626"/>
      <c r="O57" s="393"/>
      <c r="P57" s="392"/>
      <c r="Q57" s="394"/>
      <c r="R57" s="697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5"/>
      <c r="M58" s="608"/>
      <c r="N58" s="626"/>
      <c r="O58" s="393"/>
      <c r="P58" s="392"/>
      <c r="Q58" s="394"/>
      <c r="R58" s="697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5"/>
      <c r="M59" s="608"/>
      <c r="N59" s="626"/>
      <c r="O59" s="393"/>
      <c r="P59" s="392"/>
      <c r="Q59" s="394"/>
      <c r="R59" s="697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0"/>
      <c r="L60" s="687"/>
      <c r="M60" s="608"/>
      <c r="N60" s="626"/>
      <c r="O60" s="393"/>
      <c r="P60" s="392"/>
      <c r="Q60" s="394"/>
      <c r="R60" s="697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5"/>
      <c r="M61" s="608"/>
      <c r="N61" s="626"/>
      <c r="O61" s="393"/>
      <c r="P61" s="392"/>
      <c r="Q61" s="394"/>
      <c r="R61" s="697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5"/>
      <c r="M62" s="608"/>
      <c r="N62" s="626"/>
      <c r="O62" s="393"/>
      <c r="P62" s="392"/>
      <c r="Q62" s="394"/>
      <c r="R62" s="697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5"/>
      <c r="M63" s="608"/>
      <c r="N63" s="626"/>
      <c r="O63" s="393"/>
      <c r="P63" s="392"/>
      <c r="Q63" s="394"/>
      <c r="R63" s="697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5"/>
      <c r="M64" s="608"/>
      <c r="N64" s="626"/>
      <c r="O64" s="393"/>
      <c r="P64" s="392"/>
      <c r="Q64" s="394"/>
      <c r="R64" s="697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5"/>
      <c r="M65" s="608"/>
      <c r="N65" s="626"/>
      <c r="O65" s="393"/>
      <c r="P65" s="392"/>
      <c r="Q65" s="394"/>
      <c r="R65" s="697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5"/>
      <c r="M66" s="608"/>
      <c r="N66" s="626"/>
      <c r="O66" s="393"/>
      <c r="P66" s="392"/>
      <c r="Q66" s="394"/>
      <c r="R66" s="697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5"/>
      <c r="M67" s="608"/>
      <c r="N67" s="626"/>
      <c r="O67" s="393"/>
      <c r="P67" s="392"/>
      <c r="Q67" s="394"/>
      <c r="R67" s="697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5"/>
      <c r="M68" s="608"/>
      <c r="N68" s="626"/>
      <c r="O68" s="393"/>
      <c r="P68" s="392"/>
      <c r="Q68" s="394"/>
      <c r="R68" s="697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5"/>
      <c r="M69" s="608"/>
      <c r="N69" s="626"/>
      <c r="O69" s="393"/>
      <c r="P69" s="392"/>
      <c r="Q69" s="394"/>
      <c r="R69" s="697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5"/>
      <c r="M70" s="608"/>
      <c r="N70" s="626"/>
      <c r="O70" s="393"/>
      <c r="P70" s="392"/>
      <c r="Q70" s="394"/>
      <c r="R70" s="697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5"/>
      <c r="M71" s="608"/>
      <c r="N71" s="626"/>
      <c r="O71" s="393"/>
      <c r="P71" s="392"/>
      <c r="Q71" s="394"/>
      <c r="R71" s="697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5"/>
      <c r="M72" s="608"/>
      <c r="N72" s="626"/>
      <c r="O72" s="393"/>
      <c r="P72" s="392"/>
      <c r="Q72" s="394"/>
      <c r="R72" s="697"/>
      <c r="S72" s="65">
        <f t="shared" ref="S72:S117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5"/>
      <c r="M73" s="608"/>
      <c r="N73" s="626"/>
      <c r="O73" s="393"/>
      <c r="P73" s="392"/>
      <c r="Q73" s="394"/>
      <c r="R73" s="697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5"/>
      <c r="M74" s="608"/>
      <c r="N74" s="626"/>
      <c r="O74" s="393"/>
      <c r="P74" s="392"/>
      <c r="Q74" s="394"/>
      <c r="R74" s="697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5"/>
      <c r="M75" s="608"/>
      <c r="N75" s="626"/>
      <c r="O75" s="393"/>
      <c r="P75" s="392"/>
      <c r="Q75" s="394"/>
      <c r="R75" s="697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5"/>
      <c r="M76" s="608"/>
      <c r="N76" s="626"/>
      <c r="O76" s="393"/>
      <c r="P76" s="392"/>
      <c r="Q76" s="394"/>
      <c r="R76" s="697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5"/>
      <c r="M77" s="608"/>
      <c r="N77" s="626"/>
      <c r="O77" s="393"/>
      <c r="P77" s="392"/>
      <c r="Q77" s="394"/>
      <c r="R77" s="697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5"/>
      <c r="M78" s="608"/>
      <c r="N78" s="626"/>
      <c r="O78" s="393"/>
      <c r="P78" s="392"/>
      <c r="Q78" s="394"/>
      <c r="R78" s="697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5"/>
      <c r="M79" s="608"/>
      <c r="N79" s="626"/>
      <c r="O79" s="393"/>
      <c r="P79" s="392"/>
      <c r="Q79" s="394"/>
      <c r="R79" s="697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5"/>
      <c r="M80" s="608"/>
      <c r="N80" s="626"/>
      <c r="O80" s="393"/>
      <c r="P80" s="392"/>
      <c r="Q80" s="394"/>
      <c r="R80" s="697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5"/>
      <c r="M81" s="608"/>
      <c r="N81" s="626"/>
      <c r="O81" s="393"/>
      <c r="P81" s="392"/>
      <c r="Q81" s="394"/>
      <c r="R81" s="697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5"/>
      <c r="M82" s="608"/>
      <c r="N82" s="626"/>
      <c r="O82" s="393"/>
      <c r="P82" s="392"/>
      <c r="Q82" s="394"/>
      <c r="R82" s="697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5"/>
      <c r="M83" s="608"/>
      <c r="N83" s="626"/>
      <c r="O83" s="393"/>
      <c r="P83" s="392"/>
      <c r="Q83" s="394"/>
      <c r="R83" s="697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5"/>
      <c r="M84" s="608"/>
      <c r="N84" s="626"/>
      <c r="O84" s="393"/>
      <c r="P84" s="392"/>
      <c r="Q84" s="394"/>
      <c r="R84" s="697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5"/>
      <c r="M85" s="608"/>
      <c r="N85" s="626"/>
      <c r="O85" s="393"/>
      <c r="P85" s="392"/>
      <c r="Q85" s="394"/>
      <c r="R85" s="697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5"/>
      <c r="M86" s="608"/>
      <c r="N86" s="626"/>
      <c r="O86" s="393"/>
      <c r="P86" s="392"/>
      <c r="Q86" s="394"/>
      <c r="R86" s="697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5"/>
      <c r="M87" s="608"/>
      <c r="N87" s="626"/>
      <c r="O87" s="393"/>
      <c r="P87" s="392"/>
      <c r="Q87" s="394"/>
      <c r="R87" s="697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5"/>
      <c r="M88" s="608"/>
      <c r="N88" s="626"/>
      <c r="O88" s="393"/>
      <c r="P88" s="392"/>
      <c r="Q88" s="394"/>
      <c r="R88" s="697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5"/>
      <c r="M89" s="608"/>
      <c r="N89" s="626"/>
      <c r="O89" s="393"/>
      <c r="P89" s="392"/>
      <c r="Q89" s="394"/>
      <c r="R89" s="697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5"/>
      <c r="M90" s="608"/>
      <c r="N90" s="626"/>
      <c r="O90" s="393"/>
      <c r="P90" s="392"/>
      <c r="Q90" s="394"/>
      <c r="R90" s="697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5"/>
      <c r="M91" s="608"/>
      <c r="N91" s="626"/>
      <c r="O91" s="393"/>
      <c r="P91" s="392"/>
      <c r="Q91" s="394"/>
      <c r="R91" s="697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5"/>
      <c r="M92" s="608"/>
      <c r="N92" s="626"/>
      <c r="O92" s="393"/>
      <c r="P92" s="392"/>
      <c r="Q92" s="394"/>
      <c r="R92" s="697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5"/>
      <c r="M93" s="608"/>
      <c r="N93" s="626"/>
      <c r="O93" s="393"/>
      <c r="P93" s="392"/>
      <c r="Q93" s="394"/>
      <c r="R93" s="697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1"/>
      <c r="L94" s="625"/>
      <c r="M94" s="608"/>
      <c r="N94" s="391"/>
      <c r="O94" s="393"/>
      <c r="P94" s="392"/>
      <c r="Q94" s="394"/>
      <c r="R94" s="697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5"/>
      <c r="M95" s="389"/>
      <c r="N95" s="391"/>
      <c r="O95" s="393"/>
      <c r="P95" s="392"/>
      <c r="Q95" s="394"/>
      <c r="R95" s="697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5"/>
      <c r="M96" s="389"/>
      <c r="N96" s="391"/>
      <c r="O96" s="393"/>
      <c r="P96" s="392"/>
      <c r="Q96" s="394"/>
      <c r="R96" s="697"/>
      <c r="S96" s="65">
        <f t="shared" si="15"/>
        <v>0</v>
      </c>
      <c r="T96" s="170" t="e">
        <f t="shared" ref="T96:T110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5"/>
      <c r="M97" s="389"/>
      <c r="N97" s="391"/>
      <c r="O97" s="473"/>
      <c r="P97" s="473"/>
      <c r="Q97" s="535"/>
      <c r="R97" s="698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5"/>
      <c r="M98" s="389"/>
      <c r="N98" s="391"/>
      <c r="O98" s="894"/>
      <c r="P98" s="473"/>
      <c r="Q98" s="535"/>
      <c r="R98" s="698"/>
      <c r="S98" s="65"/>
      <c r="T98" s="170"/>
    </row>
    <row r="99" spans="1:20" s="152" customFormat="1" ht="29.25" thickBot="1" x14ac:dyDescent="0.3">
      <c r="A99" s="100">
        <v>61</v>
      </c>
      <c r="B99" s="75" t="s">
        <v>305</v>
      </c>
      <c r="C99" s="148" t="s">
        <v>309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5"/>
      <c r="M99" s="389"/>
      <c r="N99" s="913"/>
      <c r="O99" s="915" t="s">
        <v>310</v>
      </c>
      <c r="P99" s="914"/>
      <c r="Q99" s="535">
        <v>7031</v>
      </c>
      <c r="R99" s="917" t="s">
        <v>308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71" t="s">
        <v>289</v>
      </c>
      <c r="C100" s="898" t="s">
        <v>43</v>
      </c>
      <c r="D100" s="719"/>
      <c r="E100" s="720">
        <v>44837</v>
      </c>
      <c r="F100" s="721">
        <v>1003.34</v>
      </c>
      <c r="G100" s="722">
        <v>221</v>
      </c>
      <c r="H100" s="723">
        <v>1003.34</v>
      </c>
      <c r="I100" s="477">
        <f t="shared" ref="I100:I131" si="20">H100-F100</f>
        <v>0</v>
      </c>
      <c r="J100" s="451"/>
      <c r="K100" s="389"/>
      <c r="L100" s="687"/>
      <c r="M100" s="389"/>
      <c r="N100" s="620"/>
      <c r="O100" s="1073" t="s">
        <v>291</v>
      </c>
      <c r="P100" s="892"/>
      <c r="Q100" s="916">
        <v>51170.34</v>
      </c>
      <c r="R100" s="1063" t="s">
        <v>311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72"/>
      <c r="C101" s="898" t="s">
        <v>290</v>
      </c>
      <c r="D101" s="719"/>
      <c r="E101" s="724">
        <v>44837</v>
      </c>
      <c r="F101" s="721">
        <v>150</v>
      </c>
      <c r="G101" s="722">
        <v>15</v>
      </c>
      <c r="H101" s="723">
        <v>150</v>
      </c>
      <c r="I101" s="477">
        <f t="shared" si="20"/>
        <v>0</v>
      </c>
      <c r="J101" s="451"/>
      <c r="K101" s="389"/>
      <c r="L101" s="687"/>
      <c r="M101" s="389"/>
      <c r="N101" s="620"/>
      <c r="O101" s="1074"/>
      <c r="P101" s="893"/>
      <c r="Q101" s="916">
        <v>15000</v>
      </c>
      <c r="R101" s="1064"/>
      <c r="S101" s="65">
        <f t="shared" ref="S101:S107" si="21">Q101+M101+K101</f>
        <v>15000</v>
      </c>
      <c r="T101" s="170">
        <f t="shared" ref="T101:T107" si="22">S101/H101</f>
        <v>100</v>
      </c>
    </row>
    <row r="102" spans="1:20" s="152" customFormat="1" ht="28.5" x14ac:dyDescent="0.25">
      <c r="A102" s="100">
        <v>64</v>
      </c>
      <c r="B102" s="912" t="s">
        <v>305</v>
      </c>
      <c r="C102" s="898" t="s">
        <v>306</v>
      </c>
      <c r="D102" s="719"/>
      <c r="E102" s="724">
        <v>44838</v>
      </c>
      <c r="F102" s="721">
        <v>111.94</v>
      </c>
      <c r="G102" s="722"/>
      <c r="H102" s="723">
        <v>111.94</v>
      </c>
      <c r="I102" s="477">
        <f t="shared" si="20"/>
        <v>0</v>
      </c>
      <c r="J102" s="451"/>
      <c r="K102" s="389"/>
      <c r="L102" s="687"/>
      <c r="M102" s="389"/>
      <c r="N102" s="620"/>
      <c r="O102" s="911" t="s">
        <v>307</v>
      </c>
      <c r="P102" s="893"/>
      <c r="Q102" s="538">
        <v>12313.4</v>
      </c>
      <c r="R102" s="918" t="s">
        <v>308</v>
      </c>
      <c r="S102" s="65">
        <f t="shared" si="21"/>
        <v>12313.4</v>
      </c>
      <c r="T102" s="170">
        <f t="shared" si="22"/>
        <v>110</v>
      </c>
    </row>
    <row r="103" spans="1:20" s="152" customFormat="1" ht="28.5" x14ac:dyDescent="0.3">
      <c r="A103" s="100">
        <v>65</v>
      </c>
      <c r="B103" s="899" t="s">
        <v>297</v>
      </c>
      <c r="C103" s="881" t="s">
        <v>79</v>
      </c>
      <c r="D103" s="719"/>
      <c r="E103" s="724">
        <v>44840</v>
      </c>
      <c r="F103" s="721">
        <v>937.14</v>
      </c>
      <c r="G103" s="722">
        <v>1</v>
      </c>
      <c r="H103" s="723">
        <v>937.14</v>
      </c>
      <c r="I103" s="477">
        <f t="shared" si="20"/>
        <v>0</v>
      </c>
      <c r="J103" s="515"/>
      <c r="K103" s="389"/>
      <c r="L103" s="687"/>
      <c r="M103" s="389"/>
      <c r="N103" s="621"/>
      <c r="O103" s="943" t="s">
        <v>376</v>
      </c>
      <c r="P103" s="837"/>
      <c r="Q103" s="538">
        <v>51542.7</v>
      </c>
      <c r="R103" s="848" t="s">
        <v>375</v>
      </c>
      <c r="S103" s="65">
        <f t="shared" si="21"/>
        <v>51542.7</v>
      </c>
      <c r="T103" s="170">
        <f t="shared" si="22"/>
        <v>55</v>
      </c>
    </row>
    <row r="104" spans="1:20" s="152" customFormat="1" ht="42.75" x14ac:dyDescent="0.3">
      <c r="A104" s="100"/>
      <c r="B104" s="899" t="s">
        <v>305</v>
      </c>
      <c r="C104" s="881" t="s">
        <v>593</v>
      </c>
      <c r="D104" s="1012" t="s">
        <v>602</v>
      </c>
      <c r="E104" s="724">
        <v>44840</v>
      </c>
      <c r="F104" s="721">
        <v>45213</v>
      </c>
      <c r="G104" s="722">
        <v>1</v>
      </c>
      <c r="H104" s="723">
        <v>45213</v>
      </c>
      <c r="I104" s="477">
        <f t="shared" si="20"/>
        <v>0</v>
      </c>
      <c r="J104" s="515"/>
      <c r="K104" s="389"/>
      <c r="L104" s="687"/>
      <c r="M104" s="389"/>
      <c r="N104" s="621"/>
      <c r="O104" s="1009" t="s">
        <v>598</v>
      </c>
      <c r="P104" s="837"/>
      <c r="Q104" s="1004">
        <v>45213</v>
      </c>
      <c r="R104" s="1005" t="s">
        <v>596</v>
      </c>
      <c r="S104" s="65">
        <f t="shared" si="21"/>
        <v>45213</v>
      </c>
      <c r="T104" s="170">
        <f t="shared" si="22"/>
        <v>1</v>
      </c>
    </row>
    <row r="105" spans="1:20" s="152" customFormat="1" ht="28.5" x14ac:dyDescent="0.25">
      <c r="A105" s="100">
        <v>66</v>
      </c>
      <c r="B105" s="886" t="s">
        <v>287</v>
      </c>
      <c r="C105" s="885" t="s">
        <v>298</v>
      </c>
      <c r="D105" s="1020"/>
      <c r="E105" s="724">
        <v>44841</v>
      </c>
      <c r="F105" s="725">
        <v>2000</v>
      </c>
      <c r="G105" s="722">
        <v>200</v>
      </c>
      <c r="H105" s="723">
        <v>2000</v>
      </c>
      <c r="I105" s="477">
        <f t="shared" si="20"/>
        <v>0</v>
      </c>
      <c r="J105" s="451"/>
      <c r="K105" s="389"/>
      <c r="L105" s="687"/>
      <c r="M105" s="389"/>
      <c r="N105" s="620"/>
      <c r="O105" s="841" t="s">
        <v>299</v>
      </c>
      <c r="P105" s="835"/>
      <c r="Q105" s="538">
        <v>172000</v>
      </c>
      <c r="R105" s="848" t="s">
        <v>344</v>
      </c>
      <c r="S105" s="65">
        <f t="shared" si="21"/>
        <v>172000</v>
      </c>
      <c r="T105" s="170">
        <f t="shared" si="22"/>
        <v>86</v>
      </c>
    </row>
    <row r="106" spans="1:20" s="152" customFormat="1" ht="28.5" x14ac:dyDescent="0.25">
      <c r="A106" s="100">
        <v>67</v>
      </c>
      <c r="B106" s="886" t="s">
        <v>287</v>
      </c>
      <c r="C106" s="885" t="s">
        <v>329</v>
      </c>
      <c r="D106" s="1020"/>
      <c r="E106" s="724">
        <v>44842</v>
      </c>
      <c r="F106" s="725">
        <v>5012.16</v>
      </c>
      <c r="G106" s="722">
        <v>184</v>
      </c>
      <c r="H106" s="723">
        <v>5012.16</v>
      </c>
      <c r="I106" s="477">
        <f t="shared" si="20"/>
        <v>0</v>
      </c>
      <c r="J106" s="451"/>
      <c r="K106" s="389"/>
      <c r="L106" s="687"/>
      <c r="M106" s="389"/>
      <c r="N106" s="620"/>
      <c r="O106" s="841" t="s">
        <v>330</v>
      </c>
      <c r="P106" s="835"/>
      <c r="Q106" s="538">
        <v>426033.6</v>
      </c>
      <c r="R106" s="848" t="s">
        <v>373</v>
      </c>
      <c r="S106" s="65">
        <f t="shared" si="21"/>
        <v>426033.6</v>
      </c>
      <c r="T106" s="170">
        <f t="shared" si="22"/>
        <v>85</v>
      </c>
    </row>
    <row r="107" spans="1:20" s="152" customFormat="1" ht="43.5" x14ac:dyDescent="0.25">
      <c r="A107" s="100"/>
      <c r="B107" s="886" t="s">
        <v>305</v>
      </c>
      <c r="C107" s="885" t="s">
        <v>593</v>
      </c>
      <c r="D107" s="749" t="s">
        <v>594</v>
      </c>
      <c r="E107" s="724">
        <v>44844</v>
      </c>
      <c r="F107" s="725">
        <v>13086</v>
      </c>
      <c r="G107" s="722">
        <v>1</v>
      </c>
      <c r="H107" s="723">
        <v>13086</v>
      </c>
      <c r="I107" s="477">
        <f t="shared" si="20"/>
        <v>0</v>
      </c>
      <c r="J107" s="451"/>
      <c r="K107" s="389"/>
      <c r="L107" s="687"/>
      <c r="M107" s="389"/>
      <c r="N107" s="620"/>
      <c r="O107" s="851" t="s">
        <v>595</v>
      </c>
      <c r="P107" s="835"/>
      <c r="Q107" s="1004">
        <v>13086</v>
      </c>
      <c r="R107" s="1005" t="s">
        <v>596</v>
      </c>
      <c r="S107" s="65">
        <f t="shared" si="21"/>
        <v>13086</v>
      </c>
      <c r="T107" s="170">
        <f t="shared" si="22"/>
        <v>1</v>
      </c>
    </row>
    <row r="108" spans="1:20" s="152" customFormat="1" ht="28.5" customHeight="1" x14ac:dyDescent="0.25">
      <c r="A108" s="100">
        <v>68</v>
      </c>
      <c r="B108" s="887" t="s">
        <v>289</v>
      </c>
      <c r="C108" s="885" t="s">
        <v>43</v>
      </c>
      <c r="D108" s="749"/>
      <c r="E108" s="831">
        <v>44845</v>
      </c>
      <c r="F108" s="725">
        <v>2002.14</v>
      </c>
      <c r="G108" s="722">
        <v>441</v>
      </c>
      <c r="H108" s="723">
        <v>2002.14</v>
      </c>
      <c r="I108" s="477">
        <f t="shared" si="20"/>
        <v>0</v>
      </c>
      <c r="J108" s="451"/>
      <c r="K108" s="389"/>
      <c r="L108" s="687"/>
      <c r="M108" s="389"/>
      <c r="N108" s="620"/>
      <c r="O108" s="838" t="s">
        <v>304</v>
      </c>
      <c r="P108" s="835"/>
      <c r="Q108" s="538">
        <v>102109.14</v>
      </c>
      <c r="R108" s="849" t="s">
        <v>314</v>
      </c>
      <c r="S108" s="65">
        <f t="shared" si="15"/>
        <v>102109.14</v>
      </c>
      <c r="T108" s="170">
        <f t="shared" si="17"/>
        <v>51</v>
      </c>
    </row>
    <row r="109" spans="1:20" s="152" customFormat="1" ht="31.5" customHeight="1" thickBot="1" x14ac:dyDescent="0.3">
      <c r="A109" s="100">
        <v>69</v>
      </c>
      <c r="B109" s="926" t="s">
        <v>63</v>
      </c>
      <c r="C109" s="882" t="s">
        <v>331</v>
      </c>
      <c r="D109" s="726"/>
      <c r="E109" s="929">
        <v>44845</v>
      </c>
      <c r="F109" s="723">
        <v>300.39</v>
      </c>
      <c r="G109" s="726">
        <v>26</v>
      </c>
      <c r="H109" s="723">
        <v>300.39</v>
      </c>
      <c r="I109" s="477">
        <f>H109-F109</f>
        <v>0</v>
      </c>
      <c r="J109" s="517"/>
      <c r="K109" s="389"/>
      <c r="L109" s="687"/>
      <c r="M109" s="389"/>
      <c r="N109" s="620"/>
      <c r="O109" s="927" t="s">
        <v>332</v>
      </c>
      <c r="P109" s="835"/>
      <c r="Q109" s="538">
        <v>25533.15</v>
      </c>
      <c r="R109" s="942" t="s">
        <v>345</v>
      </c>
      <c r="S109" s="65">
        <f t="shared" si="15"/>
        <v>25533.15</v>
      </c>
      <c r="T109" s="170">
        <f t="shared" si="17"/>
        <v>85.000000000000014</v>
      </c>
    </row>
    <row r="110" spans="1:20" s="152" customFormat="1" ht="38.25" customHeight="1" x14ac:dyDescent="0.25">
      <c r="A110" s="100">
        <v>70</v>
      </c>
      <c r="B110" s="1057" t="s">
        <v>336</v>
      </c>
      <c r="C110" s="924" t="s">
        <v>72</v>
      </c>
      <c r="D110" s="1021"/>
      <c r="E110" s="1042">
        <v>44846</v>
      </c>
      <c r="F110" s="928">
        <v>3038.15</v>
      </c>
      <c r="G110" s="726">
        <v>100</v>
      </c>
      <c r="H110" s="723">
        <v>3038.15</v>
      </c>
      <c r="I110" s="477">
        <f t="shared" si="20"/>
        <v>0</v>
      </c>
      <c r="J110" s="451"/>
      <c r="K110" s="389"/>
      <c r="L110" s="687"/>
      <c r="M110" s="389"/>
      <c r="N110" s="620"/>
      <c r="O110" s="1060">
        <v>18915</v>
      </c>
      <c r="P110" s="1078" t="s">
        <v>374</v>
      </c>
      <c r="Q110" s="916">
        <v>85068.2</v>
      </c>
      <c r="R110" s="1075" t="s">
        <v>375</v>
      </c>
      <c r="S110" s="65">
        <f t="shared" si="15"/>
        <v>85068.2</v>
      </c>
      <c r="T110" s="170">
        <f t="shared" si="17"/>
        <v>27.999999999999996</v>
      </c>
    </row>
    <row r="111" spans="1:20" s="152" customFormat="1" ht="31.5" customHeight="1" x14ac:dyDescent="0.25">
      <c r="A111" s="100">
        <v>71</v>
      </c>
      <c r="B111" s="1058"/>
      <c r="C111" s="925" t="s">
        <v>337</v>
      </c>
      <c r="D111" s="1021"/>
      <c r="E111" s="1043"/>
      <c r="F111" s="928">
        <v>1981.82</v>
      </c>
      <c r="G111" s="726">
        <v>79</v>
      </c>
      <c r="H111" s="723">
        <v>1981.82</v>
      </c>
      <c r="I111" s="477">
        <f t="shared" si="20"/>
        <v>0</v>
      </c>
      <c r="J111" s="451"/>
      <c r="K111" s="389"/>
      <c r="L111" s="688"/>
      <c r="M111" s="389"/>
      <c r="N111" s="621"/>
      <c r="O111" s="1061"/>
      <c r="P111" s="1079"/>
      <c r="Q111" s="916">
        <v>166472.88</v>
      </c>
      <c r="R111" s="1076"/>
      <c r="S111" s="65">
        <f t="shared" si="15"/>
        <v>166472.88</v>
      </c>
      <c r="T111" s="170">
        <f t="shared" ref="T111:T117" si="23">S111/H111</f>
        <v>84</v>
      </c>
    </row>
    <row r="112" spans="1:20" s="152" customFormat="1" ht="34.5" customHeight="1" thickBot="1" x14ac:dyDescent="0.3">
      <c r="A112" s="100">
        <v>72</v>
      </c>
      <c r="B112" s="1059"/>
      <c r="C112" s="925" t="s">
        <v>338</v>
      </c>
      <c r="D112" s="1021"/>
      <c r="E112" s="1044"/>
      <c r="F112" s="928">
        <v>2025.36</v>
      </c>
      <c r="G112" s="726">
        <v>70</v>
      </c>
      <c r="H112" s="723">
        <v>2025.36</v>
      </c>
      <c r="I112" s="477">
        <f t="shared" si="20"/>
        <v>0</v>
      </c>
      <c r="J112" s="451"/>
      <c r="K112" s="389"/>
      <c r="L112" s="688"/>
      <c r="M112" s="389"/>
      <c r="N112" s="621"/>
      <c r="O112" s="1062"/>
      <c r="P112" s="1080"/>
      <c r="Q112" s="916">
        <v>182282.4</v>
      </c>
      <c r="R112" s="1077"/>
      <c r="S112" s="65">
        <f t="shared" si="15"/>
        <v>182282.4</v>
      </c>
      <c r="T112" s="170">
        <f t="shared" si="23"/>
        <v>90</v>
      </c>
    </row>
    <row r="113" spans="1:20" s="152" customFormat="1" ht="42.75" x14ac:dyDescent="0.25">
      <c r="A113" s="100"/>
      <c r="B113" s="1006" t="s">
        <v>305</v>
      </c>
      <c r="C113" s="925" t="s">
        <v>593</v>
      </c>
      <c r="D113" s="1022" t="s">
        <v>605</v>
      </c>
      <c r="E113" s="1007">
        <v>44847</v>
      </c>
      <c r="F113" s="928">
        <v>43779</v>
      </c>
      <c r="G113" s="726">
        <v>1</v>
      </c>
      <c r="H113" s="723">
        <v>43779</v>
      </c>
      <c r="I113" s="477">
        <f t="shared" si="20"/>
        <v>0</v>
      </c>
      <c r="J113" s="451"/>
      <c r="K113" s="389"/>
      <c r="L113" s="688"/>
      <c r="M113" s="389"/>
      <c r="N113" s="621"/>
      <c r="O113" s="1013" t="s">
        <v>606</v>
      </c>
      <c r="P113" s="1014"/>
      <c r="Q113" s="1015">
        <v>43779</v>
      </c>
      <c r="R113" s="1011" t="s">
        <v>596</v>
      </c>
      <c r="S113" s="65">
        <f t="shared" si="15"/>
        <v>43779</v>
      </c>
      <c r="T113" s="170">
        <f t="shared" si="23"/>
        <v>1</v>
      </c>
    </row>
    <row r="114" spans="1:20" s="152" customFormat="1" ht="42.75" customHeight="1" x14ac:dyDescent="0.25">
      <c r="A114" s="100">
        <v>73</v>
      </c>
      <c r="B114" s="935" t="s">
        <v>99</v>
      </c>
      <c r="C114" s="884" t="s">
        <v>361</v>
      </c>
      <c r="D114" s="726"/>
      <c r="E114" s="936">
        <v>44849</v>
      </c>
      <c r="F114" s="723">
        <v>5195.42</v>
      </c>
      <c r="G114" s="726">
        <v>169</v>
      </c>
      <c r="H114" s="723">
        <v>5195.42</v>
      </c>
      <c r="I114" s="477">
        <f t="shared" si="20"/>
        <v>0</v>
      </c>
      <c r="J114" s="451"/>
      <c r="K114" s="389"/>
      <c r="L114" s="687"/>
      <c r="M114" s="389"/>
      <c r="N114" s="620"/>
      <c r="O114" s="939" t="s">
        <v>372</v>
      </c>
      <c r="P114" s="940" t="s">
        <v>374</v>
      </c>
      <c r="Q114" s="538">
        <v>659818.34</v>
      </c>
      <c r="R114" s="946" t="s">
        <v>373</v>
      </c>
      <c r="S114" s="65">
        <f t="shared" si="15"/>
        <v>659818.34</v>
      </c>
      <c r="T114" s="170">
        <f t="shared" si="23"/>
        <v>126.99999999999999</v>
      </c>
    </row>
    <row r="115" spans="1:20" s="152" customFormat="1" ht="42.75" customHeight="1" x14ac:dyDescent="0.25">
      <c r="A115" s="100"/>
      <c r="B115" s="935" t="s">
        <v>305</v>
      </c>
      <c r="C115" s="884" t="s">
        <v>593</v>
      </c>
      <c r="D115" s="753" t="s">
        <v>610</v>
      </c>
      <c r="E115" s="936">
        <v>44851</v>
      </c>
      <c r="F115" s="723">
        <v>28926</v>
      </c>
      <c r="G115" s="726">
        <v>1</v>
      </c>
      <c r="H115" s="723">
        <v>28926</v>
      </c>
      <c r="I115" s="770">
        <f t="shared" si="20"/>
        <v>0</v>
      </c>
      <c r="J115" s="451"/>
      <c r="K115" s="389"/>
      <c r="L115" s="687"/>
      <c r="M115" s="389"/>
      <c r="N115" s="620"/>
      <c r="O115" s="1025" t="s">
        <v>611</v>
      </c>
      <c r="P115" s="1026"/>
      <c r="Q115" s="1004">
        <v>28926</v>
      </c>
      <c r="R115" s="1027" t="s">
        <v>612</v>
      </c>
      <c r="S115" s="65">
        <f t="shared" si="15"/>
        <v>28926</v>
      </c>
      <c r="T115" s="170">
        <f t="shared" si="23"/>
        <v>1</v>
      </c>
    </row>
    <row r="116" spans="1:20" s="152" customFormat="1" ht="44.25" thickBot="1" x14ac:dyDescent="0.3">
      <c r="A116" s="100">
        <v>77</v>
      </c>
      <c r="B116" s="1016" t="s">
        <v>305</v>
      </c>
      <c r="C116" s="1016" t="s">
        <v>593</v>
      </c>
      <c r="D116" s="1019" t="s">
        <v>609</v>
      </c>
      <c r="E116" s="1017">
        <v>44852</v>
      </c>
      <c r="F116" s="1018">
        <v>24135</v>
      </c>
      <c r="G116" s="1016">
        <v>1</v>
      </c>
      <c r="H116" s="1018">
        <v>24135</v>
      </c>
      <c r="I116" s="105">
        <f t="shared" si="20"/>
        <v>0</v>
      </c>
      <c r="J116" s="451"/>
      <c r="K116" s="389"/>
      <c r="L116" s="687"/>
      <c r="M116" s="389"/>
      <c r="N116" s="620"/>
      <c r="O116" s="850" t="s">
        <v>607</v>
      </c>
      <c r="P116" s="840"/>
      <c r="Q116" s="1028">
        <v>24075</v>
      </c>
      <c r="R116" s="1029" t="s">
        <v>608</v>
      </c>
      <c r="S116" s="65">
        <f t="shared" si="15"/>
        <v>24075</v>
      </c>
      <c r="T116" s="170">
        <f t="shared" si="23"/>
        <v>0.99751398384089496</v>
      </c>
    </row>
    <row r="117" spans="1:20" s="152" customFormat="1" ht="28.5" customHeight="1" x14ac:dyDescent="0.25">
      <c r="A117" s="100">
        <v>74</v>
      </c>
      <c r="B117" s="1039" t="s">
        <v>363</v>
      </c>
      <c r="C117" s="925" t="s">
        <v>364</v>
      </c>
      <c r="D117" s="1021"/>
      <c r="E117" s="1042">
        <v>44853</v>
      </c>
      <c r="F117" s="928">
        <v>1003.37</v>
      </c>
      <c r="G117" s="726">
        <v>83</v>
      </c>
      <c r="H117" s="723">
        <v>1003.37</v>
      </c>
      <c r="I117" s="105">
        <f t="shared" si="20"/>
        <v>0</v>
      </c>
      <c r="J117" s="451"/>
      <c r="K117" s="389"/>
      <c r="L117" s="687"/>
      <c r="M117" s="389"/>
      <c r="N117" s="620"/>
      <c r="O117" s="1045" t="s">
        <v>365</v>
      </c>
      <c r="P117" s="937"/>
      <c r="Q117" s="945">
        <v>99333.63</v>
      </c>
      <c r="R117" s="1036" t="s">
        <v>391</v>
      </c>
      <c r="S117" s="65">
        <f t="shared" si="15"/>
        <v>99333.63</v>
      </c>
      <c r="T117" s="170">
        <f t="shared" si="23"/>
        <v>99</v>
      </c>
    </row>
    <row r="118" spans="1:20" s="152" customFormat="1" ht="38.25" customHeight="1" x14ac:dyDescent="0.25">
      <c r="A118" s="100">
        <v>75</v>
      </c>
      <c r="B118" s="1040"/>
      <c r="C118" s="924" t="s">
        <v>331</v>
      </c>
      <c r="D118" s="1021"/>
      <c r="E118" s="1043"/>
      <c r="F118" s="928">
        <v>186.99</v>
      </c>
      <c r="G118" s="726">
        <v>16</v>
      </c>
      <c r="H118" s="727">
        <v>186.99</v>
      </c>
      <c r="I118" s="105">
        <f t="shared" si="20"/>
        <v>0</v>
      </c>
      <c r="J118" s="451"/>
      <c r="K118" s="389"/>
      <c r="L118" s="687"/>
      <c r="M118" s="389"/>
      <c r="N118" s="620"/>
      <c r="O118" s="1046"/>
      <c r="P118" s="938"/>
      <c r="Q118" s="945">
        <v>15894.15</v>
      </c>
      <c r="R118" s="1037"/>
      <c r="S118" s="65">
        <f t="shared" ref="S118:S134" si="24">Q118+M118+K118</f>
        <v>15894.15</v>
      </c>
      <c r="T118" s="170">
        <f t="shared" ref="T118:T134" si="25">S118/H118</f>
        <v>85</v>
      </c>
    </row>
    <row r="119" spans="1:20" s="152" customFormat="1" ht="38.25" customHeight="1" thickBot="1" x14ac:dyDescent="0.3">
      <c r="A119" s="100">
        <v>76</v>
      </c>
      <c r="B119" s="1041"/>
      <c r="C119" s="925" t="s">
        <v>64</v>
      </c>
      <c r="D119" s="1021"/>
      <c r="E119" s="1044"/>
      <c r="F119" s="928">
        <v>510.98</v>
      </c>
      <c r="G119" s="726">
        <v>43</v>
      </c>
      <c r="H119" s="727">
        <v>510.98</v>
      </c>
      <c r="I119" s="105">
        <f t="shared" si="20"/>
        <v>0</v>
      </c>
      <c r="J119" s="451"/>
      <c r="K119" s="389"/>
      <c r="L119" s="687"/>
      <c r="M119" s="389"/>
      <c r="N119" s="620"/>
      <c r="O119" s="1047"/>
      <c r="P119" s="938"/>
      <c r="Q119" s="945">
        <v>48543.1</v>
      </c>
      <c r="R119" s="1038"/>
      <c r="S119" s="65">
        <f t="shared" si="24"/>
        <v>48543.1</v>
      </c>
      <c r="T119" s="170">
        <f t="shared" si="25"/>
        <v>95</v>
      </c>
    </row>
    <row r="120" spans="1:20" s="152" customFormat="1" ht="42.75" x14ac:dyDescent="0.25">
      <c r="A120" s="100"/>
      <c r="B120" s="1006" t="s">
        <v>305</v>
      </c>
      <c r="C120" s="925" t="s">
        <v>593</v>
      </c>
      <c r="D120" s="753" t="s">
        <v>601</v>
      </c>
      <c r="E120" s="1007">
        <v>44854</v>
      </c>
      <c r="F120" s="928">
        <v>40798</v>
      </c>
      <c r="G120" s="726">
        <v>1</v>
      </c>
      <c r="H120" s="727">
        <v>40798</v>
      </c>
      <c r="I120" s="105">
        <f t="shared" si="20"/>
        <v>0</v>
      </c>
      <c r="J120" s="451"/>
      <c r="K120" s="389"/>
      <c r="L120" s="687"/>
      <c r="M120" s="389"/>
      <c r="N120" s="620"/>
      <c r="O120" s="1008" t="s">
        <v>597</v>
      </c>
      <c r="P120" s="938"/>
      <c r="Q120" s="1010">
        <v>40798</v>
      </c>
      <c r="R120" s="1011" t="s">
        <v>596</v>
      </c>
      <c r="S120" s="65">
        <f t="shared" si="24"/>
        <v>40798</v>
      </c>
      <c r="T120" s="170">
        <f t="shared" si="25"/>
        <v>1</v>
      </c>
    </row>
    <row r="121" spans="1:20" s="152" customFormat="1" ht="42.75" x14ac:dyDescent="0.25">
      <c r="A121" s="100"/>
      <c r="B121" s="1006" t="s">
        <v>305</v>
      </c>
      <c r="C121" s="925" t="s">
        <v>593</v>
      </c>
      <c r="D121" s="753" t="s">
        <v>600</v>
      </c>
      <c r="E121" s="1007">
        <v>44858</v>
      </c>
      <c r="F121" s="928">
        <v>30367</v>
      </c>
      <c r="G121" s="726">
        <v>1</v>
      </c>
      <c r="H121" s="727">
        <v>30367</v>
      </c>
      <c r="I121" s="105">
        <f t="shared" si="20"/>
        <v>0</v>
      </c>
      <c r="J121" s="451"/>
      <c r="K121" s="389"/>
      <c r="L121" s="687"/>
      <c r="M121" s="389"/>
      <c r="N121" s="620"/>
      <c r="O121" s="1008" t="s">
        <v>599</v>
      </c>
      <c r="P121" s="938"/>
      <c r="Q121" s="1010">
        <v>30367</v>
      </c>
      <c r="R121" s="1011" t="s">
        <v>596</v>
      </c>
      <c r="S121" s="65">
        <f t="shared" si="24"/>
        <v>30367</v>
      </c>
      <c r="T121" s="170">
        <f t="shared" si="25"/>
        <v>1</v>
      </c>
    </row>
    <row r="122" spans="1:20" s="152" customFormat="1" ht="43.5" thickBot="1" x14ac:dyDescent="0.3">
      <c r="A122" s="100"/>
      <c r="B122" s="1006" t="s">
        <v>305</v>
      </c>
      <c r="C122" s="925" t="s">
        <v>593</v>
      </c>
      <c r="D122" s="1022" t="s">
        <v>603</v>
      </c>
      <c r="E122" s="1007">
        <v>44861</v>
      </c>
      <c r="F122" s="928">
        <v>30605</v>
      </c>
      <c r="G122" s="726">
        <v>1</v>
      </c>
      <c r="H122" s="727">
        <v>30605</v>
      </c>
      <c r="I122" s="105">
        <f t="shared" si="20"/>
        <v>0</v>
      </c>
      <c r="J122" s="451"/>
      <c r="K122" s="389"/>
      <c r="L122" s="687"/>
      <c r="M122" s="389"/>
      <c r="N122" s="620"/>
      <c r="O122" s="1008" t="s">
        <v>604</v>
      </c>
      <c r="P122" s="938"/>
      <c r="Q122" s="1010">
        <v>30605.040000000001</v>
      </c>
      <c r="R122" s="1011" t="s">
        <v>596</v>
      </c>
      <c r="S122" s="65">
        <f t="shared" si="24"/>
        <v>30605.040000000001</v>
      </c>
      <c r="T122" s="170">
        <f t="shared" si="25"/>
        <v>1.0000013069759843</v>
      </c>
    </row>
    <row r="123" spans="1:20" s="152" customFormat="1" ht="21" customHeight="1" x14ac:dyDescent="0.25">
      <c r="A123" s="100">
        <v>77</v>
      </c>
      <c r="B123" s="1048" t="s">
        <v>289</v>
      </c>
      <c r="C123" s="925" t="s">
        <v>43</v>
      </c>
      <c r="D123" s="1022"/>
      <c r="E123" s="1051">
        <v>44862</v>
      </c>
      <c r="F123" s="928">
        <v>1520.9</v>
      </c>
      <c r="G123" s="726">
        <v>335</v>
      </c>
      <c r="H123" s="727">
        <v>1520.9</v>
      </c>
      <c r="I123" s="105">
        <f t="shared" si="20"/>
        <v>0</v>
      </c>
      <c r="J123" s="451"/>
      <c r="K123" s="389"/>
      <c r="L123" s="687"/>
      <c r="M123" s="389"/>
      <c r="N123" s="620"/>
      <c r="O123" s="1054" t="s">
        <v>371</v>
      </c>
      <c r="P123" s="938"/>
      <c r="Q123" s="945">
        <v>73003.199999999997</v>
      </c>
      <c r="R123" s="1033" t="s">
        <v>391</v>
      </c>
      <c r="S123" s="65">
        <f t="shared" si="24"/>
        <v>73003.199999999997</v>
      </c>
      <c r="T123" s="170">
        <f t="shared" si="25"/>
        <v>47.999999999999993</v>
      </c>
    </row>
    <row r="124" spans="1:20" s="152" customFormat="1" ht="18.75" customHeight="1" x14ac:dyDescent="0.25">
      <c r="A124" s="100">
        <v>78</v>
      </c>
      <c r="B124" s="1049"/>
      <c r="C124" s="925" t="s">
        <v>370</v>
      </c>
      <c r="D124" s="1022"/>
      <c r="E124" s="1052"/>
      <c r="F124" s="928">
        <v>150</v>
      </c>
      <c r="G124" s="726">
        <v>15</v>
      </c>
      <c r="H124" s="727">
        <v>150</v>
      </c>
      <c r="I124" s="105">
        <f t="shared" si="20"/>
        <v>0</v>
      </c>
      <c r="J124" s="451"/>
      <c r="K124" s="389"/>
      <c r="L124" s="687"/>
      <c r="M124" s="389"/>
      <c r="N124" s="620"/>
      <c r="O124" s="1055"/>
      <c r="P124" s="938"/>
      <c r="Q124" s="945">
        <v>12750</v>
      </c>
      <c r="R124" s="1034"/>
      <c r="S124" s="65">
        <f t="shared" si="24"/>
        <v>12750</v>
      </c>
      <c r="T124" s="170">
        <f t="shared" si="25"/>
        <v>85</v>
      </c>
    </row>
    <row r="125" spans="1:20" s="152" customFormat="1" ht="19.5" customHeight="1" thickBot="1" x14ac:dyDescent="0.3">
      <c r="A125" s="100">
        <v>79</v>
      </c>
      <c r="B125" s="1050"/>
      <c r="C125" s="925" t="s">
        <v>290</v>
      </c>
      <c r="D125" s="1022"/>
      <c r="E125" s="1053"/>
      <c r="F125" s="928">
        <v>100</v>
      </c>
      <c r="G125" s="726">
        <v>10</v>
      </c>
      <c r="H125" s="727">
        <v>100</v>
      </c>
      <c r="I125" s="105">
        <f t="shared" si="20"/>
        <v>0</v>
      </c>
      <c r="J125" s="451"/>
      <c r="K125" s="389"/>
      <c r="L125" s="687"/>
      <c r="M125" s="389"/>
      <c r="N125" s="620"/>
      <c r="O125" s="1056"/>
      <c r="P125" s="938"/>
      <c r="Q125" s="945">
        <v>9500</v>
      </c>
      <c r="R125" s="1035"/>
      <c r="S125" s="65">
        <f t="shared" si="24"/>
        <v>9500</v>
      </c>
      <c r="T125" s="170">
        <f t="shared" si="25"/>
        <v>95</v>
      </c>
    </row>
    <row r="126" spans="1:20" s="152" customFormat="1" ht="28.5" customHeight="1" thickTop="1" x14ac:dyDescent="0.25">
      <c r="A126" s="100">
        <v>80</v>
      </c>
      <c r="B126" s="944" t="s">
        <v>388</v>
      </c>
      <c r="C126" s="884" t="s">
        <v>389</v>
      </c>
      <c r="D126" s="753"/>
      <c r="E126" s="930"/>
      <c r="F126" s="723">
        <v>1562.5</v>
      </c>
      <c r="G126" s="726"/>
      <c r="H126" s="727">
        <v>1562.5</v>
      </c>
      <c r="I126" s="105">
        <f t="shared" si="20"/>
        <v>0</v>
      </c>
      <c r="J126" s="451"/>
      <c r="K126" s="389"/>
      <c r="L126" s="687"/>
      <c r="M126" s="389"/>
      <c r="N126" s="620"/>
      <c r="O126" s="895" t="s">
        <v>390</v>
      </c>
      <c r="P126" s="840"/>
      <c r="Q126" s="947">
        <v>150000</v>
      </c>
      <c r="R126" s="948" t="s">
        <v>391</v>
      </c>
      <c r="S126" s="65">
        <f t="shared" si="24"/>
        <v>150000</v>
      </c>
      <c r="T126" s="170">
        <f t="shared" si="25"/>
        <v>96</v>
      </c>
    </row>
    <row r="127" spans="1:20" s="152" customFormat="1" ht="23.25" customHeight="1" x14ac:dyDescent="0.25">
      <c r="A127" s="100">
        <v>81</v>
      </c>
      <c r="B127" s="884"/>
      <c r="C127" s="884"/>
      <c r="D127" s="753"/>
      <c r="E127" s="724"/>
      <c r="F127" s="723"/>
      <c r="G127" s="726"/>
      <c r="H127" s="727"/>
      <c r="I127" s="105">
        <f t="shared" si="20"/>
        <v>0</v>
      </c>
      <c r="J127" s="451"/>
      <c r="K127" s="389"/>
      <c r="L127" s="687"/>
      <c r="M127" s="389"/>
      <c r="N127" s="620"/>
      <c r="O127" s="841"/>
      <c r="P127" s="840"/>
      <c r="Q127" s="535"/>
      <c r="R127" s="842"/>
      <c r="S127" s="65">
        <f t="shared" si="24"/>
        <v>0</v>
      </c>
      <c r="T127" s="170" t="e">
        <f t="shared" si="25"/>
        <v>#DIV/0!</v>
      </c>
    </row>
    <row r="128" spans="1:20" s="152" customFormat="1" ht="27" customHeight="1" x14ac:dyDescent="0.25">
      <c r="A128" s="100">
        <v>82</v>
      </c>
      <c r="B128" s="884"/>
      <c r="C128" s="884"/>
      <c r="D128" s="726"/>
      <c r="E128" s="724"/>
      <c r="F128" s="723"/>
      <c r="G128" s="726"/>
      <c r="H128" s="723"/>
      <c r="I128" s="105">
        <f t="shared" si="20"/>
        <v>0</v>
      </c>
      <c r="J128" s="451"/>
      <c r="K128" s="389"/>
      <c r="L128" s="687"/>
      <c r="M128" s="389"/>
      <c r="N128" s="620"/>
      <c r="O128" s="843"/>
      <c r="P128" s="840"/>
      <c r="Q128" s="535"/>
      <c r="R128" s="836"/>
      <c r="S128" s="65">
        <f t="shared" si="24"/>
        <v>0</v>
      </c>
      <c r="T128" s="170" t="e">
        <f t="shared" si="25"/>
        <v>#DIV/0!</v>
      </c>
    </row>
    <row r="129" spans="1:20" s="152" customFormat="1" ht="18.75" x14ac:dyDescent="0.25">
      <c r="A129" s="100">
        <v>83</v>
      </c>
      <c r="B129" s="884"/>
      <c r="C129" s="884"/>
      <c r="D129" s="753"/>
      <c r="E129" s="724"/>
      <c r="F129" s="723"/>
      <c r="G129" s="726"/>
      <c r="H129" s="723"/>
      <c r="I129" s="105">
        <f t="shared" si="20"/>
        <v>0</v>
      </c>
      <c r="J129" s="451"/>
      <c r="K129" s="389"/>
      <c r="L129" s="687"/>
      <c r="M129" s="389"/>
      <c r="N129" s="620"/>
      <c r="O129" s="843"/>
      <c r="P129" s="840"/>
      <c r="Q129" s="535"/>
      <c r="R129" s="836"/>
      <c r="S129" s="65">
        <f t="shared" si="24"/>
        <v>0</v>
      </c>
      <c r="T129" s="170" t="e">
        <f t="shared" si="25"/>
        <v>#DIV/0!</v>
      </c>
    </row>
    <row r="130" spans="1:20" s="152" customFormat="1" ht="33" customHeight="1" x14ac:dyDescent="0.25">
      <c r="A130" s="100">
        <v>84</v>
      </c>
      <c r="B130" s="883"/>
      <c r="C130" s="884"/>
      <c r="D130" s="726"/>
      <c r="E130" s="724"/>
      <c r="F130" s="723"/>
      <c r="G130" s="726"/>
      <c r="H130" s="723"/>
      <c r="I130" s="105">
        <f t="shared" si="20"/>
        <v>0</v>
      </c>
      <c r="J130" s="451"/>
      <c r="K130" s="389"/>
      <c r="L130" s="687"/>
      <c r="M130" s="389"/>
      <c r="N130" s="620"/>
      <c r="O130" s="838"/>
      <c r="P130" s="839"/>
      <c r="Q130" s="535"/>
      <c r="R130" s="836"/>
      <c r="S130" s="65">
        <f t="shared" si="24"/>
        <v>0</v>
      </c>
      <c r="T130" s="170" t="e">
        <f t="shared" si="25"/>
        <v>#DIV/0!</v>
      </c>
    </row>
    <row r="131" spans="1:20" s="152" customFormat="1" ht="18.75" x14ac:dyDescent="0.25">
      <c r="A131" s="100">
        <v>85</v>
      </c>
      <c r="B131" s="883"/>
      <c r="C131" s="884"/>
      <c r="D131" s="753"/>
      <c r="E131" s="724"/>
      <c r="F131" s="723"/>
      <c r="G131" s="726"/>
      <c r="H131" s="723"/>
      <c r="I131" s="105">
        <f t="shared" si="20"/>
        <v>0</v>
      </c>
      <c r="J131" s="451"/>
      <c r="K131" s="389"/>
      <c r="L131" s="687"/>
      <c r="M131" s="389"/>
      <c r="N131" s="620"/>
      <c r="O131" s="838"/>
      <c r="P131" s="839"/>
      <c r="Q131" s="535"/>
      <c r="R131" s="836"/>
      <c r="S131" s="65">
        <f t="shared" si="24"/>
        <v>0</v>
      </c>
      <c r="T131" s="170" t="e">
        <f t="shared" si="25"/>
        <v>#DIV/0!</v>
      </c>
    </row>
    <row r="132" spans="1:20" s="152" customFormat="1" ht="35.25" customHeight="1" x14ac:dyDescent="0.25">
      <c r="A132" s="100">
        <v>86</v>
      </c>
      <c r="B132" s="886"/>
      <c r="C132" s="884"/>
      <c r="D132" s="726"/>
      <c r="E132" s="832"/>
      <c r="F132" s="723"/>
      <c r="G132" s="726"/>
      <c r="H132" s="723"/>
      <c r="I132" s="105">
        <f t="shared" ref="I132:I135" si="26">H132-F132</f>
        <v>0</v>
      </c>
      <c r="J132" s="451"/>
      <c r="K132" s="389"/>
      <c r="L132" s="687"/>
      <c r="M132" s="389"/>
      <c r="N132" s="620"/>
      <c r="O132" s="850"/>
      <c r="P132" s="839"/>
      <c r="Q132" s="535"/>
      <c r="R132" s="844"/>
      <c r="S132" s="65">
        <f t="shared" si="24"/>
        <v>0</v>
      </c>
      <c r="T132" s="170" t="e">
        <f t="shared" si="25"/>
        <v>#DIV/0!</v>
      </c>
    </row>
    <row r="133" spans="1:20" s="152" customFormat="1" ht="30" customHeight="1" x14ac:dyDescent="0.3">
      <c r="A133" s="100">
        <v>87</v>
      </c>
      <c r="B133" s="886"/>
      <c r="C133" s="885"/>
      <c r="D133" s="1023"/>
      <c r="E133" s="832"/>
      <c r="F133" s="616"/>
      <c r="G133" s="615"/>
      <c r="H133" s="570"/>
      <c r="I133" s="477">
        <f t="shared" si="26"/>
        <v>0</v>
      </c>
      <c r="J133" s="515"/>
      <c r="K133" s="389"/>
      <c r="L133" s="687"/>
      <c r="M133" s="389"/>
      <c r="N133" s="621"/>
      <c r="O133" s="850"/>
      <c r="P133" s="835"/>
      <c r="Q133" s="538"/>
      <c r="R133" s="836"/>
      <c r="S133" s="65">
        <f t="shared" si="24"/>
        <v>0</v>
      </c>
      <c r="T133" s="170" t="e">
        <f t="shared" si="25"/>
        <v>#DIV/0!</v>
      </c>
    </row>
    <row r="134" spans="1:20" s="152" customFormat="1" ht="33" customHeight="1" x14ac:dyDescent="0.3">
      <c r="A134" s="100">
        <v>88</v>
      </c>
      <c r="B134" s="886"/>
      <c r="C134" s="884"/>
      <c r="D134" s="596"/>
      <c r="E134" s="832"/>
      <c r="F134" s="570"/>
      <c r="G134" s="596"/>
      <c r="H134" s="570"/>
      <c r="I134" s="341">
        <f t="shared" si="26"/>
        <v>0</v>
      </c>
      <c r="J134" s="452"/>
      <c r="K134" s="389"/>
      <c r="L134" s="687"/>
      <c r="M134" s="389"/>
      <c r="N134" s="620"/>
      <c r="O134" s="850"/>
      <c r="P134" s="840"/>
      <c r="Q134" s="535"/>
      <c r="R134" s="844"/>
      <c r="S134" s="65">
        <f t="shared" si="24"/>
        <v>0</v>
      </c>
      <c r="T134" s="170" t="e">
        <f t="shared" si="25"/>
        <v>#DIV/0!</v>
      </c>
    </row>
    <row r="135" spans="1:20" s="152" customFormat="1" ht="33" customHeight="1" x14ac:dyDescent="0.3">
      <c r="A135" s="100">
        <v>89</v>
      </c>
      <c r="B135" s="886"/>
      <c r="C135" s="883"/>
      <c r="D135" s="657"/>
      <c r="E135" s="832"/>
      <c r="F135" s="570"/>
      <c r="G135" s="596"/>
      <c r="H135" s="570"/>
      <c r="I135" s="341">
        <f t="shared" si="26"/>
        <v>0</v>
      </c>
      <c r="J135" s="452"/>
      <c r="K135" s="389"/>
      <c r="L135" s="687"/>
      <c r="M135" s="389"/>
      <c r="N135" s="620"/>
      <c r="O135" s="850"/>
      <c r="P135" s="840"/>
      <c r="Q135" s="535"/>
      <c r="R135" s="844"/>
      <c r="S135" s="65">
        <f t="shared" ref="S135:S173" si="27">Q135+M135+K135</f>
        <v>0</v>
      </c>
      <c r="T135" s="170" t="e">
        <f t="shared" ref="T135:T173" si="28">S135/H135</f>
        <v>#DIV/0!</v>
      </c>
    </row>
    <row r="136" spans="1:20" s="152" customFormat="1" ht="28.5" customHeight="1" x14ac:dyDescent="0.25">
      <c r="A136" s="100">
        <v>90</v>
      </c>
      <c r="B136" s="884"/>
      <c r="C136" s="884"/>
      <c r="D136" s="596"/>
      <c r="E136" s="574"/>
      <c r="F136" s="570"/>
      <c r="G136" s="596"/>
      <c r="H136" s="570"/>
      <c r="I136" s="105">
        <f t="shared" ref="I136:I188" si="29">H136-F136</f>
        <v>0</v>
      </c>
      <c r="J136" s="451"/>
      <c r="K136" s="389"/>
      <c r="L136" s="687"/>
      <c r="M136" s="389"/>
      <c r="N136" s="620"/>
      <c r="O136" s="845"/>
      <c r="P136" s="839"/>
      <c r="Q136" s="535"/>
      <c r="R136" s="844"/>
      <c r="S136" s="65">
        <f t="shared" si="27"/>
        <v>0</v>
      </c>
      <c r="T136" s="170" t="e">
        <f t="shared" si="28"/>
        <v>#DIV/0!</v>
      </c>
    </row>
    <row r="137" spans="1:20" s="152" customFormat="1" ht="29.25" customHeight="1" x14ac:dyDescent="0.25">
      <c r="A137" s="100">
        <v>91</v>
      </c>
      <c r="B137" s="884"/>
      <c r="C137" s="884"/>
      <c r="D137" s="1024"/>
      <c r="E137" s="574"/>
      <c r="F137" s="570"/>
      <c r="G137" s="596"/>
      <c r="H137" s="570"/>
      <c r="I137" s="105">
        <f t="shared" si="29"/>
        <v>0</v>
      </c>
      <c r="J137" s="451"/>
      <c r="K137" s="389"/>
      <c r="L137" s="687"/>
      <c r="M137" s="389"/>
      <c r="N137" s="620"/>
      <c r="O137" s="846"/>
      <c r="P137" s="839"/>
      <c r="Q137" s="535"/>
      <c r="R137" s="844"/>
      <c r="S137" s="65">
        <f t="shared" si="27"/>
        <v>0</v>
      </c>
      <c r="T137" s="170" t="e">
        <f t="shared" si="28"/>
        <v>#DIV/0!</v>
      </c>
    </row>
    <row r="138" spans="1:20" s="152" customFormat="1" ht="29.25" customHeight="1" x14ac:dyDescent="0.25">
      <c r="A138" s="100">
        <v>92</v>
      </c>
      <c r="B138" s="884"/>
      <c r="C138" s="884"/>
      <c r="D138" s="1024"/>
      <c r="E138" s="574"/>
      <c r="F138" s="570"/>
      <c r="G138" s="596"/>
      <c r="H138" s="570"/>
      <c r="I138" s="105">
        <f t="shared" si="29"/>
        <v>0</v>
      </c>
      <c r="J138" s="451"/>
      <c r="K138" s="389"/>
      <c r="L138" s="687"/>
      <c r="M138" s="389"/>
      <c r="N138" s="620"/>
      <c r="O138" s="846"/>
      <c r="P138" s="839"/>
      <c r="Q138" s="535"/>
      <c r="R138" s="844"/>
      <c r="S138" s="65">
        <f t="shared" si="27"/>
        <v>0</v>
      </c>
      <c r="T138" s="170" t="e">
        <f t="shared" si="28"/>
        <v>#DIV/0!</v>
      </c>
    </row>
    <row r="139" spans="1:20" s="152" customFormat="1" ht="15.75" x14ac:dyDescent="0.25">
      <c r="A139" s="100">
        <v>93</v>
      </c>
      <c r="B139" s="884"/>
      <c r="C139" s="884"/>
      <c r="D139" s="1024"/>
      <c r="E139" s="574"/>
      <c r="F139" s="570"/>
      <c r="G139" s="596"/>
      <c r="H139" s="570"/>
      <c r="I139" s="105">
        <f t="shared" si="29"/>
        <v>0</v>
      </c>
      <c r="J139" s="451"/>
      <c r="K139" s="389"/>
      <c r="L139" s="687"/>
      <c r="M139" s="389"/>
      <c r="N139" s="620"/>
      <c r="O139" s="845"/>
      <c r="P139" s="839"/>
      <c r="Q139" s="535"/>
      <c r="R139" s="844"/>
      <c r="S139" s="65">
        <f t="shared" si="27"/>
        <v>0</v>
      </c>
      <c r="T139" s="170" t="e">
        <f t="shared" si="28"/>
        <v>#DIV/0!</v>
      </c>
    </row>
    <row r="140" spans="1:20" s="152" customFormat="1" ht="29.25" customHeight="1" x14ac:dyDescent="0.25">
      <c r="A140" s="100">
        <v>94</v>
      </c>
      <c r="B140" s="884"/>
      <c r="C140" s="884"/>
      <c r="D140" s="1024"/>
      <c r="E140" s="574"/>
      <c r="F140" s="570"/>
      <c r="G140" s="596"/>
      <c r="H140" s="570"/>
      <c r="I140" s="105">
        <f t="shared" si="29"/>
        <v>0</v>
      </c>
      <c r="J140" s="451"/>
      <c r="K140" s="389"/>
      <c r="L140" s="687"/>
      <c r="M140" s="389"/>
      <c r="N140" s="620"/>
      <c r="O140" s="845"/>
      <c r="P140" s="839"/>
      <c r="Q140" s="535"/>
      <c r="R140" s="844"/>
      <c r="S140" s="65">
        <f t="shared" si="27"/>
        <v>0</v>
      </c>
      <c r="T140" s="170" t="e">
        <f t="shared" si="28"/>
        <v>#DIV/0!</v>
      </c>
    </row>
    <row r="141" spans="1:20" s="152" customFormat="1" ht="37.5" customHeight="1" x14ac:dyDescent="0.25">
      <c r="A141" s="100">
        <v>95</v>
      </c>
      <c r="B141" s="884"/>
      <c r="C141" s="884"/>
      <c r="D141" s="1024"/>
      <c r="E141" s="574"/>
      <c r="F141" s="570"/>
      <c r="G141" s="596"/>
      <c r="H141" s="570"/>
      <c r="I141" s="105">
        <f t="shared" si="29"/>
        <v>0</v>
      </c>
      <c r="J141" s="451"/>
      <c r="K141" s="389"/>
      <c r="L141" s="687"/>
      <c r="M141" s="389"/>
      <c r="N141" s="620"/>
      <c r="O141" s="846"/>
      <c r="P141" s="839"/>
      <c r="Q141" s="535"/>
      <c r="R141" s="844"/>
      <c r="S141" s="65">
        <f t="shared" si="27"/>
        <v>0</v>
      </c>
      <c r="T141" s="170" t="e">
        <f t="shared" si="28"/>
        <v>#DIV/0!</v>
      </c>
    </row>
    <row r="142" spans="1:20" s="152" customFormat="1" ht="34.5" customHeight="1" x14ac:dyDescent="0.25">
      <c r="A142" s="100">
        <v>96</v>
      </c>
      <c r="B142" s="884"/>
      <c r="C142" s="884"/>
      <c r="D142" s="596"/>
      <c r="E142" s="574"/>
      <c r="F142" s="570"/>
      <c r="G142" s="596"/>
      <c r="H142" s="570"/>
      <c r="I142" s="105">
        <f t="shared" si="29"/>
        <v>0</v>
      </c>
      <c r="J142" s="451"/>
      <c r="K142" s="389"/>
      <c r="L142" s="687"/>
      <c r="M142" s="389"/>
      <c r="N142" s="620"/>
      <c r="O142" s="851"/>
      <c r="P142" s="840"/>
      <c r="Q142" s="535"/>
      <c r="R142" s="844"/>
      <c r="S142" s="65">
        <f t="shared" si="27"/>
        <v>0</v>
      </c>
      <c r="T142" s="170" t="e">
        <f t="shared" si="28"/>
        <v>#DIV/0!</v>
      </c>
    </row>
    <row r="143" spans="1:20" s="152" customFormat="1" ht="21.75" customHeight="1" x14ac:dyDescent="0.25">
      <c r="A143" s="100">
        <v>97</v>
      </c>
      <c r="B143" s="884"/>
      <c r="C143" s="884"/>
      <c r="D143" s="1024"/>
      <c r="E143" s="574"/>
      <c r="F143" s="570"/>
      <c r="G143" s="596"/>
      <c r="H143" s="570"/>
      <c r="I143" s="105">
        <f t="shared" si="29"/>
        <v>0</v>
      </c>
      <c r="J143" s="451"/>
      <c r="K143" s="389"/>
      <c r="L143" s="687"/>
      <c r="M143" s="389"/>
      <c r="N143" s="620"/>
      <c r="O143" s="846"/>
      <c r="P143" s="839"/>
      <c r="Q143" s="535"/>
      <c r="R143" s="844"/>
      <c r="S143" s="65">
        <f t="shared" si="27"/>
        <v>0</v>
      </c>
      <c r="T143" s="170" t="e">
        <f t="shared" si="28"/>
        <v>#DIV/0!</v>
      </c>
    </row>
    <row r="144" spans="1:20" s="152" customFormat="1" ht="24" customHeight="1" x14ac:dyDescent="0.25">
      <c r="A144" s="100">
        <v>98</v>
      </c>
      <c r="B144" s="884"/>
      <c r="C144" s="884"/>
      <c r="D144" s="1024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7"/>
      <c r="M144" s="389"/>
      <c r="N144" s="624"/>
      <c r="O144" s="846"/>
      <c r="P144" s="840"/>
      <c r="Q144" s="535"/>
      <c r="R144" s="844"/>
      <c r="S144" s="65">
        <f t="shared" si="27"/>
        <v>0</v>
      </c>
      <c r="T144" s="170" t="e">
        <f t="shared" si="28"/>
        <v>#DIV/0!</v>
      </c>
    </row>
    <row r="145" spans="1:20" s="152" customFormat="1" ht="22.5" x14ac:dyDescent="0.3">
      <c r="A145" s="100">
        <v>99</v>
      </c>
      <c r="B145" s="884"/>
      <c r="C145" s="884"/>
      <c r="D145" s="596"/>
      <c r="E145" s="833"/>
      <c r="F145" s="570"/>
      <c r="G145" s="596"/>
      <c r="H145" s="570"/>
      <c r="I145" s="105">
        <f t="shared" si="29"/>
        <v>0</v>
      </c>
      <c r="J145" s="597"/>
      <c r="K145" s="389"/>
      <c r="L145" s="687"/>
      <c r="M145" s="389"/>
      <c r="N145" s="624"/>
      <c r="O145" s="841"/>
      <c r="P145" s="840"/>
      <c r="Q145" s="535"/>
      <c r="R145" s="844"/>
      <c r="S145" s="65">
        <f t="shared" si="27"/>
        <v>0</v>
      </c>
      <c r="T145" s="170" t="e">
        <f t="shared" si="28"/>
        <v>#DIV/0!</v>
      </c>
    </row>
    <row r="146" spans="1:20" s="152" customFormat="1" ht="22.5" x14ac:dyDescent="0.3">
      <c r="A146" s="100">
        <v>100</v>
      </c>
      <c r="B146" s="884"/>
      <c r="C146" s="884"/>
      <c r="D146" s="596"/>
      <c r="E146" s="833"/>
      <c r="F146" s="570"/>
      <c r="G146" s="596"/>
      <c r="H146" s="570"/>
      <c r="I146" s="105">
        <f t="shared" si="29"/>
        <v>0</v>
      </c>
      <c r="J146" s="597"/>
      <c r="K146" s="389"/>
      <c r="L146" s="687"/>
      <c r="M146" s="389"/>
      <c r="N146" s="624"/>
      <c r="O146" s="841"/>
      <c r="P146" s="840"/>
      <c r="Q146" s="535"/>
      <c r="R146" s="844"/>
      <c r="S146" s="65">
        <f t="shared" si="27"/>
        <v>0</v>
      </c>
      <c r="T146" s="170" t="e">
        <f t="shared" si="28"/>
        <v>#DIV/0!</v>
      </c>
    </row>
    <row r="147" spans="1:20" s="152" customFormat="1" ht="22.5" x14ac:dyDescent="0.3">
      <c r="A147" s="100">
        <v>101</v>
      </c>
      <c r="B147" s="884"/>
      <c r="C147" s="884"/>
      <c r="D147" s="596"/>
      <c r="E147" s="833"/>
      <c r="F147" s="570"/>
      <c r="G147" s="596"/>
      <c r="H147" s="570"/>
      <c r="I147" s="105">
        <f t="shared" si="29"/>
        <v>0</v>
      </c>
      <c r="J147" s="597"/>
      <c r="K147" s="389"/>
      <c r="L147" s="687"/>
      <c r="M147" s="389"/>
      <c r="N147" s="624"/>
      <c r="O147" s="841"/>
      <c r="P147" s="840"/>
      <c r="Q147" s="535"/>
      <c r="R147" s="844"/>
      <c r="S147" s="65">
        <f t="shared" si="27"/>
        <v>0</v>
      </c>
      <c r="T147" s="170" t="e">
        <f t="shared" si="28"/>
        <v>#DIV/0!</v>
      </c>
    </row>
    <row r="148" spans="1:20" s="152" customFormat="1" ht="22.5" x14ac:dyDescent="0.3">
      <c r="A148" s="100">
        <v>102</v>
      </c>
      <c r="B148" s="884"/>
      <c r="C148" s="884"/>
      <c r="D148" s="596"/>
      <c r="E148" s="833"/>
      <c r="F148" s="570"/>
      <c r="G148" s="596"/>
      <c r="H148" s="570"/>
      <c r="I148" s="105">
        <f t="shared" si="29"/>
        <v>0</v>
      </c>
      <c r="J148" s="597"/>
      <c r="K148" s="389"/>
      <c r="L148" s="687"/>
      <c r="M148" s="389"/>
      <c r="N148" s="624"/>
      <c r="O148" s="841"/>
      <c r="P148" s="840"/>
      <c r="Q148" s="535"/>
      <c r="R148" s="844"/>
      <c r="S148" s="65">
        <f t="shared" si="27"/>
        <v>0</v>
      </c>
      <c r="T148" s="170" t="e">
        <f t="shared" si="28"/>
        <v>#DIV/0!</v>
      </c>
    </row>
    <row r="149" spans="1:20" s="152" customFormat="1" ht="15.75" x14ac:dyDescent="0.25">
      <c r="A149" s="100">
        <v>103</v>
      </c>
      <c r="B149" s="884"/>
      <c r="C149" s="884"/>
      <c r="D149" s="1024"/>
      <c r="E149" s="574"/>
      <c r="F149" s="570"/>
      <c r="G149" s="596"/>
      <c r="H149" s="570"/>
      <c r="I149" s="105">
        <f t="shared" ref="I149" si="30">H149-F149</f>
        <v>0</v>
      </c>
      <c r="J149" s="451"/>
      <c r="K149" s="389"/>
      <c r="L149" s="687"/>
      <c r="M149" s="389"/>
      <c r="N149" s="620"/>
      <c r="O149" s="846"/>
      <c r="P149" s="839"/>
      <c r="Q149" s="535"/>
      <c r="R149" s="844"/>
      <c r="S149" s="65">
        <f t="shared" si="27"/>
        <v>0</v>
      </c>
      <c r="T149" s="170" t="e">
        <f t="shared" si="28"/>
        <v>#DIV/0!</v>
      </c>
    </row>
    <row r="150" spans="1:20" s="152" customFormat="1" ht="29.25" customHeight="1" x14ac:dyDescent="0.25">
      <c r="A150" s="100">
        <v>104</v>
      </c>
      <c r="B150" s="887"/>
      <c r="C150" s="884"/>
      <c r="D150" s="596"/>
      <c r="E150" s="574"/>
      <c r="F150" s="570"/>
      <c r="G150" s="596"/>
      <c r="H150" s="570"/>
      <c r="I150" s="417">
        <f t="shared" si="29"/>
        <v>0</v>
      </c>
      <c r="J150" s="453"/>
      <c r="K150" s="389"/>
      <c r="L150" s="687"/>
      <c r="M150" s="389"/>
      <c r="N150" s="624"/>
      <c r="O150" s="845"/>
      <c r="P150" s="840"/>
      <c r="Q150" s="535"/>
      <c r="R150" s="847"/>
      <c r="S150" s="65">
        <f t="shared" si="27"/>
        <v>0</v>
      </c>
      <c r="T150" s="170" t="e">
        <f t="shared" si="28"/>
        <v>#DIV/0!</v>
      </c>
    </row>
    <row r="151" spans="1:20" s="152" customFormat="1" ht="25.5" customHeight="1" x14ac:dyDescent="0.25">
      <c r="A151" s="100">
        <v>105</v>
      </c>
      <c r="B151" s="884"/>
      <c r="C151" s="884"/>
      <c r="D151" s="596"/>
      <c r="E151" s="574"/>
      <c r="F151" s="570"/>
      <c r="G151" s="596"/>
      <c r="H151" s="570"/>
      <c r="I151" s="105">
        <f t="shared" si="29"/>
        <v>0</v>
      </c>
      <c r="J151" s="453"/>
      <c r="K151" s="389"/>
      <c r="L151" s="687"/>
      <c r="M151" s="389"/>
      <c r="N151" s="624"/>
      <c r="O151" s="846"/>
      <c r="P151" s="840"/>
      <c r="Q151" s="535"/>
      <c r="R151" s="847"/>
      <c r="S151" s="65">
        <f t="shared" si="27"/>
        <v>0</v>
      </c>
      <c r="T151" s="170" t="e">
        <f t="shared" si="28"/>
        <v>#DIV/0!</v>
      </c>
    </row>
    <row r="152" spans="1:20" s="152" customFormat="1" ht="26.25" customHeight="1" x14ac:dyDescent="0.25">
      <c r="A152" s="100"/>
      <c r="B152" s="884"/>
      <c r="C152" s="884"/>
      <c r="D152" s="596"/>
      <c r="E152" s="574"/>
      <c r="F152" s="570"/>
      <c r="G152" s="596"/>
      <c r="H152" s="570"/>
      <c r="I152" s="105">
        <f t="shared" si="29"/>
        <v>0</v>
      </c>
      <c r="J152" s="453"/>
      <c r="K152" s="389"/>
      <c r="L152" s="687"/>
      <c r="M152" s="389"/>
      <c r="N152" s="624"/>
      <c r="O152" s="846"/>
      <c r="P152" s="840"/>
      <c r="Q152" s="535"/>
      <c r="R152" s="847"/>
      <c r="S152" s="65">
        <f t="shared" si="27"/>
        <v>0</v>
      </c>
      <c r="T152" s="170" t="e">
        <f t="shared" si="28"/>
        <v>#DIV/0!</v>
      </c>
    </row>
    <row r="153" spans="1:20" s="152" customFormat="1" ht="18.75" customHeight="1" x14ac:dyDescent="0.25">
      <c r="A153" s="100"/>
      <c r="B153" s="884"/>
      <c r="C153" s="884"/>
      <c r="D153" s="596"/>
      <c r="E153" s="574"/>
      <c r="F153" s="570"/>
      <c r="G153" s="596"/>
      <c r="H153" s="570"/>
      <c r="I153" s="105">
        <f t="shared" si="29"/>
        <v>0</v>
      </c>
      <c r="J153" s="453"/>
      <c r="K153" s="389"/>
      <c r="L153" s="687"/>
      <c r="M153" s="389"/>
      <c r="N153" s="624"/>
      <c r="O153" s="612"/>
      <c r="P153" s="390"/>
      <c r="Q153" s="538"/>
      <c r="R153" s="613"/>
      <c r="S153" s="65">
        <f t="shared" si="27"/>
        <v>0</v>
      </c>
      <c r="T153" s="170" t="e">
        <f t="shared" si="28"/>
        <v>#DIV/0!</v>
      </c>
    </row>
    <row r="154" spans="1:20" s="152" customFormat="1" ht="24.75" customHeight="1" x14ac:dyDescent="0.25">
      <c r="A154" s="100"/>
      <c r="B154" s="884"/>
      <c r="C154" s="884"/>
      <c r="D154" s="596"/>
      <c r="E154" s="574"/>
      <c r="F154" s="570"/>
      <c r="G154" s="596"/>
      <c r="H154" s="570"/>
      <c r="I154" s="105">
        <f t="shared" si="29"/>
        <v>0</v>
      </c>
      <c r="J154" s="453"/>
      <c r="K154" s="389"/>
      <c r="L154" s="687"/>
      <c r="M154" s="389"/>
      <c r="N154" s="624"/>
      <c r="O154" s="612"/>
      <c r="P154" s="390"/>
      <c r="Q154" s="538"/>
      <c r="R154" s="388"/>
      <c r="S154" s="65">
        <f t="shared" si="27"/>
        <v>0</v>
      </c>
      <c r="T154" s="170" t="e">
        <f t="shared" si="28"/>
        <v>#DIV/0!</v>
      </c>
    </row>
    <row r="155" spans="1:20" s="152" customFormat="1" ht="27" customHeight="1" x14ac:dyDescent="0.25">
      <c r="A155" s="100"/>
      <c r="B155" s="884"/>
      <c r="C155" s="884"/>
      <c r="D155" s="596"/>
      <c r="E155" s="574"/>
      <c r="F155" s="570"/>
      <c r="G155" s="596"/>
      <c r="H155" s="570"/>
      <c r="I155" s="105">
        <f t="shared" si="29"/>
        <v>0</v>
      </c>
      <c r="J155" s="453"/>
      <c r="K155" s="389"/>
      <c r="L155" s="687"/>
      <c r="M155" s="389"/>
      <c r="N155" s="624"/>
      <c r="O155" s="612"/>
      <c r="P155" s="576"/>
      <c r="Q155" s="538"/>
      <c r="R155" s="388"/>
      <c r="S155" s="65">
        <f t="shared" si="27"/>
        <v>0</v>
      </c>
      <c r="T155" s="170" t="e">
        <f t="shared" si="28"/>
        <v>#DIV/0!</v>
      </c>
    </row>
    <row r="156" spans="1:20" s="152" customFormat="1" ht="27" customHeight="1" x14ac:dyDescent="0.25">
      <c r="A156" s="100"/>
      <c r="B156" s="888"/>
      <c r="C156" s="884"/>
      <c r="D156" s="596"/>
      <c r="E156" s="574"/>
      <c r="F156" s="570"/>
      <c r="G156" s="596"/>
      <c r="H156" s="570"/>
      <c r="I156" s="105">
        <f t="shared" si="29"/>
        <v>0</v>
      </c>
      <c r="J156" s="453"/>
      <c r="K156" s="389"/>
      <c r="L156" s="687"/>
      <c r="M156" s="389"/>
      <c r="N156" s="624"/>
      <c r="O156" s="614"/>
      <c r="P156" s="576"/>
      <c r="Q156" s="538"/>
      <c r="R156" s="661"/>
      <c r="S156" s="65">
        <f t="shared" si="27"/>
        <v>0</v>
      </c>
      <c r="T156" s="170" t="e">
        <f t="shared" si="28"/>
        <v>#DIV/0!</v>
      </c>
    </row>
    <row r="157" spans="1:20" s="152" customFormat="1" ht="29.25" customHeight="1" x14ac:dyDescent="0.25">
      <c r="A157" s="100"/>
      <c r="B157" s="617"/>
      <c r="C157" s="598"/>
      <c r="D157" s="596"/>
      <c r="E157" s="572"/>
      <c r="F157" s="570"/>
      <c r="G157" s="596"/>
      <c r="H157" s="570"/>
      <c r="I157" s="105">
        <f t="shared" si="29"/>
        <v>0</v>
      </c>
      <c r="J157" s="453"/>
      <c r="K157" s="389"/>
      <c r="L157" s="687"/>
      <c r="M157" s="389"/>
      <c r="N157" s="624"/>
      <c r="O157" s="662"/>
      <c r="P157" s="576"/>
      <c r="Q157" s="538"/>
      <c r="R157" s="388"/>
      <c r="S157" s="65">
        <f t="shared" si="27"/>
        <v>0</v>
      </c>
      <c r="T157" s="170" t="e">
        <f t="shared" si="28"/>
        <v>#DIV/0!</v>
      </c>
    </row>
    <row r="158" spans="1:20" s="152" customFormat="1" ht="24.75" customHeight="1" x14ac:dyDescent="0.25">
      <c r="A158" s="100"/>
      <c r="B158" s="379"/>
      <c r="C158" s="379"/>
      <c r="D158" s="596"/>
      <c r="E158" s="572"/>
      <c r="F158" s="570"/>
      <c r="G158" s="596"/>
      <c r="H158" s="570"/>
      <c r="I158" s="105">
        <f t="shared" si="29"/>
        <v>0</v>
      </c>
      <c r="J158" s="453"/>
      <c r="K158" s="389"/>
      <c r="L158" s="687"/>
      <c r="M158" s="389"/>
      <c r="N158" s="624"/>
      <c r="O158" s="614"/>
      <c r="P158" s="390"/>
      <c r="Q158" s="538"/>
      <c r="R158" s="388"/>
      <c r="S158" s="65">
        <f t="shared" si="27"/>
        <v>0</v>
      </c>
      <c r="T158" s="170" t="e">
        <f t="shared" si="28"/>
        <v>#DIV/0!</v>
      </c>
    </row>
    <row r="159" spans="1:20" s="152" customFormat="1" ht="18.75" x14ac:dyDescent="0.25">
      <c r="A159" s="100"/>
      <c r="B159" s="379"/>
      <c r="C159" s="379"/>
      <c r="D159" s="596"/>
      <c r="E159" s="572"/>
      <c r="F159" s="570"/>
      <c r="G159" s="596"/>
      <c r="H159" s="570"/>
      <c r="I159" s="105">
        <f t="shared" si="29"/>
        <v>0</v>
      </c>
      <c r="J159" s="453"/>
      <c r="K159" s="389"/>
      <c r="L159" s="687"/>
      <c r="M159" s="389"/>
      <c r="N159" s="624"/>
      <c r="O159" s="575"/>
      <c r="P159" s="390"/>
      <c r="Q159" s="538"/>
      <c r="R159" s="388"/>
      <c r="S159" s="65">
        <f t="shared" si="27"/>
        <v>0</v>
      </c>
      <c r="T159" s="170" t="e">
        <f t="shared" si="28"/>
        <v>#DIV/0!</v>
      </c>
    </row>
    <row r="160" spans="1:20" s="152" customFormat="1" ht="30.75" customHeight="1" x14ac:dyDescent="0.25">
      <c r="A160" s="100"/>
      <c r="B160" s="644"/>
      <c r="C160" s="379"/>
      <c r="D160" s="596"/>
      <c r="E160" s="572"/>
      <c r="F160" s="570"/>
      <c r="G160" s="596"/>
      <c r="H160" s="570"/>
      <c r="I160" s="105">
        <f t="shared" si="29"/>
        <v>0</v>
      </c>
      <c r="J160" s="453"/>
      <c r="K160" s="389"/>
      <c r="L160" s="687"/>
      <c r="M160" s="389"/>
      <c r="N160" s="658"/>
      <c r="O160" s="575"/>
      <c r="P160" s="390"/>
      <c r="Q160" s="538"/>
      <c r="R160" s="388"/>
      <c r="S160" s="65">
        <f t="shared" si="27"/>
        <v>0</v>
      </c>
      <c r="T160" s="170" t="e">
        <f t="shared" si="28"/>
        <v>#DIV/0!</v>
      </c>
    </row>
    <row r="161" spans="1:20" s="152" customFormat="1" ht="18.75" x14ac:dyDescent="0.25">
      <c r="A161" s="100"/>
      <c r="B161" s="596"/>
      <c r="C161" s="379"/>
      <c r="D161" s="596"/>
      <c r="E161" s="572"/>
      <c r="F161" s="570"/>
      <c r="G161" s="596"/>
      <c r="H161" s="570"/>
      <c r="I161" s="105">
        <f t="shared" si="29"/>
        <v>0</v>
      </c>
      <c r="J161" s="457"/>
      <c r="K161" s="389"/>
      <c r="L161" s="687"/>
      <c r="M161" s="389"/>
      <c r="N161" s="659"/>
      <c r="O161" s="575"/>
      <c r="P161" s="390"/>
      <c r="Q161" s="538"/>
      <c r="R161" s="645"/>
      <c r="S161" s="65">
        <f t="shared" si="27"/>
        <v>0</v>
      </c>
      <c r="T161" s="170" t="e">
        <f t="shared" si="28"/>
        <v>#DIV/0!</v>
      </c>
    </row>
    <row r="162" spans="1:20" s="152" customFormat="1" ht="18.75" x14ac:dyDescent="0.25">
      <c r="A162" s="100"/>
      <c r="B162" s="379"/>
      <c r="C162" s="379"/>
      <c r="D162" s="596"/>
      <c r="E162" s="572"/>
      <c r="F162" s="570"/>
      <c r="G162" s="596"/>
      <c r="H162" s="570"/>
      <c r="I162" s="105">
        <f t="shared" si="29"/>
        <v>0</v>
      </c>
      <c r="J162" s="457"/>
      <c r="K162" s="389"/>
      <c r="L162" s="687"/>
      <c r="M162" s="389"/>
      <c r="N162" s="660"/>
      <c r="O162" s="575"/>
      <c r="P162" s="576"/>
      <c r="Q162" s="538"/>
      <c r="R162" s="645"/>
      <c r="S162" s="65">
        <f t="shared" si="27"/>
        <v>0</v>
      </c>
      <c r="T162" s="170" t="e">
        <f t="shared" si="28"/>
        <v>#DIV/0!</v>
      </c>
    </row>
    <row r="163" spans="1:20" s="152" customFormat="1" ht="27.75" customHeight="1" x14ac:dyDescent="0.25">
      <c r="A163" s="100"/>
      <c r="B163" s="379"/>
      <c r="C163" s="379"/>
      <c r="D163" s="596"/>
      <c r="E163" s="572"/>
      <c r="F163" s="570"/>
      <c r="G163" s="596"/>
      <c r="H163" s="570"/>
      <c r="I163" s="105">
        <f t="shared" si="29"/>
        <v>0</v>
      </c>
      <c r="J163" s="276"/>
      <c r="K163" s="389"/>
      <c r="L163" s="687"/>
      <c r="M163" s="389"/>
      <c r="N163" s="621"/>
      <c r="O163" s="575"/>
      <c r="P163" s="390"/>
      <c r="Q163" s="538"/>
      <c r="R163" s="645"/>
      <c r="S163" s="65">
        <f t="shared" si="27"/>
        <v>0</v>
      </c>
      <c r="T163" s="170" t="e">
        <f t="shared" si="28"/>
        <v>#DIV/0!</v>
      </c>
    </row>
    <row r="164" spans="1:20" s="152" customFormat="1" ht="32.25" customHeight="1" x14ac:dyDescent="0.25">
      <c r="A164" s="100"/>
      <c r="B164" s="379"/>
      <c r="C164" s="379"/>
      <c r="D164" s="596"/>
      <c r="E164" s="572"/>
      <c r="F164" s="570"/>
      <c r="G164" s="596"/>
      <c r="H164" s="570"/>
      <c r="I164" s="105">
        <f t="shared" si="29"/>
        <v>0</v>
      </c>
      <c r="J164" s="276"/>
      <c r="K164" s="389"/>
      <c r="L164" s="687"/>
      <c r="M164" s="389"/>
      <c r="N164" s="621"/>
      <c r="O164" s="575"/>
      <c r="P164" s="390"/>
      <c r="Q164" s="538"/>
      <c r="R164" s="645"/>
      <c r="S164" s="65">
        <f t="shared" si="27"/>
        <v>0</v>
      </c>
      <c r="T164" s="170" t="e">
        <f t="shared" si="28"/>
        <v>#DIV/0!</v>
      </c>
    </row>
    <row r="165" spans="1:20" s="152" customFormat="1" ht="19.5" customHeight="1" x14ac:dyDescent="0.25">
      <c r="A165" s="100"/>
      <c r="B165" s="379"/>
      <c r="C165" s="379"/>
      <c r="D165" s="596"/>
      <c r="E165" s="572"/>
      <c r="F165" s="570"/>
      <c r="G165" s="596"/>
      <c r="H165" s="570"/>
      <c r="I165" s="105">
        <f t="shared" si="29"/>
        <v>0</v>
      </c>
      <c r="J165" s="276"/>
      <c r="K165" s="389"/>
      <c r="L165" s="687"/>
      <c r="M165" s="389"/>
      <c r="N165" s="621"/>
      <c r="O165" s="575"/>
      <c r="P165" s="390"/>
      <c r="Q165" s="538"/>
      <c r="R165" s="645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416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9"/>
      <c r="M166" s="224"/>
      <c r="N166" s="380"/>
      <c r="O166" s="398"/>
      <c r="P166" s="223"/>
      <c r="Q166" s="539"/>
      <c r="R166" s="699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9"/>
      <c r="M167" s="224"/>
      <c r="N167" s="380"/>
      <c r="O167" s="398"/>
      <c r="P167" s="223"/>
      <c r="Q167" s="539"/>
      <c r="R167" s="699"/>
      <c r="S167" s="65">
        <f t="shared" si="27"/>
        <v>0</v>
      </c>
      <c r="T167" s="170" t="e">
        <f t="shared" si="28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89"/>
      <c r="M168" s="224"/>
      <c r="N168" s="380"/>
      <c r="O168" s="398"/>
      <c r="P168" s="223"/>
      <c r="Q168" s="539"/>
      <c r="R168" s="699"/>
      <c r="S168" s="65">
        <f t="shared" si="27"/>
        <v>0</v>
      </c>
      <c r="T168" s="170" t="e">
        <f t="shared" si="28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75"/>
      <c r="I169" s="105">
        <f t="shared" si="29"/>
        <v>0</v>
      </c>
      <c r="J169" s="178"/>
      <c r="K169" s="225"/>
      <c r="L169" s="689"/>
      <c r="M169" s="224"/>
      <c r="N169" s="380"/>
      <c r="O169" s="398"/>
      <c r="P169" s="223"/>
      <c r="Q169" s="539"/>
      <c r="R169" s="699"/>
      <c r="S169" s="65">
        <f t="shared" si="27"/>
        <v>0</v>
      </c>
      <c r="T169" s="170" t="e">
        <f t="shared" si="28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75"/>
      <c r="I170" s="105">
        <f t="shared" si="29"/>
        <v>0</v>
      </c>
      <c r="J170" s="178"/>
      <c r="K170" s="225"/>
      <c r="L170" s="689"/>
      <c r="M170" s="224"/>
      <c r="N170" s="380"/>
      <c r="O170" s="398"/>
      <c r="P170" s="223"/>
      <c r="Q170" s="539"/>
      <c r="R170" s="699"/>
      <c r="S170" s="65">
        <f t="shared" si="27"/>
        <v>0</v>
      </c>
      <c r="T170" s="170" t="e">
        <f t="shared" si="28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75"/>
      <c r="I171" s="105">
        <f t="shared" si="29"/>
        <v>0</v>
      </c>
      <c r="J171" s="178"/>
      <c r="K171" s="225"/>
      <c r="L171" s="689"/>
      <c r="M171" s="224"/>
      <c r="N171" s="380"/>
      <c r="O171" s="398"/>
      <c r="P171" s="223"/>
      <c r="Q171" s="539"/>
      <c r="R171" s="699"/>
      <c r="S171" s="65">
        <f t="shared" si="27"/>
        <v>0</v>
      </c>
      <c r="T171" s="170" t="e">
        <f t="shared" si="28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75"/>
      <c r="I172" s="105">
        <f t="shared" si="29"/>
        <v>0</v>
      </c>
      <c r="J172" s="178"/>
      <c r="K172" s="225"/>
      <c r="L172" s="689"/>
      <c r="M172" s="224"/>
      <c r="N172" s="380"/>
      <c r="O172" s="398"/>
      <c r="P172" s="223"/>
      <c r="Q172" s="539"/>
      <c r="R172" s="699"/>
      <c r="S172" s="65">
        <f t="shared" si="27"/>
        <v>0</v>
      </c>
      <c r="T172" s="170" t="e">
        <f t="shared" si="28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75"/>
      <c r="I173" s="105">
        <f t="shared" si="29"/>
        <v>0</v>
      </c>
      <c r="J173" s="178"/>
      <c r="K173" s="225"/>
      <c r="L173" s="689"/>
      <c r="M173" s="224"/>
      <c r="N173" s="347"/>
      <c r="O173" s="398"/>
      <c r="P173" s="223"/>
      <c r="Q173" s="540"/>
      <c r="R173" s="700"/>
      <c r="S173" s="65">
        <f t="shared" si="27"/>
        <v>0</v>
      </c>
      <c r="T173" s="170" t="e">
        <f t="shared" si="28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75"/>
      <c r="I174" s="105">
        <f t="shared" si="29"/>
        <v>0</v>
      </c>
      <c r="J174" s="178"/>
      <c r="K174" s="225"/>
      <c r="L174" s="689"/>
      <c r="M174" s="224"/>
      <c r="N174" s="347"/>
      <c r="O174" s="398"/>
      <c r="P174" s="223"/>
      <c r="Q174" s="540"/>
      <c r="R174" s="700"/>
      <c r="S174" s="65"/>
      <c r="T174" s="65"/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75"/>
      <c r="I175" s="105">
        <f t="shared" si="29"/>
        <v>0</v>
      </c>
      <c r="J175" s="178"/>
      <c r="K175" s="225"/>
      <c r="L175" s="689"/>
      <c r="M175" s="224"/>
      <c r="N175" s="347"/>
      <c r="O175" s="398"/>
      <c r="P175" s="223"/>
      <c r="Q175" s="540"/>
      <c r="R175" s="700"/>
      <c r="S175" s="65"/>
      <c r="T175" s="65"/>
    </row>
    <row r="176" spans="1:20" s="152" customFormat="1" ht="15.75" thickBot="1" x14ac:dyDescent="0.3">
      <c r="A176" s="100"/>
      <c r="B176" s="75"/>
      <c r="C176" s="146"/>
      <c r="D176" s="179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9"/>
      <c r="M176" s="71"/>
      <c r="N176" s="347"/>
      <c r="O176" s="127"/>
      <c r="P176" s="116"/>
      <c r="Q176" s="541"/>
      <c r="R176" s="701"/>
      <c r="S176" s="65">
        <f t="shared" ref="S176:S181" si="31">Q176+M176+K176</f>
        <v>0</v>
      </c>
      <c r="T176" s="65" t="e">
        <f t="shared" ref="T176:T184" si="32">S176/H176+0.1</f>
        <v>#DIV/0!</v>
      </c>
    </row>
    <row r="177" spans="1:20" s="152" customFormat="1" ht="15.75" hidden="1" thickBot="1" x14ac:dyDescent="0.3">
      <c r="A177" s="100"/>
      <c r="B177" s="75"/>
      <c r="C177" s="75"/>
      <c r="D177" s="179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9"/>
      <c r="M177" s="71"/>
      <c r="N177" s="347"/>
      <c r="O177" s="127"/>
      <c r="P177" s="116"/>
      <c r="Q177" s="542"/>
      <c r="R177" s="702"/>
      <c r="S177" s="65">
        <f t="shared" si="31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75"/>
      <c r="D178" s="179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9"/>
      <c r="M178" s="71"/>
      <c r="N178" s="347"/>
      <c r="O178" s="127"/>
      <c r="P178" s="116"/>
      <c r="Q178" s="542"/>
      <c r="R178" s="702"/>
      <c r="S178" s="65">
        <f t="shared" si="31"/>
        <v>0</v>
      </c>
      <c r="T178" s="65" t="e">
        <f t="shared" si="32"/>
        <v>#DIV/0!</v>
      </c>
    </row>
    <row r="179" spans="1:20" s="152" customFormat="1" ht="15.75" hidden="1" thickBot="1" x14ac:dyDescent="0.3">
      <c r="A179" s="100"/>
      <c r="B179" s="75"/>
      <c r="C179" s="75"/>
      <c r="D179" s="179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9"/>
      <c r="M179" s="71"/>
      <c r="N179" s="347"/>
      <c r="O179" s="127"/>
      <c r="P179" s="116"/>
      <c r="Q179" s="542"/>
      <c r="R179" s="703"/>
      <c r="S179" s="65">
        <f t="shared" si="31"/>
        <v>0</v>
      </c>
      <c r="T179" s="65" t="e">
        <f t="shared" si="32"/>
        <v>#DIV/0!</v>
      </c>
    </row>
    <row r="180" spans="1:20" s="152" customFormat="1" ht="15.75" hidden="1" thickBot="1" x14ac:dyDescent="0.3">
      <c r="A180" s="100"/>
      <c r="B180" s="75"/>
      <c r="C180" s="75"/>
      <c r="D180" s="179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89"/>
      <c r="M180" s="71"/>
      <c r="N180" s="347"/>
      <c r="O180" s="127"/>
      <c r="P180" s="116"/>
      <c r="Q180" s="542"/>
      <c r="R180" s="703"/>
      <c r="S180" s="65">
        <f t="shared" si="31"/>
        <v>0</v>
      </c>
      <c r="T180" s="65" t="e">
        <f t="shared" si="32"/>
        <v>#DIV/0!</v>
      </c>
    </row>
    <row r="181" spans="1:20" s="152" customFormat="1" ht="15.75" hidden="1" thickBot="1" x14ac:dyDescent="0.3">
      <c r="A181" s="100"/>
      <c r="B181" s="75"/>
      <c r="C181" s="146"/>
      <c r="D181" s="100"/>
      <c r="E181" s="134"/>
      <c r="F181" s="456"/>
      <c r="G181" s="100"/>
      <c r="H181" s="375"/>
      <c r="I181" s="105">
        <f t="shared" si="29"/>
        <v>0</v>
      </c>
      <c r="J181" s="178"/>
      <c r="K181" s="108"/>
      <c r="L181" s="689"/>
      <c r="M181" s="71"/>
      <c r="N181" s="347"/>
      <c r="O181" s="127"/>
      <c r="P181" s="116"/>
      <c r="Q181" s="402"/>
      <c r="R181" s="704"/>
      <c r="S181" s="65">
        <f t="shared" si="31"/>
        <v>0</v>
      </c>
      <c r="T181" s="65" t="e">
        <f t="shared" si="32"/>
        <v>#DIV/0!</v>
      </c>
    </row>
    <row r="182" spans="1:20" s="152" customFormat="1" ht="15.75" hidden="1" thickBot="1" x14ac:dyDescent="0.3">
      <c r="A182" s="100"/>
      <c r="B182" s="75"/>
      <c r="C182" s="146"/>
      <c r="D182" s="101"/>
      <c r="E182" s="134"/>
      <c r="F182" s="456"/>
      <c r="G182" s="100"/>
      <c r="H182" s="375"/>
      <c r="I182" s="105">
        <f t="shared" si="29"/>
        <v>0</v>
      </c>
      <c r="J182" s="178"/>
      <c r="K182" s="108"/>
      <c r="L182" s="689"/>
      <c r="M182" s="71"/>
      <c r="N182" s="347"/>
      <c r="O182" s="127"/>
      <c r="P182" s="116"/>
      <c r="Q182" s="402"/>
      <c r="R182" s="704"/>
      <c r="S182" s="65">
        <f t="shared" ref="S182:S187" si="33">Q182+M182+K182</f>
        <v>0</v>
      </c>
      <c r="T182" s="65" t="e">
        <f t="shared" si="32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56"/>
      <c r="G183" s="100"/>
      <c r="H183" s="375"/>
      <c r="I183" s="105">
        <f t="shared" si="29"/>
        <v>0</v>
      </c>
      <c r="J183" s="178"/>
      <c r="K183" s="108"/>
      <c r="L183" s="689"/>
      <c r="M183" s="71"/>
      <c r="N183" s="347"/>
      <c r="O183" s="127"/>
      <c r="P183" s="116"/>
      <c r="Q183" s="402"/>
      <c r="R183" s="704"/>
      <c r="S183" s="65">
        <f t="shared" si="33"/>
        <v>0</v>
      </c>
      <c r="T183" s="65" t="e">
        <f t="shared" si="32"/>
        <v>#DIV/0!</v>
      </c>
    </row>
    <row r="184" spans="1:20" s="152" customFormat="1" ht="15.75" hidden="1" thickBot="1" x14ac:dyDescent="0.3">
      <c r="A184" s="100"/>
      <c r="B184" s="75"/>
      <c r="C184" s="148"/>
      <c r="D184" s="101"/>
      <c r="E184" s="134"/>
      <c r="F184" s="456"/>
      <c r="G184" s="100"/>
      <c r="H184" s="375"/>
      <c r="I184" s="105">
        <f t="shared" si="29"/>
        <v>0</v>
      </c>
      <c r="J184" s="178"/>
      <c r="K184" s="108"/>
      <c r="L184" s="689"/>
      <c r="M184" s="71"/>
      <c r="N184" s="347"/>
      <c r="O184" s="127"/>
      <c r="P184" s="116"/>
      <c r="Q184" s="402"/>
      <c r="R184" s="704"/>
      <c r="S184" s="65">
        <f t="shared" si="33"/>
        <v>0</v>
      </c>
      <c r="T184" s="65" t="e">
        <f t="shared" si="32"/>
        <v>#DIV/0!</v>
      </c>
    </row>
    <row r="185" spans="1:20" s="152" customFormat="1" ht="15.75" hidden="1" thickBot="1" x14ac:dyDescent="0.3">
      <c r="A185" s="100"/>
      <c r="B185" s="75"/>
      <c r="C185" s="148"/>
      <c r="D185" s="101"/>
      <c r="E185" s="134"/>
      <c r="F185" s="456"/>
      <c r="G185" s="100"/>
      <c r="H185" s="375"/>
      <c r="I185" s="105">
        <f t="shared" si="29"/>
        <v>0</v>
      </c>
      <c r="J185" s="178"/>
      <c r="K185" s="108"/>
      <c r="L185" s="689"/>
      <c r="M185" s="71"/>
      <c r="N185" s="347"/>
      <c r="O185" s="127"/>
      <c r="P185" s="116"/>
      <c r="Q185" s="402"/>
      <c r="R185" s="704"/>
      <c r="S185" s="65">
        <f t="shared" si="33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148"/>
      <c r="D186" s="153"/>
      <c r="E186" s="134"/>
      <c r="F186" s="456"/>
      <c r="G186" s="100"/>
      <c r="H186" s="375"/>
      <c r="I186" s="105">
        <f t="shared" si="29"/>
        <v>0</v>
      </c>
      <c r="J186" s="178"/>
      <c r="K186" s="108"/>
      <c r="L186" s="689"/>
      <c r="M186" s="71"/>
      <c r="N186" s="347"/>
      <c r="O186" s="127"/>
      <c r="P186" s="116"/>
      <c r="Q186" s="543"/>
      <c r="R186" s="701"/>
      <c r="S186" s="65">
        <f t="shared" si="33"/>
        <v>0</v>
      </c>
      <c r="T186" s="65" t="e">
        <f>S186/H186</f>
        <v>#DIV/0!</v>
      </c>
    </row>
    <row r="187" spans="1:20" s="152" customFormat="1" ht="15.75" hidden="1" thickBot="1" x14ac:dyDescent="0.3">
      <c r="A187" s="100"/>
      <c r="B187" s="75"/>
      <c r="C187" s="148"/>
      <c r="D187" s="153"/>
      <c r="E187" s="134"/>
      <c r="F187" s="456"/>
      <c r="G187" s="100"/>
      <c r="H187" s="375"/>
      <c r="I187" s="105">
        <f t="shared" si="29"/>
        <v>0</v>
      </c>
      <c r="J187" s="178"/>
      <c r="K187" s="108"/>
      <c r="L187" s="689"/>
      <c r="M187" s="71"/>
      <c r="N187" s="347"/>
      <c r="O187" s="127"/>
      <c r="P187" s="116"/>
      <c r="Q187" s="543"/>
      <c r="R187" s="705"/>
      <c r="S187" s="65">
        <f t="shared" si="33"/>
        <v>0</v>
      </c>
      <c r="T187" s="65" t="e">
        <f>S187/H187</f>
        <v>#DIV/0!</v>
      </c>
    </row>
    <row r="188" spans="1:20" s="152" customFormat="1" ht="15.75" hidden="1" thickBot="1" x14ac:dyDescent="0.3">
      <c r="A188" s="100"/>
      <c r="B188" s="75"/>
      <c r="C188" s="95"/>
      <c r="D188" s="153"/>
      <c r="E188" s="463"/>
      <c r="F188" s="456"/>
      <c r="G188" s="100"/>
      <c r="H188" s="375"/>
      <c r="I188" s="105">
        <f t="shared" si="29"/>
        <v>0</v>
      </c>
      <c r="J188" s="129"/>
      <c r="K188" s="162"/>
      <c r="L188" s="690"/>
      <c r="M188" s="71"/>
      <c r="N188" s="348"/>
      <c r="O188" s="127"/>
      <c r="P188" s="95"/>
      <c r="Q188" s="402"/>
      <c r="R188" s="706"/>
      <c r="S188" s="65">
        <f>Q188+M188+K188</f>
        <v>0</v>
      </c>
      <c r="T188" s="65" t="e">
        <f>S188/H188+0.1</f>
        <v>#DIV/0!</v>
      </c>
    </row>
    <row r="189" spans="1:20" s="152" customFormat="1" ht="29.25" customHeight="1" thickTop="1" thickBot="1" x14ac:dyDescent="0.3">
      <c r="A189" s="100"/>
      <c r="B189" s="75"/>
      <c r="C189" s="95"/>
      <c r="D189" s="163"/>
      <c r="E189" s="134"/>
      <c r="F189" s="460" t="s">
        <v>31</v>
      </c>
      <c r="G189" s="72">
        <f>SUM(G5:G188)</f>
        <v>2534</v>
      </c>
      <c r="H189" s="376">
        <f>SUM(H3:H188)</f>
        <v>782204.37000000011</v>
      </c>
      <c r="I189" s="478">
        <f>PIERNA!I37</f>
        <v>0</v>
      </c>
      <c r="J189" s="46"/>
      <c r="K189" s="164">
        <f>SUM(K5:K188)</f>
        <v>282765</v>
      </c>
      <c r="L189" s="691"/>
      <c r="M189" s="164">
        <f>SUM(M5:M188)</f>
        <v>829400</v>
      </c>
      <c r="N189" s="349"/>
      <c r="O189" s="399"/>
      <c r="P189" s="117"/>
      <c r="Q189" s="544">
        <f>SUM(Q5:Q188)</f>
        <v>28400714.050875995</v>
      </c>
      <c r="R189" s="707"/>
      <c r="S189" s="167">
        <f>Q189+M189+K189</f>
        <v>29512879.050875995</v>
      </c>
      <c r="T189" s="65"/>
    </row>
    <row r="190" spans="1:20" s="152" customFormat="1" ht="15.75" thickTop="1" x14ac:dyDescent="0.25">
      <c r="B190" s="75"/>
      <c r="C190" s="75"/>
      <c r="D190" s="100"/>
      <c r="E190" s="134"/>
      <c r="F190" s="160"/>
      <c r="G190" s="100"/>
      <c r="H190" s="160"/>
      <c r="I190" s="75"/>
      <c r="J190" s="129"/>
      <c r="L190" s="692"/>
      <c r="N190" s="172"/>
      <c r="O190" s="161"/>
      <c r="P190" s="95"/>
      <c r="Q190" s="402"/>
      <c r="R190" s="490" t="s">
        <v>42</v>
      </c>
    </row>
  </sheetData>
  <sortState ref="B98:O105">
    <sortCondition ref="E98:E105"/>
  </sortState>
  <mergeCells count="19">
    <mergeCell ref="B110:B112"/>
    <mergeCell ref="E110:E112"/>
    <mergeCell ref="O110:O112"/>
    <mergeCell ref="R100:R101"/>
    <mergeCell ref="Q1:Q2"/>
    <mergeCell ref="K1:K2"/>
    <mergeCell ref="M1:M2"/>
    <mergeCell ref="B100:B101"/>
    <mergeCell ref="O100:O101"/>
    <mergeCell ref="R110:R112"/>
    <mergeCell ref="P110:P112"/>
    <mergeCell ref="R123:R125"/>
    <mergeCell ref="R117:R119"/>
    <mergeCell ref="B117:B119"/>
    <mergeCell ref="E117:E119"/>
    <mergeCell ref="O117:O119"/>
    <mergeCell ref="B123:B125"/>
    <mergeCell ref="E123:E125"/>
    <mergeCell ref="O123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06"/>
      <c r="B5" s="1107" t="s">
        <v>78</v>
      </c>
      <c r="C5" s="231"/>
      <c r="D5" s="134"/>
      <c r="E5" s="78"/>
      <c r="F5" s="62"/>
      <c r="G5" s="5"/>
    </row>
    <row r="6" spans="1:9" x14ac:dyDescent="0.25">
      <c r="A6" s="1106"/>
      <c r="B6" s="1107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106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94" t="s">
        <v>11</v>
      </c>
      <c r="D40" s="109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96" t="s">
        <v>158</v>
      </c>
      <c r="B1" s="1096"/>
      <c r="C1" s="1096"/>
      <c r="D1" s="1096"/>
      <c r="E1" s="1096"/>
      <c r="F1" s="1096"/>
      <c r="G1" s="1096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06"/>
      <c r="B5" s="1108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06"/>
      <c r="B6" s="1108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99"/>
      <c r="F10" s="767">
        <f t="shared" ref="F10:F33" si="0">D10</f>
        <v>0</v>
      </c>
      <c r="G10" s="765"/>
      <c r="H10" s="766"/>
      <c r="I10" s="800">
        <f>E4+E5+E6+E7-F10+E8</f>
        <v>0</v>
      </c>
      <c r="J10" s="801"/>
    </row>
    <row r="11" spans="1:10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  <c r="J11" s="801"/>
    </row>
    <row r="12" spans="1:10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  <c r="J12" s="801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  <c r="J13" s="801"/>
    </row>
    <row r="14" spans="1:10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  <c r="J14" s="801"/>
    </row>
    <row r="15" spans="1:10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  <c r="J15" s="801"/>
    </row>
    <row r="16" spans="1:10" x14ac:dyDescent="0.25">
      <c r="B16" s="236">
        <f t="shared" si="1"/>
        <v>0</v>
      </c>
      <c r="C16" s="15"/>
      <c r="D16" s="69"/>
      <c r="E16" s="799"/>
      <c r="F16" s="767">
        <f t="shared" si="0"/>
        <v>0</v>
      </c>
      <c r="G16" s="765"/>
      <c r="H16" s="766"/>
      <c r="I16" s="800">
        <f t="shared" si="2"/>
        <v>0</v>
      </c>
      <c r="J16" s="801"/>
    </row>
    <row r="17" spans="1:10" x14ac:dyDescent="0.25">
      <c r="B17" s="236">
        <f t="shared" si="1"/>
        <v>0</v>
      </c>
      <c r="C17" s="15"/>
      <c r="D17" s="69"/>
      <c r="E17" s="799"/>
      <c r="F17" s="767">
        <f t="shared" si="0"/>
        <v>0</v>
      </c>
      <c r="G17" s="765"/>
      <c r="H17" s="766"/>
      <c r="I17" s="800">
        <f t="shared" si="2"/>
        <v>0</v>
      </c>
      <c r="J17" s="801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4" t="s">
        <v>11</v>
      </c>
      <c r="D40" s="10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96" t="s">
        <v>319</v>
      </c>
      <c r="B1" s="1096"/>
      <c r="C1" s="1096"/>
      <c r="D1" s="1096"/>
      <c r="E1" s="1096"/>
      <c r="F1" s="1096"/>
      <c r="G1" s="1096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109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100" t="s">
        <v>52</v>
      </c>
      <c r="B5" s="1110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00"/>
      <c r="B6" s="1110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495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558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559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799"/>
      <c r="F16" s="767">
        <f t="shared" si="0"/>
        <v>0</v>
      </c>
      <c r="G16" s="765"/>
      <c r="H16" s="766"/>
      <c r="I16" s="802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799"/>
      <c r="F17" s="767">
        <f t="shared" si="0"/>
        <v>0</v>
      </c>
      <c r="G17" s="765"/>
      <c r="H17" s="766"/>
      <c r="I17" s="802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799"/>
      <c r="F18" s="767">
        <f t="shared" si="0"/>
        <v>0</v>
      </c>
      <c r="G18" s="765"/>
      <c r="H18" s="766"/>
      <c r="I18" s="802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799"/>
      <c r="F19" s="767">
        <f t="shared" si="0"/>
        <v>0</v>
      </c>
      <c r="G19" s="765"/>
      <c r="H19" s="766"/>
      <c r="I19" s="802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799"/>
      <c r="F20" s="767">
        <f t="shared" si="0"/>
        <v>0</v>
      </c>
      <c r="G20" s="765"/>
      <c r="H20" s="766"/>
      <c r="I20" s="802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799"/>
      <c r="F21" s="767">
        <f t="shared" si="0"/>
        <v>0</v>
      </c>
      <c r="G21" s="765"/>
      <c r="H21" s="766"/>
      <c r="I21" s="802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799"/>
      <c r="F22" s="767">
        <f t="shared" si="0"/>
        <v>0</v>
      </c>
      <c r="G22" s="765"/>
      <c r="H22" s="766"/>
      <c r="I22" s="802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799"/>
      <c r="F23" s="767">
        <f t="shared" si="0"/>
        <v>0</v>
      </c>
      <c r="G23" s="765"/>
      <c r="H23" s="766"/>
      <c r="I23" s="802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799"/>
      <c r="F24" s="767">
        <f t="shared" si="0"/>
        <v>0</v>
      </c>
      <c r="G24" s="765"/>
      <c r="H24" s="766"/>
      <c r="I24" s="802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799"/>
      <c r="F25" s="767">
        <f t="shared" si="0"/>
        <v>0</v>
      </c>
      <c r="G25" s="765"/>
      <c r="H25" s="766"/>
      <c r="I25" s="802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799"/>
      <c r="F26" s="767">
        <f t="shared" si="0"/>
        <v>0</v>
      </c>
      <c r="G26" s="765"/>
      <c r="H26" s="766"/>
      <c r="I26" s="802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799"/>
      <c r="F27" s="767">
        <v>0</v>
      </c>
      <c r="G27" s="765"/>
      <c r="H27" s="766"/>
      <c r="I27" s="802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94" t="s">
        <v>11</v>
      </c>
      <c r="D40" s="1095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00"/>
      <c r="B5" s="1111" t="s">
        <v>169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100"/>
      <c r="B6" s="1111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4" t="s">
        <v>11</v>
      </c>
      <c r="D40" s="10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92" t="s">
        <v>264</v>
      </c>
      <c r="B1" s="1092"/>
      <c r="C1" s="1092"/>
      <c r="D1" s="1092"/>
      <c r="E1" s="1092"/>
      <c r="F1" s="1092"/>
      <c r="G1" s="109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106" t="s">
        <v>82</v>
      </c>
      <c r="B5" s="1111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106"/>
      <c r="B6" s="1112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254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186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187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192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204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216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219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225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07">
        <v>44841</v>
      </c>
      <c r="F16" s="808">
        <f t="shared" ref="F16:F35" si="3">D16</f>
        <v>85.2</v>
      </c>
      <c r="G16" s="331" t="s">
        <v>440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07">
        <v>44844</v>
      </c>
      <c r="F17" s="808">
        <f t="shared" si="3"/>
        <v>10</v>
      </c>
      <c r="G17" s="331" t="s">
        <v>462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07">
        <v>44847</v>
      </c>
      <c r="F18" s="808">
        <f t="shared" si="3"/>
        <v>10</v>
      </c>
      <c r="G18" s="331" t="s">
        <v>478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07">
        <v>44848</v>
      </c>
      <c r="F19" s="808">
        <f t="shared" si="3"/>
        <v>50</v>
      </c>
      <c r="G19" s="331" t="s">
        <v>494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07">
        <v>44848</v>
      </c>
      <c r="F20" s="808">
        <f t="shared" si="3"/>
        <v>10</v>
      </c>
      <c r="G20" s="331" t="s">
        <v>436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07">
        <v>44851</v>
      </c>
      <c r="F21" s="808">
        <f t="shared" si="3"/>
        <v>20</v>
      </c>
      <c r="G21" s="331" t="s">
        <v>506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07">
        <v>44852</v>
      </c>
      <c r="F22" s="808">
        <f>D22</f>
        <v>20</v>
      </c>
      <c r="G22" s="331" t="s">
        <v>511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07">
        <v>44853</v>
      </c>
      <c r="F23" s="808">
        <f>D23</f>
        <v>20</v>
      </c>
      <c r="G23" s="331" t="s">
        <v>517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07">
        <v>44858</v>
      </c>
      <c r="F24" s="808">
        <f>D24</f>
        <v>80</v>
      </c>
      <c r="G24" s="331" t="s">
        <v>549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07">
        <v>44859</v>
      </c>
      <c r="F25" s="808">
        <f>D25</f>
        <v>100</v>
      </c>
      <c r="G25" s="331" t="s">
        <v>551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07">
        <v>44863</v>
      </c>
      <c r="F26" s="808">
        <f>D26</f>
        <v>70</v>
      </c>
      <c r="G26" s="331" t="s">
        <v>588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66">
        <f t="shared" si="3"/>
        <v>0</v>
      </c>
      <c r="G27" s="973"/>
      <c r="H27" s="974"/>
      <c r="I27" s="1003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66">
        <f t="shared" si="3"/>
        <v>0</v>
      </c>
      <c r="G28" s="973"/>
      <c r="H28" s="974"/>
      <c r="I28" s="1003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66">
        <f t="shared" si="3"/>
        <v>0</v>
      </c>
      <c r="G29" s="973"/>
      <c r="H29" s="974"/>
      <c r="I29" s="1003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66">
        <f t="shared" si="3"/>
        <v>0</v>
      </c>
      <c r="G30" s="973"/>
      <c r="H30" s="974"/>
      <c r="I30" s="1003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81" t="s">
        <v>21</v>
      </c>
      <c r="E38" s="1082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00"/>
      <c r="B5" s="1113" t="s">
        <v>168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00"/>
      <c r="B6" s="1114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3">
        <f t="shared" si="0"/>
        <v>0</v>
      </c>
      <c r="G9" s="765"/>
      <c r="H9" s="766"/>
      <c r="I9" s="804">
        <f>I8-F9</f>
        <v>0</v>
      </c>
      <c r="J9" s="805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3">
        <f t="shared" si="0"/>
        <v>0</v>
      </c>
      <c r="G10" s="765"/>
      <c r="H10" s="766"/>
      <c r="I10" s="804">
        <f t="shared" ref="I10:I38" si="3">I9-F10</f>
        <v>0</v>
      </c>
      <c r="J10" s="805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3">
        <f t="shared" si="0"/>
        <v>0</v>
      </c>
      <c r="G11" s="765"/>
      <c r="H11" s="766"/>
      <c r="I11" s="804">
        <f t="shared" si="3"/>
        <v>0</v>
      </c>
      <c r="J11" s="805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3">
        <f t="shared" si="0"/>
        <v>0</v>
      </c>
      <c r="G12" s="765"/>
      <c r="H12" s="766"/>
      <c r="I12" s="804">
        <f t="shared" si="3"/>
        <v>0</v>
      </c>
      <c r="J12" s="805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3">
        <f t="shared" si="0"/>
        <v>0</v>
      </c>
      <c r="G13" s="765"/>
      <c r="H13" s="766"/>
      <c r="I13" s="804">
        <f t="shared" si="3"/>
        <v>0</v>
      </c>
      <c r="J13" s="805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3">
        <f t="shared" si="0"/>
        <v>0</v>
      </c>
      <c r="G14" s="765"/>
      <c r="H14" s="766"/>
      <c r="I14" s="804">
        <f t="shared" si="3"/>
        <v>0</v>
      </c>
      <c r="J14" s="805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1" t="s">
        <v>21</v>
      </c>
      <c r="E42" s="108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100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10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81" t="s">
        <v>21</v>
      </c>
      <c r="E31" s="108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5" t="s">
        <v>87</v>
      </c>
      <c r="C4" s="128"/>
      <c r="D4" s="134"/>
      <c r="E4" s="181"/>
      <c r="F4" s="137"/>
      <c r="G4" s="38"/>
    </row>
    <row r="5" spans="1:15" ht="15.75" x14ac:dyDescent="0.25">
      <c r="A5" s="1100"/>
      <c r="B5" s="1116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81" t="s">
        <v>21</v>
      </c>
      <c r="E31" s="108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81" t="s">
        <v>21</v>
      </c>
      <c r="E31" s="108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06" t="s">
        <v>97</v>
      </c>
      <c r="B5" s="1117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06"/>
      <c r="B6" s="1117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81" t="s">
        <v>21</v>
      </c>
      <c r="E32" s="108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91" t="s">
        <v>260</v>
      </c>
      <c r="L1" s="1091"/>
      <c r="M1" s="1091"/>
      <c r="N1" s="1091"/>
      <c r="O1" s="1091"/>
      <c r="P1" s="1091"/>
      <c r="Q1" s="1091"/>
      <c r="R1" s="270">
        <f>I1+1</f>
        <v>1</v>
      </c>
      <c r="S1" s="270"/>
      <c r="U1" s="1085" t="str">
        <f>K1</f>
        <v>ENTRADA DEL MES DE OCTUBRE 2022</v>
      </c>
      <c r="V1" s="1085"/>
      <c r="W1" s="1085"/>
      <c r="X1" s="1085"/>
      <c r="Y1" s="1085"/>
      <c r="Z1" s="1085"/>
      <c r="AA1" s="1085"/>
      <c r="AB1" s="270">
        <f>R1+1</f>
        <v>2</v>
      </c>
      <c r="AC1" s="403"/>
      <c r="AE1" s="1085" t="str">
        <f>U1</f>
        <v>ENTRADA DEL MES DE OCTUBRE 2022</v>
      </c>
      <c r="AF1" s="1085"/>
      <c r="AG1" s="1085"/>
      <c r="AH1" s="1085"/>
      <c r="AI1" s="1085"/>
      <c r="AJ1" s="1085"/>
      <c r="AK1" s="1085"/>
      <c r="AL1" s="270">
        <f>AB1+1</f>
        <v>3</v>
      </c>
      <c r="AM1" s="270"/>
      <c r="AO1" s="1085" t="str">
        <f>AE1</f>
        <v>ENTRADA DEL MES DE OCTUBRE 2022</v>
      </c>
      <c r="AP1" s="1085"/>
      <c r="AQ1" s="1085"/>
      <c r="AR1" s="1085"/>
      <c r="AS1" s="1085"/>
      <c r="AT1" s="1085"/>
      <c r="AU1" s="1085"/>
      <c r="AV1" s="270">
        <f>AL1+1</f>
        <v>4</v>
      </c>
      <c r="AW1" s="403"/>
      <c r="AY1" s="1085" t="str">
        <f>AO1</f>
        <v>ENTRADA DEL MES DE OCTUBRE 2022</v>
      </c>
      <c r="AZ1" s="1085"/>
      <c r="BA1" s="1085"/>
      <c r="BB1" s="1085"/>
      <c r="BC1" s="1085"/>
      <c r="BD1" s="1085"/>
      <c r="BE1" s="1085"/>
      <c r="BF1" s="270">
        <f>AV1+1</f>
        <v>5</v>
      </c>
      <c r="BG1" s="419"/>
      <c r="BI1" s="1085" t="str">
        <f>AY1</f>
        <v>ENTRADA DEL MES DE OCTUBRE 2022</v>
      </c>
      <c r="BJ1" s="1085"/>
      <c r="BK1" s="1085"/>
      <c r="BL1" s="1085"/>
      <c r="BM1" s="1085"/>
      <c r="BN1" s="1085"/>
      <c r="BO1" s="1085"/>
      <c r="BP1" s="270">
        <f>BF1+1</f>
        <v>6</v>
      </c>
      <c r="BQ1" s="403"/>
      <c r="BS1" s="1085" t="str">
        <f>BI1</f>
        <v>ENTRADA DEL MES DE OCTUBRE 2022</v>
      </c>
      <c r="BT1" s="1085"/>
      <c r="BU1" s="1085"/>
      <c r="BV1" s="1085"/>
      <c r="BW1" s="1085"/>
      <c r="BX1" s="1085"/>
      <c r="BY1" s="1085"/>
      <c r="BZ1" s="270">
        <f>BP1+1</f>
        <v>7</v>
      </c>
      <c r="CC1" s="1085" t="str">
        <f>BS1</f>
        <v>ENTRADA DEL MES DE OCTUBRE 2022</v>
      </c>
      <c r="CD1" s="1085"/>
      <c r="CE1" s="1085"/>
      <c r="CF1" s="1085"/>
      <c r="CG1" s="1085"/>
      <c r="CH1" s="1085"/>
      <c r="CI1" s="1085"/>
      <c r="CJ1" s="270">
        <f>BZ1+1</f>
        <v>8</v>
      </c>
      <c r="CM1" s="1085" t="str">
        <f>CC1</f>
        <v>ENTRADA DEL MES DE OCTUBRE 2022</v>
      </c>
      <c r="CN1" s="1085"/>
      <c r="CO1" s="1085"/>
      <c r="CP1" s="1085"/>
      <c r="CQ1" s="1085"/>
      <c r="CR1" s="1085"/>
      <c r="CS1" s="1085"/>
      <c r="CT1" s="270">
        <f>CJ1+1</f>
        <v>9</v>
      </c>
      <c r="CU1" s="403"/>
      <c r="CW1" s="1085" t="str">
        <f>CM1</f>
        <v>ENTRADA DEL MES DE OCTUBRE 2022</v>
      </c>
      <c r="CX1" s="1085"/>
      <c r="CY1" s="1085"/>
      <c r="CZ1" s="1085"/>
      <c r="DA1" s="1085"/>
      <c r="DB1" s="1085"/>
      <c r="DC1" s="1085"/>
      <c r="DD1" s="270">
        <f>CT1+1</f>
        <v>10</v>
      </c>
      <c r="DE1" s="403"/>
      <c r="DG1" s="1085" t="str">
        <f>CW1</f>
        <v>ENTRADA DEL MES DE OCTUBRE 2022</v>
      </c>
      <c r="DH1" s="1085"/>
      <c r="DI1" s="1085"/>
      <c r="DJ1" s="1085"/>
      <c r="DK1" s="1085"/>
      <c r="DL1" s="1085"/>
      <c r="DM1" s="1085"/>
      <c r="DN1" s="270">
        <f>DD1+1</f>
        <v>11</v>
      </c>
      <c r="DO1" s="403"/>
      <c r="DQ1" s="1085" t="str">
        <f>DG1</f>
        <v>ENTRADA DEL MES DE OCTUBRE 2022</v>
      </c>
      <c r="DR1" s="1085"/>
      <c r="DS1" s="1085"/>
      <c r="DT1" s="1085"/>
      <c r="DU1" s="1085"/>
      <c r="DV1" s="1085"/>
      <c r="DW1" s="1085"/>
      <c r="DX1" s="270">
        <f>DN1+1</f>
        <v>12</v>
      </c>
      <c r="EA1" s="1085" t="str">
        <f>DQ1</f>
        <v>ENTRADA DEL MES DE OCTUBRE 2022</v>
      </c>
      <c r="EB1" s="1085"/>
      <c r="EC1" s="1085"/>
      <c r="ED1" s="1085"/>
      <c r="EE1" s="1085"/>
      <c r="EF1" s="1085"/>
      <c r="EG1" s="1085"/>
      <c r="EH1" s="270">
        <f>DX1+1</f>
        <v>13</v>
      </c>
      <c r="EI1" s="403"/>
      <c r="EK1" s="1085" t="str">
        <f>EA1</f>
        <v>ENTRADA DEL MES DE OCTUBRE 2022</v>
      </c>
      <c r="EL1" s="1085"/>
      <c r="EM1" s="1085"/>
      <c r="EN1" s="1085"/>
      <c r="EO1" s="1085"/>
      <c r="EP1" s="1085"/>
      <c r="EQ1" s="1085"/>
      <c r="ER1" s="270">
        <f>EH1+1</f>
        <v>14</v>
      </c>
      <c r="ES1" s="403"/>
      <c r="EU1" s="1085" t="str">
        <f>EK1</f>
        <v>ENTRADA DEL MES DE OCTUBRE 2022</v>
      </c>
      <c r="EV1" s="1085"/>
      <c r="EW1" s="1085"/>
      <c r="EX1" s="1085"/>
      <c r="EY1" s="1085"/>
      <c r="EZ1" s="1085"/>
      <c r="FA1" s="1085"/>
      <c r="FB1" s="270">
        <f>ER1+1</f>
        <v>15</v>
      </c>
      <c r="FC1" s="403"/>
      <c r="FE1" s="1085" t="str">
        <f>EU1</f>
        <v>ENTRADA DEL MES DE OCTUBRE 2022</v>
      </c>
      <c r="FF1" s="1085"/>
      <c r="FG1" s="1085"/>
      <c r="FH1" s="1085"/>
      <c r="FI1" s="1085"/>
      <c r="FJ1" s="1085"/>
      <c r="FK1" s="1085"/>
      <c r="FL1" s="270">
        <f>FB1+1</f>
        <v>16</v>
      </c>
      <c r="FM1" s="403"/>
      <c r="FO1" s="1085" t="str">
        <f>FE1</f>
        <v>ENTRADA DEL MES DE OCTUBRE 2022</v>
      </c>
      <c r="FP1" s="1085"/>
      <c r="FQ1" s="1085"/>
      <c r="FR1" s="1085"/>
      <c r="FS1" s="1085"/>
      <c r="FT1" s="1085"/>
      <c r="FU1" s="1085"/>
      <c r="FV1" s="270">
        <f>FL1+1</f>
        <v>17</v>
      </c>
      <c r="FW1" s="403"/>
      <c r="FY1" s="1085" t="str">
        <f>FO1</f>
        <v>ENTRADA DEL MES DE OCTUBRE 2022</v>
      </c>
      <c r="FZ1" s="1085"/>
      <c r="GA1" s="1085"/>
      <c r="GB1" s="1085"/>
      <c r="GC1" s="1085"/>
      <c r="GD1" s="1085"/>
      <c r="GE1" s="1085"/>
      <c r="GF1" s="270">
        <f>FV1+1</f>
        <v>18</v>
      </c>
      <c r="GG1" s="403"/>
      <c r="GH1" s="75" t="s">
        <v>37</v>
      </c>
      <c r="GI1" s="1085" t="str">
        <f>FY1</f>
        <v>ENTRADA DEL MES DE OCTUBRE 2022</v>
      </c>
      <c r="GJ1" s="1085"/>
      <c r="GK1" s="1085"/>
      <c r="GL1" s="1085"/>
      <c r="GM1" s="1085"/>
      <c r="GN1" s="1085"/>
      <c r="GO1" s="1085"/>
      <c r="GP1" s="270">
        <f>GF1+1</f>
        <v>19</v>
      </c>
      <c r="GQ1" s="403"/>
      <c r="GS1" s="1085" t="str">
        <f>GI1</f>
        <v>ENTRADA DEL MES DE OCTUBRE 2022</v>
      </c>
      <c r="GT1" s="1085"/>
      <c r="GU1" s="1085"/>
      <c r="GV1" s="1085"/>
      <c r="GW1" s="1085"/>
      <c r="GX1" s="1085"/>
      <c r="GY1" s="1085"/>
      <c r="GZ1" s="270">
        <f>GP1+1</f>
        <v>20</v>
      </c>
      <c r="HA1" s="403"/>
      <c r="HC1" s="1085" t="str">
        <f>GS1</f>
        <v>ENTRADA DEL MES DE OCTUBRE 2022</v>
      </c>
      <c r="HD1" s="1085"/>
      <c r="HE1" s="1085"/>
      <c r="HF1" s="1085"/>
      <c r="HG1" s="1085"/>
      <c r="HH1" s="1085"/>
      <c r="HI1" s="1085"/>
      <c r="HJ1" s="270">
        <f>GZ1+1</f>
        <v>21</v>
      </c>
      <c r="HK1" s="403"/>
      <c r="HM1" s="1085" t="str">
        <f>HC1</f>
        <v>ENTRADA DEL MES DE OCTUBRE 2022</v>
      </c>
      <c r="HN1" s="1085"/>
      <c r="HO1" s="1085"/>
      <c r="HP1" s="1085"/>
      <c r="HQ1" s="1085"/>
      <c r="HR1" s="1085"/>
      <c r="HS1" s="1085"/>
      <c r="HT1" s="270">
        <f>HJ1+1</f>
        <v>22</v>
      </c>
      <c r="HU1" s="403"/>
      <c r="HW1" s="1085" t="str">
        <f>HM1</f>
        <v>ENTRADA DEL MES DE OCTUBRE 2022</v>
      </c>
      <c r="HX1" s="1085"/>
      <c r="HY1" s="1085"/>
      <c r="HZ1" s="1085"/>
      <c r="IA1" s="1085"/>
      <c r="IB1" s="1085"/>
      <c r="IC1" s="1085"/>
      <c r="ID1" s="270">
        <f>HT1+1</f>
        <v>23</v>
      </c>
      <c r="IE1" s="403"/>
      <c r="IG1" s="1085" t="str">
        <f>HW1</f>
        <v>ENTRADA DEL MES DE OCTUBRE 2022</v>
      </c>
      <c r="IH1" s="1085"/>
      <c r="II1" s="1085"/>
      <c r="IJ1" s="1085"/>
      <c r="IK1" s="1085"/>
      <c r="IL1" s="1085"/>
      <c r="IM1" s="1085"/>
      <c r="IN1" s="270">
        <f>ID1+1</f>
        <v>24</v>
      </c>
      <c r="IO1" s="403"/>
      <c r="IQ1" s="1085" t="str">
        <f>IG1</f>
        <v>ENTRADA DEL MES DE OCTUBRE 2022</v>
      </c>
      <c r="IR1" s="1085"/>
      <c r="IS1" s="1085"/>
      <c r="IT1" s="1085"/>
      <c r="IU1" s="1085"/>
      <c r="IV1" s="1085"/>
      <c r="IW1" s="1085"/>
      <c r="IX1" s="270">
        <f>IN1+1</f>
        <v>25</v>
      </c>
      <c r="IY1" s="403"/>
      <c r="JA1" s="1085" t="str">
        <f>IQ1</f>
        <v>ENTRADA DEL MES DE OCTUBRE 2022</v>
      </c>
      <c r="JB1" s="1085"/>
      <c r="JC1" s="1085"/>
      <c r="JD1" s="1085"/>
      <c r="JE1" s="1085"/>
      <c r="JF1" s="1085"/>
      <c r="JG1" s="1085"/>
      <c r="JH1" s="270">
        <f>IX1+1</f>
        <v>26</v>
      </c>
      <c r="JI1" s="403"/>
      <c r="JK1" s="1086" t="str">
        <f>JA1</f>
        <v>ENTRADA DEL MES DE OCTUBRE 2022</v>
      </c>
      <c r="JL1" s="1086"/>
      <c r="JM1" s="1086"/>
      <c r="JN1" s="1086"/>
      <c r="JO1" s="1086"/>
      <c r="JP1" s="1086"/>
      <c r="JQ1" s="1086"/>
      <c r="JR1" s="270">
        <f>JH1+1</f>
        <v>27</v>
      </c>
      <c r="JS1" s="403"/>
      <c r="JU1" s="1085" t="str">
        <f>JK1</f>
        <v>ENTRADA DEL MES DE OCTUBRE 2022</v>
      </c>
      <c r="JV1" s="1085"/>
      <c r="JW1" s="1085"/>
      <c r="JX1" s="1085"/>
      <c r="JY1" s="1085"/>
      <c r="JZ1" s="1085"/>
      <c r="KA1" s="1085"/>
      <c r="KB1" s="270">
        <f>JR1+1</f>
        <v>28</v>
      </c>
      <c r="KC1" s="403"/>
      <c r="KE1" s="1085" t="str">
        <f>JU1</f>
        <v>ENTRADA DEL MES DE OCTUBRE 2022</v>
      </c>
      <c r="KF1" s="1085"/>
      <c r="KG1" s="1085"/>
      <c r="KH1" s="1085"/>
      <c r="KI1" s="1085"/>
      <c r="KJ1" s="1085"/>
      <c r="KK1" s="1085"/>
      <c r="KL1" s="270">
        <f>KB1+1</f>
        <v>29</v>
      </c>
      <c r="KM1" s="403"/>
      <c r="KO1" s="1085" t="str">
        <f>KE1</f>
        <v>ENTRADA DEL MES DE OCTUBRE 2022</v>
      </c>
      <c r="KP1" s="1085"/>
      <c r="KQ1" s="1085"/>
      <c r="KR1" s="1085"/>
      <c r="KS1" s="1085"/>
      <c r="KT1" s="1085"/>
      <c r="KU1" s="1085"/>
      <c r="KV1" s="270">
        <f>KL1+1</f>
        <v>30</v>
      </c>
      <c r="KW1" s="403"/>
      <c r="KY1" s="1085" t="str">
        <f>KO1</f>
        <v>ENTRADA DEL MES DE OCTUBRE 2022</v>
      </c>
      <c r="KZ1" s="1085"/>
      <c r="LA1" s="1085"/>
      <c r="LB1" s="1085"/>
      <c r="LC1" s="1085"/>
      <c r="LD1" s="1085"/>
      <c r="LE1" s="1085"/>
      <c r="LF1" s="270">
        <f>KV1+1</f>
        <v>31</v>
      </c>
      <c r="LG1" s="403"/>
      <c r="LI1" s="1085" t="str">
        <f>KY1</f>
        <v>ENTRADA DEL MES DE OCTUBRE 2022</v>
      </c>
      <c r="LJ1" s="1085"/>
      <c r="LK1" s="1085"/>
      <c r="LL1" s="1085"/>
      <c r="LM1" s="1085"/>
      <c r="LN1" s="1085"/>
      <c r="LO1" s="1085"/>
      <c r="LP1" s="270">
        <f>LF1+1</f>
        <v>32</v>
      </c>
      <c r="LQ1" s="403"/>
      <c r="LS1" s="1085" t="str">
        <f>LI1</f>
        <v>ENTRADA DEL MES DE OCTUBRE 2022</v>
      </c>
      <c r="LT1" s="1085"/>
      <c r="LU1" s="1085"/>
      <c r="LV1" s="1085"/>
      <c r="LW1" s="1085"/>
      <c r="LX1" s="1085"/>
      <c r="LY1" s="1085"/>
      <c r="LZ1" s="270">
        <f>LP1+1</f>
        <v>33</v>
      </c>
      <c r="MC1" s="1085" t="str">
        <f>LS1</f>
        <v>ENTRADA DEL MES DE OCTUBRE 2022</v>
      </c>
      <c r="MD1" s="1085"/>
      <c r="ME1" s="1085"/>
      <c r="MF1" s="1085"/>
      <c r="MG1" s="1085"/>
      <c r="MH1" s="1085"/>
      <c r="MI1" s="1085"/>
      <c r="MJ1" s="270">
        <f>LZ1+1</f>
        <v>34</v>
      </c>
      <c r="MK1" s="270"/>
      <c r="MM1" s="1085" t="str">
        <f>MC1</f>
        <v>ENTRADA DEL MES DE OCTUBRE 2022</v>
      </c>
      <c r="MN1" s="1085"/>
      <c r="MO1" s="1085"/>
      <c r="MP1" s="1085"/>
      <c r="MQ1" s="1085"/>
      <c r="MR1" s="1085"/>
      <c r="MS1" s="1085"/>
      <c r="MT1" s="270">
        <f>MJ1+1</f>
        <v>35</v>
      </c>
      <c r="MU1" s="270"/>
      <c r="MW1" s="1085" t="str">
        <f>MM1</f>
        <v>ENTRADA DEL MES DE OCTUBRE 2022</v>
      </c>
      <c r="MX1" s="1085"/>
      <c r="MY1" s="1085"/>
      <c r="MZ1" s="1085"/>
      <c r="NA1" s="1085"/>
      <c r="NB1" s="1085"/>
      <c r="NC1" s="1085"/>
      <c r="ND1" s="270">
        <f>MT1+1</f>
        <v>36</v>
      </c>
      <c r="NE1" s="270"/>
      <c r="NG1" s="1085" t="str">
        <f>MW1</f>
        <v>ENTRADA DEL MES DE OCTUBRE 2022</v>
      </c>
      <c r="NH1" s="1085"/>
      <c r="NI1" s="1085"/>
      <c r="NJ1" s="1085"/>
      <c r="NK1" s="1085"/>
      <c r="NL1" s="1085"/>
      <c r="NM1" s="1085"/>
      <c r="NN1" s="270">
        <f>ND1+1</f>
        <v>37</v>
      </c>
      <c r="NO1" s="270"/>
      <c r="NQ1" s="1085" t="str">
        <f>NG1</f>
        <v>ENTRADA DEL MES DE OCTUBRE 2022</v>
      </c>
      <c r="NR1" s="1085"/>
      <c r="NS1" s="1085"/>
      <c r="NT1" s="1085"/>
      <c r="NU1" s="1085"/>
      <c r="NV1" s="1085"/>
      <c r="NW1" s="1085"/>
      <c r="NX1" s="270">
        <f>NN1+1</f>
        <v>38</v>
      </c>
      <c r="NY1" s="270"/>
      <c r="OA1" s="1085" t="str">
        <f>NQ1</f>
        <v>ENTRADA DEL MES DE OCTUBRE 2022</v>
      </c>
      <c r="OB1" s="1085"/>
      <c r="OC1" s="1085"/>
      <c r="OD1" s="1085"/>
      <c r="OE1" s="1085"/>
      <c r="OF1" s="1085"/>
      <c r="OG1" s="1085"/>
      <c r="OH1" s="270">
        <f>NX1+1</f>
        <v>39</v>
      </c>
      <c r="OI1" s="270"/>
      <c r="OK1" s="1085" t="str">
        <f>OA1</f>
        <v>ENTRADA DEL MES DE OCTUBRE 2022</v>
      </c>
      <c r="OL1" s="1085"/>
      <c r="OM1" s="1085"/>
      <c r="ON1" s="1085"/>
      <c r="OO1" s="1085"/>
      <c r="OP1" s="1085"/>
      <c r="OQ1" s="1085"/>
      <c r="OR1" s="270">
        <f>OH1+1</f>
        <v>40</v>
      </c>
      <c r="OS1" s="270"/>
      <c r="OU1" s="1085" t="str">
        <f>OK1</f>
        <v>ENTRADA DEL MES DE OCTUBRE 2022</v>
      </c>
      <c r="OV1" s="1085"/>
      <c r="OW1" s="1085"/>
      <c r="OX1" s="1085"/>
      <c r="OY1" s="1085"/>
      <c r="OZ1" s="1085"/>
      <c r="PA1" s="1085"/>
      <c r="PB1" s="270">
        <f>OR1+1</f>
        <v>41</v>
      </c>
      <c r="PC1" s="270"/>
      <c r="PE1" s="1085" t="str">
        <f>OU1</f>
        <v>ENTRADA DEL MES DE OCTUBRE 2022</v>
      </c>
      <c r="PF1" s="1085"/>
      <c r="PG1" s="1085"/>
      <c r="PH1" s="1085"/>
      <c r="PI1" s="1085"/>
      <c r="PJ1" s="1085"/>
      <c r="PK1" s="1085"/>
      <c r="PL1" s="270">
        <f>PB1+1</f>
        <v>42</v>
      </c>
      <c r="PM1" s="270"/>
      <c r="PO1" s="1085" t="str">
        <f>PE1</f>
        <v>ENTRADA DEL MES DE OCTUBRE 2022</v>
      </c>
      <c r="PP1" s="1085"/>
      <c r="PQ1" s="1085"/>
      <c r="PR1" s="1085"/>
      <c r="PS1" s="1085"/>
      <c r="PT1" s="1085"/>
      <c r="PU1" s="1085"/>
      <c r="PV1" s="270">
        <f>PL1+1</f>
        <v>43</v>
      </c>
      <c r="PX1" s="1085" t="str">
        <f>PO1</f>
        <v>ENTRADA DEL MES DE OCTUBRE 2022</v>
      </c>
      <c r="PY1" s="1085"/>
      <c r="PZ1" s="1085"/>
      <c r="QA1" s="1085"/>
      <c r="QB1" s="1085"/>
      <c r="QC1" s="1085"/>
      <c r="QD1" s="1085"/>
      <c r="QE1" s="270">
        <f>PV1+1</f>
        <v>44</v>
      </c>
      <c r="QG1" s="1085" t="str">
        <f>PX1</f>
        <v>ENTRADA DEL MES DE OCTUBRE 2022</v>
      </c>
      <c r="QH1" s="1085"/>
      <c r="QI1" s="1085"/>
      <c r="QJ1" s="1085"/>
      <c r="QK1" s="1085"/>
      <c r="QL1" s="1085"/>
      <c r="QM1" s="1085"/>
      <c r="QN1" s="270">
        <f>QE1+1</f>
        <v>45</v>
      </c>
      <c r="QP1" s="1085" t="str">
        <f>QG1</f>
        <v>ENTRADA DEL MES DE OCTUBRE 2022</v>
      </c>
      <c r="QQ1" s="1085"/>
      <c r="QR1" s="1085"/>
      <c r="QS1" s="1085"/>
      <c r="QT1" s="1085"/>
      <c r="QU1" s="1085"/>
      <c r="QV1" s="1085"/>
      <c r="QW1" s="270">
        <f>QN1+1</f>
        <v>46</v>
      </c>
      <c r="QY1" s="1085" t="str">
        <f>QP1</f>
        <v>ENTRADA DEL MES DE OCTUBRE 2022</v>
      </c>
      <c r="QZ1" s="1085"/>
      <c r="RA1" s="1085"/>
      <c r="RB1" s="1085"/>
      <c r="RC1" s="1085"/>
      <c r="RD1" s="1085"/>
      <c r="RE1" s="1085"/>
      <c r="RF1" s="270">
        <f>QW1+1</f>
        <v>47</v>
      </c>
      <c r="RH1" s="1085" t="str">
        <f>QY1</f>
        <v>ENTRADA DEL MES DE OCTUBRE 2022</v>
      </c>
      <c r="RI1" s="1085"/>
      <c r="RJ1" s="1085"/>
      <c r="RK1" s="1085"/>
      <c r="RL1" s="1085"/>
      <c r="RM1" s="1085"/>
      <c r="RN1" s="1085"/>
      <c r="RO1" s="270">
        <f>RF1+1</f>
        <v>48</v>
      </c>
      <c r="RQ1" s="1085" t="str">
        <f>RH1</f>
        <v>ENTRADA DEL MES DE OCTUBRE 2022</v>
      </c>
      <c r="RR1" s="1085"/>
      <c r="RS1" s="1085"/>
      <c r="RT1" s="1085"/>
      <c r="RU1" s="1085"/>
      <c r="RV1" s="1085"/>
      <c r="RW1" s="1085"/>
      <c r="RX1" s="270">
        <f>RO1+1</f>
        <v>49</v>
      </c>
      <c r="RZ1" s="1085" t="str">
        <f>RQ1</f>
        <v>ENTRADA DEL MES DE OCTUBRE 2022</v>
      </c>
      <c r="SA1" s="1085"/>
      <c r="SB1" s="1085"/>
      <c r="SC1" s="1085"/>
      <c r="SD1" s="1085"/>
      <c r="SE1" s="1085"/>
      <c r="SF1" s="1085"/>
      <c r="SG1" s="270">
        <f>RX1+1</f>
        <v>50</v>
      </c>
      <c r="SI1" s="1085" t="str">
        <f>RZ1</f>
        <v>ENTRADA DEL MES DE OCTUBRE 2022</v>
      </c>
      <c r="SJ1" s="1085"/>
      <c r="SK1" s="1085"/>
      <c r="SL1" s="1085"/>
      <c r="SM1" s="1085"/>
      <c r="SN1" s="1085"/>
      <c r="SO1" s="1085"/>
      <c r="SP1" s="270">
        <f>SG1+1</f>
        <v>51</v>
      </c>
      <c r="SR1" s="1085" t="str">
        <f>SI1</f>
        <v>ENTRADA DEL MES DE OCTUBRE 2022</v>
      </c>
      <c r="SS1" s="1085"/>
      <c r="ST1" s="1085"/>
      <c r="SU1" s="1085"/>
      <c r="SV1" s="1085"/>
      <c r="SW1" s="1085"/>
      <c r="SX1" s="1085"/>
      <c r="SY1" s="270">
        <f>SP1+1</f>
        <v>52</v>
      </c>
      <c r="TA1" s="1085" t="str">
        <f>SR1</f>
        <v>ENTRADA DEL MES DE OCTUBRE 2022</v>
      </c>
      <c r="TB1" s="1085"/>
      <c r="TC1" s="1085"/>
      <c r="TD1" s="1085"/>
      <c r="TE1" s="1085"/>
      <c r="TF1" s="1085"/>
      <c r="TG1" s="1085"/>
      <c r="TH1" s="270">
        <f>SY1+1</f>
        <v>53</v>
      </c>
      <c r="TJ1" s="1085" t="str">
        <f>TA1</f>
        <v>ENTRADA DEL MES DE OCTUBRE 2022</v>
      </c>
      <c r="TK1" s="1085"/>
      <c r="TL1" s="1085"/>
      <c r="TM1" s="1085"/>
      <c r="TN1" s="1085"/>
      <c r="TO1" s="1085"/>
      <c r="TP1" s="1085"/>
      <c r="TQ1" s="270">
        <f>TH1+1</f>
        <v>54</v>
      </c>
      <c r="TS1" s="1085" t="str">
        <f>TJ1</f>
        <v>ENTRADA DEL MES DE OCTUBRE 2022</v>
      </c>
      <c r="TT1" s="1085"/>
      <c r="TU1" s="1085"/>
      <c r="TV1" s="1085"/>
      <c r="TW1" s="1085"/>
      <c r="TX1" s="1085"/>
      <c r="TY1" s="1085"/>
      <c r="TZ1" s="270">
        <f>TQ1+1</f>
        <v>55</v>
      </c>
      <c r="UB1" s="1085" t="str">
        <f>TS1</f>
        <v>ENTRADA DEL MES DE OCTUBRE 2022</v>
      </c>
      <c r="UC1" s="1085"/>
      <c r="UD1" s="1085"/>
      <c r="UE1" s="1085"/>
      <c r="UF1" s="1085"/>
      <c r="UG1" s="1085"/>
      <c r="UH1" s="1085"/>
      <c r="UI1" s="270">
        <f>TZ1+1</f>
        <v>56</v>
      </c>
      <c r="UK1" s="1085" t="str">
        <f>UB1</f>
        <v>ENTRADA DEL MES DE OCTUBRE 2022</v>
      </c>
      <c r="UL1" s="1085"/>
      <c r="UM1" s="1085"/>
      <c r="UN1" s="1085"/>
      <c r="UO1" s="1085"/>
      <c r="UP1" s="1085"/>
      <c r="UQ1" s="1085"/>
      <c r="UR1" s="270">
        <f>UI1+1</f>
        <v>57</v>
      </c>
      <c r="UT1" s="1085" t="str">
        <f>UK1</f>
        <v>ENTRADA DEL MES DE OCTUBRE 2022</v>
      </c>
      <c r="UU1" s="1085"/>
      <c r="UV1" s="1085"/>
      <c r="UW1" s="1085"/>
      <c r="UX1" s="1085"/>
      <c r="UY1" s="1085"/>
      <c r="UZ1" s="1085"/>
      <c r="VA1" s="270">
        <f>UR1+1</f>
        <v>58</v>
      </c>
      <c r="VC1" s="1085" t="str">
        <f>UT1</f>
        <v>ENTRADA DEL MES DE OCTUBRE 2022</v>
      </c>
      <c r="VD1" s="1085"/>
      <c r="VE1" s="1085"/>
      <c r="VF1" s="1085"/>
      <c r="VG1" s="1085"/>
      <c r="VH1" s="1085"/>
      <c r="VI1" s="1085"/>
      <c r="VJ1" s="270">
        <f>VA1+1</f>
        <v>59</v>
      </c>
      <c r="VL1" s="1085" t="str">
        <f>VC1</f>
        <v>ENTRADA DEL MES DE OCTUBRE 2022</v>
      </c>
      <c r="VM1" s="1085"/>
      <c r="VN1" s="1085"/>
      <c r="VO1" s="1085"/>
      <c r="VP1" s="1085"/>
      <c r="VQ1" s="1085"/>
      <c r="VR1" s="1085"/>
      <c r="VS1" s="270">
        <f>VJ1+1</f>
        <v>60</v>
      </c>
      <c r="VU1" s="1085" t="str">
        <f>VL1</f>
        <v>ENTRADA DEL MES DE OCTUBRE 2022</v>
      </c>
      <c r="VV1" s="1085"/>
      <c r="VW1" s="1085"/>
      <c r="VX1" s="1085"/>
      <c r="VY1" s="1085"/>
      <c r="VZ1" s="1085"/>
      <c r="WA1" s="1085"/>
      <c r="WB1" s="270">
        <f>VS1+1</f>
        <v>61</v>
      </c>
      <c r="WD1" s="1085" t="str">
        <f>VU1</f>
        <v>ENTRADA DEL MES DE OCTUBRE 2022</v>
      </c>
      <c r="WE1" s="1085"/>
      <c r="WF1" s="1085"/>
      <c r="WG1" s="1085"/>
      <c r="WH1" s="1085"/>
      <c r="WI1" s="1085"/>
      <c r="WJ1" s="1085"/>
      <c r="WK1" s="270">
        <f>WB1+1</f>
        <v>62</v>
      </c>
      <c r="WM1" s="1085" t="str">
        <f>WD1</f>
        <v>ENTRADA DEL MES DE OCTUBRE 2022</v>
      </c>
      <c r="WN1" s="1085"/>
      <c r="WO1" s="1085"/>
      <c r="WP1" s="1085"/>
      <c r="WQ1" s="1085"/>
      <c r="WR1" s="1085"/>
      <c r="WS1" s="1085"/>
      <c r="WT1" s="270">
        <f>WK1+1</f>
        <v>63</v>
      </c>
      <c r="WV1" s="1085" t="str">
        <f>WM1</f>
        <v>ENTRADA DEL MES DE OCTUBRE 2022</v>
      </c>
      <c r="WW1" s="1085"/>
      <c r="WX1" s="1085"/>
      <c r="WY1" s="1085"/>
      <c r="WZ1" s="1085"/>
      <c r="XA1" s="1085"/>
      <c r="XB1" s="1085"/>
      <c r="XC1" s="270">
        <f>WT1+1</f>
        <v>64</v>
      </c>
      <c r="XE1" s="1085" t="str">
        <f>WV1</f>
        <v>ENTRADA DEL MES DE OCTUBRE 2022</v>
      </c>
      <c r="XF1" s="1085"/>
      <c r="XG1" s="1085"/>
      <c r="XH1" s="1085"/>
      <c r="XI1" s="1085"/>
      <c r="XJ1" s="1085"/>
      <c r="XK1" s="1085"/>
      <c r="XL1" s="270">
        <f>XC1+1</f>
        <v>65</v>
      </c>
      <c r="XN1" s="1085" t="str">
        <f>XE1</f>
        <v>ENTRADA DEL MES DE OCTUBRE 2022</v>
      </c>
      <c r="XO1" s="1085"/>
      <c r="XP1" s="1085"/>
      <c r="XQ1" s="1085"/>
      <c r="XR1" s="1085"/>
      <c r="XS1" s="1085"/>
      <c r="XT1" s="1085"/>
      <c r="XU1" s="270">
        <f>XL1+1</f>
        <v>66</v>
      </c>
      <c r="XW1" s="1085" t="str">
        <f>XN1</f>
        <v>ENTRADA DEL MES DE OCTUBRE 2022</v>
      </c>
      <c r="XX1" s="1085"/>
      <c r="XY1" s="1085"/>
      <c r="XZ1" s="1085"/>
      <c r="YA1" s="1085"/>
      <c r="YB1" s="1085"/>
      <c r="YC1" s="1085"/>
      <c r="YD1" s="270">
        <f>XU1+1</f>
        <v>67</v>
      </c>
      <c r="YF1" s="1085" t="str">
        <f>XW1</f>
        <v>ENTRADA DEL MES DE OCTUBRE 2022</v>
      </c>
      <c r="YG1" s="1085"/>
      <c r="YH1" s="1085"/>
      <c r="YI1" s="1085"/>
      <c r="YJ1" s="1085"/>
      <c r="YK1" s="1085"/>
      <c r="YL1" s="1085"/>
      <c r="YM1" s="270">
        <f>YD1+1</f>
        <v>68</v>
      </c>
      <c r="YO1" s="1085" t="str">
        <f>YF1</f>
        <v>ENTRADA DEL MES DE OCTUBRE 2022</v>
      </c>
      <c r="YP1" s="1085"/>
      <c r="YQ1" s="1085"/>
      <c r="YR1" s="1085"/>
      <c r="YS1" s="1085"/>
      <c r="YT1" s="1085"/>
      <c r="YU1" s="1085"/>
      <c r="YV1" s="270">
        <f>YM1+1</f>
        <v>69</v>
      </c>
      <c r="YX1" s="1085" t="str">
        <f>YO1</f>
        <v>ENTRADA DEL MES DE OCTUBRE 2022</v>
      </c>
      <c r="YY1" s="1085"/>
      <c r="YZ1" s="1085"/>
      <c r="ZA1" s="1085"/>
      <c r="ZB1" s="1085"/>
      <c r="ZC1" s="1085"/>
      <c r="ZD1" s="1085"/>
      <c r="ZE1" s="270">
        <f>YV1+1</f>
        <v>70</v>
      </c>
      <c r="ZG1" s="1085" t="str">
        <f>YX1</f>
        <v>ENTRADA DEL MES DE OCTUBRE 2022</v>
      </c>
      <c r="ZH1" s="1085"/>
      <c r="ZI1" s="1085"/>
      <c r="ZJ1" s="1085"/>
      <c r="ZK1" s="1085"/>
      <c r="ZL1" s="1085"/>
      <c r="ZM1" s="1085"/>
      <c r="ZN1" s="270">
        <f>ZE1+1</f>
        <v>71</v>
      </c>
      <c r="ZP1" s="1085" t="str">
        <f>ZG1</f>
        <v>ENTRADA DEL MES DE OCTUBRE 2022</v>
      </c>
      <c r="ZQ1" s="1085"/>
      <c r="ZR1" s="1085"/>
      <c r="ZS1" s="1085"/>
      <c r="ZT1" s="1085"/>
      <c r="ZU1" s="1085"/>
      <c r="ZV1" s="1085"/>
      <c r="ZW1" s="270">
        <f>ZN1+1</f>
        <v>72</v>
      </c>
      <c r="ZY1" s="1085" t="str">
        <f>ZP1</f>
        <v>ENTRADA DEL MES DE OCTUBRE 2022</v>
      </c>
      <c r="ZZ1" s="1085"/>
      <c r="AAA1" s="1085"/>
      <c r="AAB1" s="1085"/>
      <c r="AAC1" s="1085"/>
      <c r="AAD1" s="1085"/>
      <c r="AAE1" s="1085"/>
      <c r="AAF1" s="270">
        <f>ZW1+1</f>
        <v>73</v>
      </c>
      <c r="AAH1" s="1085" t="str">
        <f>ZY1</f>
        <v>ENTRADA DEL MES DE OCTUBRE 2022</v>
      </c>
      <c r="AAI1" s="1085"/>
      <c r="AAJ1" s="1085"/>
      <c r="AAK1" s="1085"/>
      <c r="AAL1" s="1085"/>
      <c r="AAM1" s="1085"/>
      <c r="AAN1" s="1085"/>
      <c r="AAO1" s="270">
        <f>AAF1+1</f>
        <v>74</v>
      </c>
      <c r="AAQ1" s="1085" t="str">
        <f>AAH1</f>
        <v>ENTRADA DEL MES DE OCTUBRE 2022</v>
      </c>
      <c r="AAR1" s="1085"/>
      <c r="AAS1" s="1085"/>
      <c r="AAT1" s="1085"/>
      <c r="AAU1" s="1085"/>
      <c r="AAV1" s="1085"/>
      <c r="AAW1" s="1085"/>
      <c r="AAX1" s="270">
        <f>AAO1+1</f>
        <v>75</v>
      </c>
      <c r="AAZ1" s="1085" t="str">
        <f>AAQ1</f>
        <v>ENTRADA DEL MES DE OCTUBRE 2022</v>
      </c>
      <c r="ABA1" s="1085"/>
      <c r="ABB1" s="1085"/>
      <c r="ABC1" s="1085"/>
      <c r="ABD1" s="1085"/>
      <c r="ABE1" s="1085"/>
      <c r="ABF1" s="1085"/>
      <c r="ABG1" s="270">
        <f>AAX1+1</f>
        <v>76</v>
      </c>
      <c r="ABI1" s="1085" t="str">
        <f>AAZ1</f>
        <v>ENTRADA DEL MES DE OCTUBRE 2022</v>
      </c>
      <c r="ABJ1" s="1085"/>
      <c r="ABK1" s="1085"/>
      <c r="ABL1" s="1085"/>
      <c r="ABM1" s="1085"/>
      <c r="ABN1" s="1085"/>
      <c r="ABO1" s="1085"/>
      <c r="ABP1" s="270">
        <f>ABG1+1</f>
        <v>77</v>
      </c>
      <c r="ABR1" s="1085" t="str">
        <f>ABI1</f>
        <v>ENTRADA DEL MES DE OCTUBRE 2022</v>
      </c>
      <c r="ABS1" s="1085"/>
      <c r="ABT1" s="1085"/>
      <c r="ABU1" s="1085"/>
      <c r="ABV1" s="1085"/>
      <c r="ABW1" s="1085"/>
      <c r="ABX1" s="1085"/>
      <c r="ABY1" s="270">
        <f>ABP1+1</f>
        <v>78</v>
      </c>
      <c r="ACA1" s="1085" t="str">
        <f>ABR1</f>
        <v>ENTRADA DEL MES DE OCTUBRE 2022</v>
      </c>
      <c r="ACB1" s="1085"/>
      <c r="ACC1" s="1085"/>
      <c r="ACD1" s="1085"/>
      <c r="ACE1" s="1085"/>
      <c r="ACF1" s="1085"/>
      <c r="ACG1" s="1085"/>
      <c r="ACH1" s="270">
        <f>ABY1+1</f>
        <v>79</v>
      </c>
      <c r="ACJ1" s="1085" t="str">
        <f>ACA1</f>
        <v>ENTRADA DEL MES DE OCTUBRE 2022</v>
      </c>
      <c r="ACK1" s="1085"/>
      <c r="ACL1" s="1085"/>
      <c r="ACM1" s="1085"/>
      <c r="ACN1" s="1085"/>
      <c r="ACO1" s="1085"/>
      <c r="ACP1" s="1085"/>
      <c r="ACQ1" s="270">
        <f>ACH1+1</f>
        <v>80</v>
      </c>
      <c r="ACS1" s="1085" t="str">
        <f>ACJ1</f>
        <v>ENTRADA DEL MES DE OCTUBRE 2022</v>
      </c>
      <c r="ACT1" s="1085"/>
      <c r="ACU1" s="1085"/>
      <c r="ACV1" s="1085"/>
      <c r="ACW1" s="1085"/>
      <c r="ACX1" s="1085"/>
      <c r="ACY1" s="1085"/>
      <c r="ACZ1" s="270">
        <f>ACQ1+1</f>
        <v>81</v>
      </c>
      <c r="ADB1" s="1085" t="str">
        <f>ACS1</f>
        <v>ENTRADA DEL MES DE OCTUBRE 2022</v>
      </c>
      <c r="ADC1" s="1085"/>
      <c r="ADD1" s="1085"/>
      <c r="ADE1" s="1085"/>
      <c r="ADF1" s="1085"/>
      <c r="ADG1" s="1085"/>
      <c r="ADH1" s="1085"/>
      <c r="ADI1" s="270">
        <f>ACZ1+1</f>
        <v>82</v>
      </c>
      <c r="ADK1" s="1085" t="str">
        <f>ADB1</f>
        <v>ENTRADA DEL MES DE OCTUBRE 2022</v>
      </c>
      <c r="ADL1" s="1085"/>
      <c r="ADM1" s="1085"/>
      <c r="ADN1" s="1085"/>
      <c r="ADO1" s="1085"/>
      <c r="ADP1" s="1085"/>
      <c r="ADQ1" s="1085"/>
      <c r="ADR1" s="270">
        <f>ADI1+1</f>
        <v>83</v>
      </c>
      <c r="ADT1" s="1085" t="str">
        <f>ADK1</f>
        <v>ENTRADA DEL MES DE OCTUBRE 2022</v>
      </c>
      <c r="ADU1" s="1085"/>
      <c r="ADV1" s="1085"/>
      <c r="ADW1" s="1085"/>
      <c r="ADX1" s="1085"/>
      <c r="ADY1" s="1085"/>
      <c r="ADZ1" s="1085"/>
      <c r="AEA1" s="270">
        <f>ADR1+1</f>
        <v>84</v>
      </c>
      <c r="AEC1" s="1085" t="str">
        <f>ADT1</f>
        <v>ENTRADA DEL MES DE OCTUBRE 2022</v>
      </c>
      <c r="AED1" s="1085"/>
      <c r="AEE1" s="1085"/>
      <c r="AEF1" s="1085"/>
      <c r="AEG1" s="1085"/>
      <c r="AEH1" s="1085"/>
      <c r="AEI1" s="1085"/>
      <c r="AEJ1" s="270">
        <f>AEA1+1</f>
        <v>85</v>
      </c>
      <c r="AEL1" s="1085" t="str">
        <f>AEC1</f>
        <v>ENTRADA DEL MES DE OCTUBRE 2022</v>
      </c>
      <c r="AEM1" s="1085"/>
      <c r="AEN1" s="1085"/>
      <c r="AEO1" s="1085"/>
      <c r="AEP1" s="1085"/>
      <c r="AEQ1" s="1085"/>
      <c r="AER1" s="1085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3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79" t="s">
        <v>276</v>
      </c>
      <c r="L5" s="889" t="s">
        <v>277</v>
      </c>
      <c r="M5" s="781" t="s">
        <v>278</v>
      </c>
      <c r="N5" s="782">
        <v>44838</v>
      </c>
      <c r="O5" s="783">
        <v>18696.48</v>
      </c>
      <c r="P5" s="780">
        <v>20</v>
      </c>
      <c r="Q5" s="553">
        <v>18730.080000000002</v>
      </c>
      <c r="R5" s="138">
        <f>O5-Q5</f>
        <v>-33.600000000002183</v>
      </c>
      <c r="S5" s="405"/>
      <c r="U5" s="779" t="s">
        <v>279</v>
      </c>
      <c r="V5" s="890" t="s">
        <v>280</v>
      </c>
      <c r="W5" s="781" t="s">
        <v>281</v>
      </c>
      <c r="X5" s="782">
        <v>44838</v>
      </c>
      <c r="Y5" s="783">
        <v>18828.52</v>
      </c>
      <c r="Z5" s="780">
        <v>21</v>
      </c>
      <c r="AA5" s="553">
        <v>18882</v>
      </c>
      <c r="AB5" s="138">
        <f>Y5-AA5</f>
        <v>-53.479999999999563</v>
      </c>
      <c r="AC5" s="405"/>
      <c r="AE5" s="779" t="s">
        <v>279</v>
      </c>
      <c r="AF5" s="890" t="s">
        <v>280</v>
      </c>
      <c r="AG5" s="781" t="s">
        <v>282</v>
      </c>
      <c r="AH5" s="785">
        <v>44838</v>
      </c>
      <c r="AI5" s="783">
        <v>18725.03</v>
      </c>
      <c r="AJ5" s="780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86" t="s">
        <v>276</v>
      </c>
      <c r="AP5" s="889" t="s">
        <v>277</v>
      </c>
      <c r="AQ5" s="787" t="s">
        <v>283</v>
      </c>
      <c r="AR5" s="782">
        <v>44839</v>
      </c>
      <c r="AS5" s="783">
        <v>18386.240000000002</v>
      </c>
      <c r="AT5" s="780">
        <v>20</v>
      </c>
      <c r="AU5" s="553">
        <v>18457.490000000002</v>
      </c>
      <c r="AV5" s="138">
        <f>AS5-AU5</f>
        <v>-71.25</v>
      </c>
      <c r="AW5" s="405"/>
      <c r="AY5" s="786" t="s">
        <v>279</v>
      </c>
      <c r="AZ5" s="890" t="s">
        <v>284</v>
      </c>
      <c r="BA5" s="787" t="s">
        <v>285</v>
      </c>
      <c r="BB5" s="782">
        <v>44840</v>
      </c>
      <c r="BC5" s="783">
        <v>18990.62</v>
      </c>
      <c r="BD5" s="780">
        <v>21</v>
      </c>
      <c r="BE5" s="553">
        <v>19065.3</v>
      </c>
      <c r="BF5" s="138">
        <f>BC5-BE5</f>
        <v>-74.680000000000291</v>
      </c>
      <c r="BG5" s="405"/>
      <c r="BI5" s="1088" t="s">
        <v>279</v>
      </c>
      <c r="BJ5" s="891" t="s">
        <v>280</v>
      </c>
      <c r="BK5" s="787" t="s">
        <v>288</v>
      </c>
      <c r="BL5" s="785">
        <v>44841</v>
      </c>
      <c r="BM5" s="783">
        <v>18628.8</v>
      </c>
      <c r="BN5" s="780">
        <v>21</v>
      </c>
      <c r="BO5" s="553">
        <v>18643.5</v>
      </c>
      <c r="BP5" s="138">
        <f>BM5-BO5</f>
        <v>-14.700000000000728</v>
      </c>
      <c r="BQ5" s="405"/>
      <c r="BS5" s="1087" t="s">
        <v>276</v>
      </c>
      <c r="BT5" s="922" t="s">
        <v>277</v>
      </c>
      <c r="BU5" s="787" t="s">
        <v>320</v>
      </c>
      <c r="BV5" s="782">
        <v>44845</v>
      </c>
      <c r="BW5" s="783">
        <v>18440.98</v>
      </c>
      <c r="BX5" s="780">
        <v>20</v>
      </c>
      <c r="BY5" s="553">
        <v>18514.62</v>
      </c>
      <c r="BZ5" s="138">
        <f>BW5-BY5</f>
        <v>-73.639999999999418</v>
      </c>
      <c r="CA5" s="245"/>
      <c r="CB5" s="245"/>
      <c r="CC5" s="779" t="s">
        <v>279</v>
      </c>
      <c r="CD5" s="921" t="s">
        <v>280</v>
      </c>
      <c r="CE5" s="787" t="s">
        <v>321</v>
      </c>
      <c r="CF5" s="782">
        <v>44846</v>
      </c>
      <c r="CG5" s="783">
        <v>19100.54</v>
      </c>
      <c r="CH5" s="780">
        <v>21</v>
      </c>
      <c r="CI5" s="553">
        <v>19233.900000000001</v>
      </c>
      <c r="CJ5" s="138">
        <f>CG5-CI5</f>
        <v>-133.36000000000058</v>
      </c>
      <c r="CK5" s="245"/>
      <c r="CL5" s="245"/>
      <c r="CM5" s="1088" t="s">
        <v>279</v>
      </c>
      <c r="CN5" s="923" t="s">
        <v>280</v>
      </c>
      <c r="CO5" s="781" t="s">
        <v>322</v>
      </c>
      <c r="CP5" s="782">
        <v>44846</v>
      </c>
      <c r="CQ5" s="783">
        <v>18667.43</v>
      </c>
      <c r="CR5" s="780">
        <v>21</v>
      </c>
      <c r="CS5" s="553">
        <v>18738.099999999999</v>
      </c>
      <c r="CT5" s="138">
        <f>CQ5-CS5</f>
        <v>-70.669999999998254</v>
      </c>
      <c r="CU5" s="405"/>
      <c r="CW5" s="779" t="s">
        <v>279</v>
      </c>
      <c r="CX5" s="890" t="s">
        <v>280</v>
      </c>
      <c r="CY5" s="781" t="s">
        <v>323</v>
      </c>
      <c r="CZ5" s="782">
        <v>44847</v>
      </c>
      <c r="DA5" s="783">
        <v>18939.02</v>
      </c>
      <c r="DB5" s="780">
        <v>21</v>
      </c>
      <c r="DC5" s="784">
        <v>18979.2</v>
      </c>
      <c r="DD5" s="138">
        <f>DA5-DC5</f>
        <v>-40.180000000000291</v>
      </c>
      <c r="DE5" s="405"/>
      <c r="DG5" s="75" t="s">
        <v>279</v>
      </c>
      <c r="DH5" s="921" t="s">
        <v>280</v>
      </c>
      <c r="DI5" s="787" t="s">
        <v>324</v>
      </c>
      <c r="DJ5" s="782">
        <v>44847</v>
      </c>
      <c r="DK5" s="783">
        <v>18969.060000000001</v>
      </c>
      <c r="DL5" s="780">
        <v>21</v>
      </c>
      <c r="DM5" s="553">
        <v>19045.099999999999</v>
      </c>
      <c r="DN5" s="138">
        <f>DK5-DM5</f>
        <v>-76.039999999997235</v>
      </c>
      <c r="DO5" s="405"/>
      <c r="DQ5" s="1090" t="s">
        <v>279</v>
      </c>
      <c r="DR5" s="921" t="s">
        <v>280</v>
      </c>
      <c r="DS5" s="787" t="s">
        <v>325</v>
      </c>
      <c r="DT5" s="782">
        <v>44848</v>
      </c>
      <c r="DU5" s="783">
        <v>18949.18</v>
      </c>
      <c r="DV5" s="780">
        <v>21</v>
      </c>
      <c r="DW5" s="553">
        <v>19005.400000000001</v>
      </c>
      <c r="DX5" s="138">
        <f>DU5-DW5</f>
        <v>-56.220000000001164</v>
      </c>
      <c r="DY5" s="245"/>
      <c r="EA5" s="786" t="s">
        <v>326</v>
      </c>
      <c r="EB5" s="889" t="s">
        <v>327</v>
      </c>
      <c r="EC5" s="787" t="s">
        <v>328</v>
      </c>
      <c r="ED5" s="782">
        <v>44848</v>
      </c>
      <c r="EE5" s="783">
        <v>19065.310000000001</v>
      </c>
      <c r="EF5" s="780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86" t="s">
        <v>279</v>
      </c>
      <c r="EL5" s="890" t="s">
        <v>280</v>
      </c>
      <c r="EM5" s="787" t="s">
        <v>353</v>
      </c>
      <c r="EN5" s="782">
        <v>44852</v>
      </c>
      <c r="EO5" s="783">
        <v>18989.669999999998</v>
      </c>
      <c r="EP5" s="780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79" t="s">
        <v>326</v>
      </c>
      <c r="EV5" s="889" t="s">
        <v>277</v>
      </c>
      <c r="EW5" s="781" t="s">
        <v>354</v>
      </c>
      <c r="EX5" s="782">
        <v>44852</v>
      </c>
      <c r="EY5" s="783">
        <v>18705.12</v>
      </c>
      <c r="EZ5" s="780">
        <v>20</v>
      </c>
      <c r="FA5" s="960">
        <v>18721.02</v>
      </c>
      <c r="FB5" s="138">
        <f>EY5-FA5</f>
        <v>-15.900000000001455</v>
      </c>
      <c r="FC5" s="405"/>
      <c r="FE5" s="786" t="s">
        <v>355</v>
      </c>
      <c r="FF5" s="889" t="s">
        <v>277</v>
      </c>
      <c r="FG5" s="787" t="s">
        <v>356</v>
      </c>
      <c r="FH5" s="782">
        <v>44853</v>
      </c>
      <c r="FI5" s="783">
        <v>18392.509999999998</v>
      </c>
      <c r="FJ5" s="780">
        <v>20</v>
      </c>
      <c r="FK5" s="960">
        <v>18468.36</v>
      </c>
      <c r="FL5" s="138">
        <f>FI5-FK5</f>
        <v>-75.850000000002183</v>
      </c>
      <c r="FM5" s="405"/>
      <c r="FO5" s="795" t="s">
        <v>279</v>
      </c>
      <c r="FP5" s="890" t="s">
        <v>280</v>
      </c>
      <c r="FQ5" s="787" t="s">
        <v>357</v>
      </c>
      <c r="FR5" s="782">
        <v>44854</v>
      </c>
      <c r="FS5" s="783">
        <v>19018.57</v>
      </c>
      <c r="FT5" s="780">
        <v>21</v>
      </c>
      <c r="FU5" s="553">
        <v>18971.8</v>
      </c>
      <c r="FV5" s="138">
        <f>FS5-FU5</f>
        <v>46.770000000000437</v>
      </c>
      <c r="FW5" s="405"/>
      <c r="FY5" s="779" t="s">
        <v>279</v>
      </c>
      <c r="FZ5" s="890" t="s">
        <v>280</v>
      </c>
      <c r="GA5" s="781" t="s">
        <v>358</v>
      </c>
      <c r="GB5" s="782">
        <v>44854</v>
      </c>
      <c r="GC5" s="783">
        <v>18726.77</v>
      </c>
      <c r="GD5" s="780">
        <v>21</v>
      </c>
      <c r="GE5" s="553">
        <v>18714.2</v>
      </c>
      <c r="GF5" s="138">
        <f>GC5-GE5</f>
        <v>12.569999999999709</v>
      </c>
      <c r="GG5" s="405"/>
      <c r="GI5" s="932" t="s">
        <v>279</v>
      </c>
      <c r="GJ5" s="890" t="s">
        <v>280</v>
      </c>
      <c r="GK5" s="787" t="s">
        <v>359</v>
      </c>
      <c r="GL5" s="785">
        <v>44855</v>
      </c>
      <c r="GM5" s="783">
        <v>19138.55</v>
      </c>
      <c r="GN5" s="780">
        <v>21</v>
      </c>
      <c r="GO5" s="553">
        <v>19147.7</v>
      </c>
      <c r="GP5" s="138">
        <f>GM5-GO5</f>
        <v>-9.1500000000014552</v>
      </c>
      <c r="GQ5" s="405"/>
      <c r="GS5" s="1088" t="s">
        <v>279</v>
      </c>
      <c r="GT5" s="890" t="s">
        <v>280</v>
      </c>
      <c r="GU5" s="780" t="s">
        <v>360</v>
      </c>
      <c r="GV5" s="785">
        <v>44856</v>
      </c>
      <c r="GW5" s="783">
        <v>18739.82</v>
      </c>
      <c r="GX5" s="780">
        <v>21</v>
      </c>
      <c r="GY5" s="553">
        <v>18825.7</v>
      </c>
      <c r="GZ5" s="138">
        <f>GW5-GY5</f>
        <v>-85.880000000001019</v>
      </c>
      <c r="HA5" s="405"/>
      <c r="HC5" s="1087" t="s">
        <v>326</v>
      </c>
      <c r="HD5" s="889" t="s">
        <v>277</v>
      </c>
      <c r="HE5" s="787" t="s">
        <v>377</v>
      </c>
      <c r="HF5" s="785">
        <v>44859</v>
      </c>
      <c r="HG5" s="783">
        <v>18420.43</v>
      </c>
      <c r="HH5" s="780">
        <v>20</v>
      </c>
      <c r="HI5" s="553">
        <v>18465.62</v>
      </c>
      <c r="HJ5" s="138">
        <f>HG5-HI5</f>
        <v>-45.18999999999869</v>
      </c>
      <c r="HK5" s="405"/>
      <c r="HM5" s="786" t="s">
        <v>279</v>
      </c>
      <c r="HN5" s="890" t="s">
        <v>280</v>
      </c>
      <c r="HO5" s="787" t="s">
        <v>378</v>
      </c>
      <c r="HP5" s="782">
        <v>44859</v>
      </c>
      <c r="HQ5" s="783">
        <v>19176.580000000002</v>
      </c>
      <c r="HR5" s="780">
        <v>21</v>
      </c>
      <c r="HS5" s="960">
        <v>19165.599999999999</v>
      </c>
      <c r="HT5" s="138">
        <f>HQ5-HS5</f>
        <v>10.980000000003201</v>
      </c>
      <c r="HU5" s="405"/>
      <c r="HW5" s="1088" t="s">
        <v>326</v>
      </c>
      <c r="HX5" s="889" t="s">
        <v>277</v>
      </c>
      <c r="HY5" s="787" t="s">
        <v>379</v>
      </c>
      <c r="HZ5" s="782">
        <v>44860</v>
      </c>
      <c r="IA5" s="783">
        <v>18182.7</v>
      </c>
      <c r="IB5" s="780">
        <v>20</v>
      </c>
      <c r="IC5" s="553">
        <v>18197.580000000002</v>
      </c>
      <c r="ID5" s="138">
        <f>IA5-IC5</f>
        <v>-14.880000000001019</v>
      </c>
      <c r="IE5" s="405"/>
      <c r="IG5" s="1088" t="s">
        <v>279</v>
      </c>
      <c r="IH5" s="890" t="s">
        <v>280</v>
      </c>
      <c r="II5" s="787" t="s">
        <v>380</v>
      </c>
      <c r="IJ5" s="782">
        <v>44861</v>
      </c>
      <c r="IK5" s="783">
        <v>18661.2</v>
      </c>
      <c r="IL5" s="780">
        <v>21</v>
      </c>
      <c r="IM5" s="553">
        <v>18715</v>
      </c>
      <c r="IN5" s="138">
        <f>IK5-IM5</f>
        <v>-53.799999999999272</v>
      </c>
      <c r="IO5" s="405"/>
      <c r="IQ5" s="1088" t="s">
        <v>279</v>
      </c>
      <c r="IR5" s="941" t="s">
        <v>280</v>
      </c>
      <c r="IS5" s="781" t="s">
        <v>381</v>
      </c>
      <c r="IT5" s="785">
        <v>44861</v>
      </c>
      <c r="IU5" s="783">
        <v>18919.16</v>
      </c>
      <c r="IV5" s="780">
        <v>21</v>
      </c>
      <c r="IW5" s="553">
        <v>19140.8</v>
      </c>
      <c r="IX5" s="138">
        <f>IU5-IW5</f>
        <v>-221.63999999999942</v>
      </c>
      <c r="IY5" s="405"/>
      <c r="JA5" s="786" t="s">
        <v>279</v>
      </c>
      <c r="JB5" s="890" t="s">
        <v>280</v>
      </c>
      <c r="JC5" s="781" t="s">
        <v>382</v>
      </c>
      <c r="JD5" s="782">
        <v>44863</v>
      </c>
      <c r="JE5" s="783">
        <v>18698.47</v>
      </c>
      <c r="JF5" s="780">
        <v>21</v>
      </c>
      <c r="JG5" s="553">
        <v>18840.7</v>
      </c>
      <c r="JH5" s="138">
        <f>JE5-JG5</f>
        <v>-142.22999999999956</v>
      </c>
      <c r="JI5" s="405"/>
      <c r="JK5" s="1090"/>
      <c r="JL5" s="797"/>
      <c r="JM5" s="787"/>
      <c r="JN5" s="782"/>
      <c r="JO5" s="783"/>
      <c r="JP5" s="780"/>
      <c r="JQ5" s="757"/>
      <c r="JR5" s="138">
        <f>JO5-JQ5</f>
        <v>0</v>
      </c>
      <c r="JS5" s="405"/>
      <c r="JU5" s="779"/>
      <c r="JV5" s="780"/>
      <c r="JW5" s="781"/>
      <c r="JX5" s="782"/>
      <c r="JY5" s="783"/>
      <c r="JZ5" s="780"/>
      <c r="KA5" s="784"/>
      <c r="KB5" s="138">
        <f>JY5-KA5</f>
        <v>0</v>
      </c>
      <c r="KC5" s="405"/>
      <c r="KE5" s="1089"/>
      <c r="KF5" s="780"/>
      <c r="KG5" s="781"/>
      <c r="KH5" s="782"/>
      <c r="KI5" s="783"/>
      <c r="KJ5" s="780"/>
      <c r="KK5" s="784"/>
      <c r="KL5" s="138">
        <f>KI5-KK5</f>
        <v>0</v>
      </c>
      <c r="KM5" s="405"/>
      <c r="KO5" s="779"/>
      <c r="KP5" s="780"/>
      <c r="KQ5" s="781"/>
      <c r="KR5" s="782"/>
      <c r="KS5" s="783"/>
      <c r="KT5" s="780"/>
      <c r="KU5" s="784"/>
      <c r="KV5" s="138">
        <f>KS5-KU5</f>
        <v>0</v>
      </c>
      <c r="KW5" s="405"/>
      <c r="KY5" s="779"/>
      <c r="KZ5" s="780"/>
      <c r="LA5" s="781"/>
      <c r="LB5" s="785"/>
      <c r="LC5" s="783"/>
      <c r="LD5" s="780"/>
      <c r="LE5" s="784"/>
      <c r="LF5" s="138">
        <f>LC5-LE5</f>
        <v>0</v>
      </c>
      <c r="LG5" s="405"/>
      <c r="LH5" s="75" t="s">
        <v>41</v>
      </c>
      <c r="LI5" s="786"/>
      <c r="LJ5" s="780"/>
      <c r="LK5" s="787"/>
      <c r="LL5" s="782"/>
      <c r="LM5" s="783"/>
      <c r="LN5" s="780"/>
      <c r="LO5" s="784"/>
      <c r="LP5" s="138">
        <f>LM5-LO5</f>
        <v>0</v>
      </c>
      <c r="LQ5" s="405"/>
      <c r="LS5" s="786"/>
      <c r="LT5" s="780"/>
      <c r="LU5" s="788"/>
      <c r="LV5" s="782"/>
      <c r="LW5" s="783"/>
      <c r="LX5" s="780"/>
      <c r="LY5" s="784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88"/>
      <c r="BJ6" s="789"/>
      <c r="BK6" s="786"/>
      <c r="BL6" s="786"/>
      <c r="BM6" s="786"/>
      <c r="BN6" s="786"/>
      <c r="BO6" s="780"/>
      <c r="BQ6" s="245"/>
      <c r="BS6" s="1087"/>
      <c r="BT6" s="790"/>
      <c r="BU6" s="786"/>
      <c r="BV6" s="786"/>
      <c r="BW6" s="786"/>
      <c r="BX6" s="786"/>
      <c r="BY6" s="780"/>
      <c r="CA6" s="245"/>
      <c r="CB6" s="245"/>
      <c r="CC6" s="227"/>
      <c r="CD6" s="229"/>
      <c r="CI6" s="73"/>
      <c r="CK6" s="245"/>
      <c r="CL6" s="245"/>
      <c r="CM6" s="1088"/>
      <c r="CN6" s="791"/>
      <c r="CO6" s="786"/>
      <c r="CP6" s="786"/>
      <c r="CQ6" s="786"/>
      <c r="CR6" s="786"/>
      <c r="CS6" s="780"/>
      <c r="CU6" s="245"/>
      <c r="CW6" s="227"/>
      <c r="CX6" s="229"/>
      <c r="DC6" s="73"/>
      <c r="DE6" s="245"/>
      <c r="DG6" s="62"/>
      <c r="DH6" s="229"/>
      <c r="DM6" s="73"/>
      <c r="DO6" s="245"/>
      <c r="DQ6" s="1090"/>
      <c r="DR6" s="790"/>
      <c r="DS6" s="786"/>
      <c r="DT6" s="786"/>
      <c r="DU6" s="786"/>
      <c r="DV6" s="786"/>
      <c r="DW6" s="780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33"/>
      <c r="GJ6" s="934"/>
      <c r="GK6" s="786"/>
      <c r="GL6" s="786"/>
      <c r="GM6" s="786"/>
      <c r="GN6" s="786"/>
      <c r="GO6" s="780"/>
      <c r="GQ6" s="245"/>
      <c r="GS6" s="1088"/>
      <c r="GT6" s="796"/>
      <c r="GU6" s="786"/>
      <c r="GV6" s="786"/>
      <c r="GW6" s="786"/>
      <c r="GX6" s="786"/>
      <c r="GY6" s="780"/>
      <c r="HA6" s="245"/>
      <c r="HC6" s="1087"/>
      <c r="HD6" s="790"/>
      <c r="HE6" s="786"/>
      <c r="HF6" s="786"/>
      <c r="HG6" s="786"/>
      <c r="HH6" s="786"/>
      <c r="HI6" s="780"/>
      <c r="HK6" s="245"/>
      <c r="HM6" s="177"/>
      <c r="HN6" s="229"/>
      <c r="HS6" s="73"/>
      <c r="HU6" s="245"/>
      <c r="HW6" s="1088"/>
      <c r="HX6" s="786"/>
      <c r="HY6" s="786"/>
      <c r="HZ6" s="786"/>
      <c r="IA6" s="786"/>
      <c r="IB6" s="786"/>
      <c r="IC6" s="780"/>
      <c r="IE6" s="245"/>
      <c r="IG6" s="1088"/>
      <c r="IH6" s="786"/>
      <c r="II6" s="786"/>
      <c r="IJ6" s="786"/>
      <c r="IK6" s="786"/>
      <c r="IL6" s="786"/>
      <c r="IM6" s="780"/>
      <c r="IO6" s="245"/>
      <c r="IQ6" s="1088"/>
      <c r="IR6" s="790"/>
      <c r="IS6" s="786"/>
      <c r="IT6" s="786"/>
      <c r="IU6" s="786"/>
      <c r="IV6" s="786"/>
      <c r="IW6" s="780"/>
      <c r="IY6" s="245"/>
      <c r="JA6" s="786"/>
      <c r="JB6" s="786"/>
      <c r="JC6" s="786"/>
      <c r="JD6" s="786"/>
      <c r="JE6" s="786"/>
      <c r="JF6" s="786"/>
      <c r="JG6" s="780"/>
      <c r="JI6" s="245"/>
      <c r="JK6" s="1090"/>
      <c r="JL6" s="790"/>
      <c r="JM6" s="786"/>
      <c r="JN6" s="786"/>
      <c r="JO6" s="786"/>
      <c r="JP6" s="786"/>
      <c r="JQ6" s="780"/>
      <c r="JS6" s="245"/>
      <c r="JU6" s="227"/>
      <c r="JV6" s="229"/>
      <c r="KA6" s="73"/>
      <c r="KC6" s="245"/>
      <c r="KE6" s="1089"/>
      <c r="KF6" s="790"/>
      <c r="KG6" s="786"/>
      <c r="KH6" s="786"/>
      <c r="KI6" s="786"/>
      <c r="KJ6" s="786"/>
      <c r="KK6" s="780"/>
      <c r="KM6" s="245"/>
      <c r="KO6" s="779"/>
      <c r="KP6" s="790"/>
      <c r="KQ6" s="786"/>
      <c r="KR6" s="786"/>
      <c r="KS6" s="786"/>
      <c r="KT6" s="786"/>
      <c r="KU6" s="780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432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419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416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423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449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458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6" t="s">
        <v>468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475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491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488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4">
        <v>896.3</v>
      </c>
      <c r="DK8" s="792">
        <v>44849</v>
      </c>
      <c r="DL8" s="764">
        <v>896.3</v>
      </c>
      <c r="DM8" s="793" t="s">
        <v>501</v>
      </c>
      <c r="DN8" s="794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503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497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518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513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532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521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525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538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546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552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554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565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577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583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581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4"/>
      <c r="KU8" s="765"/>
      <c r="KV8" s="766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432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419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416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423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449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458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6" t="s">
        <v>468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475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491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488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4">
        <v>920.8</v>
      </c>
      <c r="DK9" s="792">
        <v>44849</v>
      </c>
      <c r="DL9" s="764">
        <v>920.8</v>
      </c>
      <c r="DM9" s="793" t="s">
        <v>501</v>
      </c>
      <c r="DN9" s="794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503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497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518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513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532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521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525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538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546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552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554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565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577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585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581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67"/>
      <c r="KU9" s="765"/>
      <c r="KV9" s="766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437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419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416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423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449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434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6" t="s">
        <v>468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475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491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488</v>
      </c>
      <c r="DD10" s="71">
        <v>58</v>
      </c>
      <c r="DE10" s="402">
        <f t="shared" si="15"/>
        <v>51933.2</v>
      </c>
      <c r="DH10" s="94"/>
      <c r="DI10" s="15">
        <v>3</v>
      </c>
      <c r="DJ10" s="764">
        <v>880.9</v>
      </c>
      <c r="DK10" s="792">
        <v>44849</v>
      </c>
      <c r="DL10" s="764">
        <v>880.9</v>
      </c>
      <c r="DM10" s="793" t="s">
        <v>501</v>
      </c>
      <c r="DN10" s="794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503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497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518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513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532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521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525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538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546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552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554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565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577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585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581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67"/>
      <c r="KU10" s="765"/>
      <c r="KV10" s="766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432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419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416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423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449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434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6" t="s">
        <v>468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475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491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488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4">
        <v>865.9</v>
      </c>
      <c r="DK11" s="792">
        <v>44849</v>
      </c>
      <c r="DL11" s="764">
        <v>865.9</v>
      </c>
      <c r="DM11" s="793" t="s">
        <v>503</v>
      </c>
      <c r="DN11" s="794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503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497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518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513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532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521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525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538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548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552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554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565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577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583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581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67"/>
      <c r="KU11" s="765"/>
      <c r="KV11" s="766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437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419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416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423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455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458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6" t="s">
        <v>468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475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478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488</v>
      </c>
      <c r="DD12" s="71">
        <v>58</v>
      </c>
      <c r="DE12" s="402">
        <f t="shared" si="15"/>
        <v>53012</v>
      </c>
      <c r="DH12" s="106"/>
      <c r="DI12" s="15">
        <v>5</v>
      </c>
      <c r="DJ12" s="764">
        <v>940.7</v>
      </c>
      <c r="DK12" s="792">
        <v>44849</v>
      </c>
      <c r="DL12" s="764">
        <v>940.7</v>
      </c>
      <c r="DM12" s="793" t="s">
        <v>501</v>
      </c>
      <c r="DN12" s="794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504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497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518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513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532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521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525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538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546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552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554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565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577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585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581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67"/>
      <c r="KU12" s="765"/>
      <c r="KV12" s="766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432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419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416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423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456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434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6" t="s">
        <v>468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475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491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488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4">
        <v>911.7</v>
      </c>
      <c r="DK13" s="792">
        <v>44848</v>
      </c>
      <c r="DL13" s="764">
        <v>911.7</v>
      </c>
      <c r="DM13" s="793" t="s">
        <v>497</v>
      </c>
      <c r="DN13" s="794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503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497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518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513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532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521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525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538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546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552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554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565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577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585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581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67"/>
      <c r="KU13" s="765"/>
      <c r="KV13" s="766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432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419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416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423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456</v>
      </c>
      <c r="BF14" s="71">
        <v>57</v>
      </c>
      <c r="BG14" s="402">
        <f t="shared" si="11"/>
        <v>52383</v>
      </c>
      <c r="BJ14" s="711"/>
      <c r="BK14" s="15">
        <v>7</v>
      </c>
      <c r="BL14" s="92">
        <v>879.1</v>
      </c>
      <c r="BM14" s="135">
        <v>44842</v>
      </c>
      <c r="BN14" s="92">
        <v>879.1</v>
      </c>
      <c r="BO14" s="95" t="s">
        <v>458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6" t="s">
        <v>468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475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491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488</v>
      </c>
      <c r="DD14" s="71">
        <v>58</v>
      </c>
      <c r="DE14" s="402">
        <f t="shared" si="15"/>
        <v>52350.8</v>
      </c>
      <c r="DH14" s="106"/>
      <c r="DI14" s="15">
        <v>7</v>
      </c>
      <c r="DJ14" s="764">
        <v>866.4</v>
      </c>
      <c r="DK14" s="792">
        <v>44848</v>
      </c>
      <c r="DL14" s="764">
        <v>866.4</v>
      </c>
      <c r="DM14" s="793" t="s">
        <v>497</v>
      </c>
      <c r="DN14" s="794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503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497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518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513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523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521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525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538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546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552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554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565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577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576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581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67"/>
      <c r="KU14" s="765"/>
      <c r="KV14" s="766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437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419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416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423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449</v>
      </c>
      <c r="BF15" s="71">
        <v>57</v>
      </c>
      <c r="BG15" s="402">
        <f t="shared" si="11"/>
        <v>51966.9</v>
      </c>
      <c r="BJ15" s="711"/>
      <c r="BK15" s="15">
        <v>8</v>
      </c>
      <c r="BL15" s="92">
        <v>881.8</v>
      </c>
      <c r="BM15" s="135">
        <v>44842</v>
      </c>
      <c r="BN15" s="92">
        <v>881.8</v>
      </c>
      <c r="BO15" s="95" t="s">
        <v>458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6" t="s">
        <v>468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475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491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488</v>
      </c>
      <c r="DD15" s="71">
        <v>58</v>
      </c>
      <c r="DE15" s="402">
        <f t="shared" si="15"/>
        <v>50721</v>
      </c>
      <c r="DH15" s="106"/>
      <c r="DI15" s="15">
        <v>8</v>
      </c>
      <c r="DJ15" s="764">
        <v>908.1</v>
      </c>
      <c r="DK15" s="792">
        <v>44849</v>
      </c>
      <c r="DL15" s="764">
        <v>908.1</v>
      </c>
      <c r="DM15" s="793" t="s">
        <v>501</v>
      </c>
      <c r="DN15" s="794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504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436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518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513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531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521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525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538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543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552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554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565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577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585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581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67"/>
      <c r="KU15" s="765"/>
      <c r="KV15" s="766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437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419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416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423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449</v>
      </c>
      <c r="BF16" s="71">
        <v>57</v>
      </c>
      <c r="BG16" s="402">
        <f t="shared" si="11"/>
        <v>52229.1</v>
      </c>
      <c r="BJ16" s="711"/>
      <c r="BK16" s="15">
        <v>9</v>
      </c>
      <c r="BL16" s="92">
        <v>884.5</v>
      </c>
      <c r="BM16" s="135">
        <v>44842</v>
      </c>
      <c r="BN16" s="92">
        <v>884.5</v>
      </c>
      <c r="BO16" s="95" t="s">
        <v>458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6" t="s">
        <v>468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475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491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488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4">
        <v>932.6</v>
      </c>
      <c r="DK16" s="792">
        <v>44849</v>
      </c>
      <c r="DL16" s="764">
        <v>932.6</v>
      </c>
      <c r="DM16" s="793" t="s">
        <v>501</v>
      </c>
      <c r="DN16" s="794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503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436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518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513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532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521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525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538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546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552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554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565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564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578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581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67"/>
      <c r="KU16" s="765"/>
      <c r="KV16" s="766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432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419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416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423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449</v>
      </c>
      <c r="BF17" s="71">
        <v>57</v>
      </c>
      <c r="BG17" s="402">
        <f t="shared" si="11"/>
        <v>52229.1</v>
      </c>
      <c r="BJ17" s="711"/>
      <c r="BK17" s="15">
        <v>10</v>
      </c>
      <c r="BL17" s="92">
        <v>902.6</v>
      </c>
      <c r="BM17" s="135">
        <v>44842</v>
      </c>
      <c r="BN17" s="92">
        <v>902.6</v>
      </c>
      <c r="BO17" s="95" t="s">
        <v>458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6" t="s">
        <v>468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475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491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488</v>
      </c>
      <c r="DD17" s="71">
        <v>58</v>
      </c>
      <c r="DE17" s="402">
        <f t="shared" si="15"/>
        <v>50773.2</v>
      </c>
      <c r="DH17" s="106"/>
      <c r="DI17" s="15">
        <v>10</v>
      </c>
      <c r="DJ17" s="767">
        <v>939.8</v>
      </c>
      <c r="DK17" s="792">
        <v>44849</v>
      </c>
      <c r="DL17" s="767">
        <v>939.8</v>
      </c>
      <c r="DM17" s="793" t="s">
        <v>501</v>
      </c>
      <c r="DN17" s="794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504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436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518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513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532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521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525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538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546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552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554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565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564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579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581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67"/>
      <c r="KU17" s="765"/>
      <c r="KV17" s="766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432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420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416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426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445</v>
      </c>
      <c r="BF18" s="71">
        <v>57</v>
      </c>
      <c r="BG18" s="402">
        <f t="shared" si="11"/>
        <v>50416.5</v>
      </c>
      <c r="BJ18" s="711"/>
      <c r="BK18" s="15">
        <v>11</v>
      </c>
      <c r="BL18" s="92">
        <v>870.9</v>
      </c>
      <c r="BM18" s="135">
        <v>44842</v>
      </c>
      <c r="BN18" s="92">
        <v>870.9</v>
      </c>
      <c r="BO18" s="95" t="s">
        <v>458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6" t="s">
        <v>469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447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491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487</v>
      </c>
      <c r="DD18" s="71">
        <v>58</v>
      </c>
      <c r="DE18" s="402">
        <f t="shared" si="15"/>
        <v>53853</v>
      </c>
      <c r="DH18" s="106"/>
      <c r="DI18" s="15">
        <v>11</v>
      </c>
      <c r="DJ18" s="764">
        <v>916.3</v>
      </c>
      <c r="DK18" s="792">
        <v>44849</v>
      </c>
      <c r="DL18" s="764">
        <v>916.3</v>
      </c>
      <c r="DM18" s="793" t="s">
        <v>501</v>
      </c>
      <c r="DN18" s="794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503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448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519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514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523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522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526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538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546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553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555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567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564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576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582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67"/>
      <c r="KU18" s="765"/>
      <c r="KV18" s="766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432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420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418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426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452</v>
      </c>
      <c r="BF19" s="71">
        <v>57</v>
      </c>
      <c r="BG19" s="402">
        <f t="shared" si="11"/>
        <v>52536.9</v>
      </c>
      <c r="BJ19" s="711"/>
      <c r="BK19" s="15">
        <v>12</v>
      </c>
      <c r="BL19" s="92">
        <v>890.9</v>
      </c>
      <c r="BM19" s="135">
        <v>44844</v>
      </c>
      <c r="BN19" s="92">
        <v>890.9</v>
      </c>
      <c r="BO19" s="95" t="s">
        <v>434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6" t="s">
        <v>469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447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491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487</v>
      </c>
      <c r="DD19" s="71">
        <v>58</v>
      </c>
      <c r="DE19" s="402">
        <f t="shared" si="15"/>
        <v>52432</v>
      </c>
      <c r="DH19" s="106"/>
      <c r="DI19" s="15">
        <v>12</v>
      </c>
      <c r="DJ19" s="764">
        <v>891.8</v>
      </c>
      <c r="DK19" s="792">
        <v>44849</v>
      </c>
      <c r="DL19" s="764">
        <v>891.8</v>
      </c>
      <c r="DM19" s="793" t="s">
        <v>501</v>
      </c>
      <c r="DN19" s="794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504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448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519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514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532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522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526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537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546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553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555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567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564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578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582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67"/>
      <c r="KU19" s="765"/>
      <c r="KV19" s="766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437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420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418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426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445</v>
      </c>
      <c r="BF20" s="71">
        <v>57</v>
      </c>
      <c r="BG20" s="402">
        <f t="shared" si="11"/>
        <v>53209.5</v>
      </c>
      <c r="BJ20" s="711"/>
      <c r="BK20" s="15">
        <v>13</v>
      </c>
      <c r="BL20" s="69">
        <v>881.8</v>
      </c>
      <c r="BM20" s="135">
        <v>44842</v>
      </c>
      <c r="BN20" s="69">
        <v>881.8</v>
      </c>
      <c r="BO20" s="95" t="s">
        <v>458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6" t="s">
        <v>469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447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491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487</v>
      </c>
      <c r="DD20" s="71">
        <v>58</v>
      </c>
      <c r="DE20" s="402">
        <f t="shared" si="15"/>
        <v>51382.2</v>
      </c>
      <c r="DH20" s="106"/>
      <c r="DI20" s="15">
        <v>13</v>
      </c>
      <c r="DJ20" s="764">
        <v>940.7</v>
      </c>
      <c r="DK20" s="792">
        <v>44849</v>
      </c>
      <c r="DL20" s="764">
        <v>940.7</v>
      </c>
      <c r="DM20" s="793" t="s">
        <v>501</v>
      </c>
      <c r="DN20" s="794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504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448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519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514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523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522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526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537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543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553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555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567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564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576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582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67"/>
      <c r="KU20" s="765"/>
      <c r="KV20" s="766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432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420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418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426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454</v>
      </c>
      <c r="BF21" s="71">
        <v>57</v>
      </c>
      <c r="BG21" s="402">
        <f t="shared" si="11"/>
        <v>51191.700000000004</v>
      </c>
      <c r="BJ21" s="711"/>
      <c r="BK21" s="15">
        <v>14</v>
      </c>
      <c r="BL21" s="92">
        <v>912.6</v>
      </c>
      <c r="BM21" s="135">
        <v>44844</v>
      </c>
      <c r="BN21" s="92">
        <v>912.6</v>
      </c>
      <c r="BO21" s="95" t="s">
        <v>434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6" t="s">
        <v>469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447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491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487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4">
        <v>904.5</v>
      </c>
      <c r="DK21" s="792">
        <v>44848</v>
      </c>
      <c r="DL21" s="764">
        <v>904.5</v>
      </c>
      <c r="DM21" s="793" t="s">
        <v>497</v>
      </c>
      <c r="DN21" s="794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504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448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519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514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523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522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526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537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543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553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555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567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564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576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582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67"/>
      <c r="KU21" s="765"/>
      <c r="KV21" s="766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432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420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418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426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444</v>
      </c>
      <c r="BF22" s="71">
        <v>57</v>
      </c>
      <c r="BG22" s="402">
        <f t="shared" si="11"/>
        <v>51396.9</v>
      </c>
      <c r="BJ22" s="711"/>
      <c r="BK22" s="15">
        <v>15</v>
      </c>
      <c r="BL22" s="92">
        <v>876.3</v>
      </c>
      <c r="BM22" s="135">
        <v>44844</v>
      </c>
      <c r="BN22" s="92">
        <v>876.3</v>
      </c>
      <c r="BO22" s="95" t="s">
        <v>434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6" t="s">
        <v>469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447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491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487</v>
      </c>
      <c r="DD22" s="71">
        <v>58</v>
      </c>
      <c r="DE22" s="402">
        <f t="shared" si="15"/>
        <v>52513.2</v>
      </c>
      <c r="DH22" s="106"/>
      <c r="DI22" s="15">
        <v>15</v>
      </c>
      <c r="DJ22" s="764">
        <v>921.7</v>
      </c>
      <c r="DK22" s="792">
        <v>44849</v>
      </c>
      <c r="DL22" s="764">
        <v>921.7</v>
      </c>
      <c r="DM22" s="793" t="s">
        <v>503</v>
      </c>
      <c r="DN22" s="794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504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448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519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514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523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522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526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537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543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553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555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567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577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576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582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67"/>
      <c r="KU22" s="765"/>
      <c r="KV22" s="766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437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420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418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426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450</v>
      </c>
      <c r="BF23" s="71">
        <v>57</v>
      </c>
      <c r="BG23" s="402">
        <f t="shared" si="11"/>
        <v>50935.200000000004</v>
      </c>
      <c r="BJ23" s="711"/>
      <c r="BK23" s="15">
        <v>16</v>
      </c>
      <c r="BL23" s="92">
        <v>929.9</v>
      </c>
      <c r="BM23" s="135">
        <v>44844</v>
      </c>
      <c r="BN23" s="92">
        <v>929.9</v>
      </c>
      <c r="BO23" s="95" t="s">
        <v>434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6" t="s">
        <v>469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447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490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487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4">
        <v>893.6</v>
      </c>
      <c r="DK23" s="792">
        <v>44849</v>
      </c>
      <c r="DL23" s="764">
        <v>893.6</v>
      </c>
      <c r="DM23" s="793" t="s">
        <v>501</v>
      </c>
      <c r="DN23" s="794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502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448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519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514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523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522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526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537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543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553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555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567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564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576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582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67"/>
      <c r="KU23" s="765"/>
      <c r="KV23" s="766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437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420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418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426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449</v>
      </c>
      <c r="BF24" s="71">
        <v>57</v>
      </c>
      <c r="BG24" s="402">
        <f t="shared" si="11"/>
        <v>52485.599999999999</v>
      </c>
      <c r="BJ24" s="712"/>
      <c r="BK24" s="15">
        <v>17</v>
      </c>
      <c r="BL24" s="92">
        <v>892.7</v>
      </c>
      <c r="BM24" s="135">
        <v>44844</v>
      </c>
      <c r="BN24" s="92">
        <v>892.7</v>
      </c>
      <c r="BO24" s="95" t="s">
        <v>434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6" t="s">
        <v>469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447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478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487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4">
        <v>893.6</v>
      </c>
      <c r="DK24" s="792">
        <v>44849</v>
      </c>
      <c r="DL24" s="764">
        <v>893.6</v>
      </c>
      <c r="DM24" s="793" t="s">
        <v>501</v>
      </c>
      <c r="DN24" s="794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504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448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519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514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523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522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526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537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543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553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555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567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564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576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582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67"/>
      <c r="KU24" s="765"/>
      <c r="KV24" s="766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432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420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418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426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449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434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6" t="s">
        <v>469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447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480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487</v>
      </c>
      <c r="DD25" s="71">
        <v>58</v>
      </c>
      <c r="DE25" s="402">
        <f t="shared" si="15"/>
        <v>53510.8</v>
      </c>
      <c r="DH25" s="94"/>
      <c r="DI25" s="15">
        <v>18</v>
      </c>
      <c r="DJ25" s="764">
        <v>922.6</v>
      </c>
      <c r="DK25" s="792">
        <v>44848</v>
      </c>
      <c r="DL25" s="764">
        <v>922.6</v>
      </c>
      <c r="DM25" s="793" t="s">
        <v>493</v>
      </c>
      <c r="DN25" s="794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504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448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519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514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523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522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526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537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543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553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555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567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67">
        <v>907</v>
      </c>
      <c r="IM25" s="70" t="s">
        <v>564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576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582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67"/>
      <c r="KU25" s="765"/>
      <c r="KV25" s="766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432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420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418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426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452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458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6" t="s">
        <v>469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447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480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487</v>
      </c>
      <c r="DD26" s="71">
        <v>58</v>
      </c>
      <c r="DE26" s="402">
        <f t="shared" si="15"/>
        <v>50117.8</v>
      </c>
      <c r="DH26" s="106"/>
      <c r="DI26" s="15">
        <v>19</v>
      </c>
      <c r="DJ26" s="764">
        <v>929</v>
      </c>
      <c r="DK26" s="792">
        <v>44849</v>
      </c>
      <c r="DL26" s="764">
        <v>929</v>
      </c>
      <c r="DM26" s="793" t="s">
        <v>501</v>
      </c>
      <c r="DN26" s="794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502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448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519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514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523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522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526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537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543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553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555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567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571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576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582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67"/>
      <c r="KU26" s="765"/>
      <c r="KV26" s="766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441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420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418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426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456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434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6" t="s">
        <v>469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447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489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487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4">
        <v>870</v>
      </c>
      <c r="DK27" s="792">
        <v>44848</v>
      </c>
      <c r="DL27" s="764">
        <v>870</v>
      </c>
      <c r="DM27" s="793" t="s">
        <v>492</v>
      </c>
      <c r="DN27" s="794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504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448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519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514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523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522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526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537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543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553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555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567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564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577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582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67"/>
      <c r="KU27" s="765"/>
      <c r="KV27" s="766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419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418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454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434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6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447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491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487</v>
      </c>
      <c r="DD28" s="71">
        <v>58</v>
      </c>
      <c r="DE28" s="402">
        <f t="shared" si="15"/>
        <v>52930.8</v>
      </c>
      <c r="DH28" s="106"/>
      <c r="DI28" s="15">
        <v>21</v>
      </c>
      <c r="DJ28" s="764">
        <v>898.1</v>
      </c>
      <c r="DK28" s="792">
        <v>44848</v>
      </c>
      <c r="DL28" s="764">
        <v>898.1</v>
      </c>
      <c r="DM28" s="793" t="s">
        <v>492</v>
      </c>
      <c r="DN28" s="794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502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519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522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526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537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543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555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571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576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582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67"/>
      <c r="KU28" s="765"/>
      <c r="KV28" s="766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67"/>
      <c r="KU29" s="765"/>
      <c r="KV29" s="766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81" t="s">
        <v>21</v>
      </c>
      <c r="RU33" s="1082"/>
      <c r="RV33" s="141">
        <f>SUM(RW5-RV32)</f>
        <v>0</v>
      </c>
      <c r="SC33" s="1081" t="s">
        <v>21</v>
      </c>
      <c r="SD33" s="1082"/>
      <c r="SE33" s="141">
        <f>SUM(SF5-SE32)</f>
        <v>0</v>
      </c>
      <c r="SL33" s="1081" t="s">
        <v>21</v>
      </c>
      <c r="SM33" s="1082"/>
      <c r="SN33" s="218">
        <f>SUM(SO5-SN32)</f>
        <v>0</v>
      </c>
      <c r="SU33" s="1081" t="s">
        <v>21</v>
      </c>
      <c r="SV33" s="1082"/>
      <c r="SW33" s="141">
        <f>SUM(SX5-SW32)</f>
        <v>0</v>
      </c>
      <c r="TD33" s="1081" t="s">
        <v>21</v>
      </c>
      <c r="TE33" s="1082"/>
      <c r="TF33" s="141">
        <f>SUM(TG5-TF32)</f>
        <v>0</v>
      </c>
      <c r="TM33" s="1081" t="s">
        <v>21</v>
      </c>
      <c r="TN33" s="1082"/>
      <c r="TO33" s="141">
        <f>SUM(TP5-TO32)</f>
        <v>0</v>
      </c>
      <c r="TV33" s="1081" t="s">
        <v>21</v>
      </c>
      <c r="TW33" s="1082"/>
      <c r="TX33" s="141">
        <f>SUM(TY5-TX32)</f>
        <v>0</v>
      </c>
      <c r="UE33" s="1081" t="s">
        <v>21</v>
      </c>
      <c r="UF33" s="1082"/>
      <c r="UG33" s="141">
        <f>SUM(UH5-UG32)</f>
        <v>0</v>
      </c>
      <c r="UN33" s="1081" t="s">
        <v>21</v>
      </c>
      <c r="UO33" s="108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81" t="s">
        <v>21</v>
      </c>
      <c r="VP33" s="1082"/>
      <c r="VQ33" s="141">
        <f>VR5-VQ32</f>
        <v>-22</v>
      </c>
      <c r="VX33" s="1081" t="s">
        <v>21</v>
      </c>
      <c r="VY33" s="1082"/>
      <c r="VZ33" s="141">
        <f>WA5-VZ32</f>
        <v>-22</v>
      </c>
      <c r="WG33" s="1081" t="s">
        <v>21</v>
      </c>
      <c r="WH33" s="1082"/>
      <c r="WI33" s="141">
        <f>WJ5-WI32</f>
        <v>-22</v>
      </c>
      <c r="WP33" s="1081" t="s">
        <v>21</v>
      </c>
      <c r="WQ33" s="1082"/>
      <c r="WR33" s="141">
        <f>WS5-WR32</f>
        <v>-22</v>
      </c>
      <c r="WY33" s="1081" t="s">
        <v>21</v>
      </c>
      <c r="WZ33" s="1082"/>
      <c r="XA33" s="141">
        <f>XB5-XA32</f>
        <v>-22</v>
      </c>
      <c r="XH33" s="1081" t="s">
        <v>21</v>
      </c>
      <c r="XI33" s="1082"/>
      <c r="XJ33" s="141">
        <f>XK5-XJ32</f>
        <v>-22</v>
      </c>
      <c r="XQ33" s="1081" t="s">
        <v>21</v>
      </c>
      <c r="XR33" s="1082"/>
      <c r="XS33" s="141">
        <f>XT5-XS32</f>
        <v>-22</v>
      </c>
      <c r="XZ33" s="1081" t="s">
        <v>21</v>
      </c>
      <c r="YA33" s="1082"/>
      <c r="YB33" s="141">
        <f>YC5-YB32</f>
        <v>-22</v>
      </c>
      <c r="YI33" s="1081" t="s">
        <v>21</v>
      </c>
      <c r="YJ33" s="1082"/>
      <c r="YK33" s="141">
        <f>YL5-YK32</f>
        <v>-22</v>
      </c>
      <c r="YR33" s="1081" t="s">
        <v>21</v>
      </c>
      <c r="YS33" s="1082"/>
      <c r="YT33" s="141">
        <f>YU5-YT32</f>
        <v>-22</v>
      </c>
      <c r="ZA33" s="1081" t="s">
        <v>21</v>
      </c>
      <c r="ZB33" s="1082"/>
      <c r="ZC33" s="141">
        <f>ZD5-ZC32</f>
        <v>-22</v>
      </c>
      <c r="ZJ33" s="1081" t="s">
        <v>21</v>
      </c>
      <c r="ZK33" s="1082"/>
      <c r="ZL33" s="141">
        <f>ZM5-ZL32</f>
        <v>-22</v>
      </c>
      <c r="ZS33" s="1081" t="s">
        <v>21</v>
      </c>
      <c r="ZT33" s="1082"/>
      <c r="ZU33" s="141">
        <f>ZV5-ZU32</f>
        <v>-22</v>
      </c>
      <c r="AAB33" s="1081" t="s">
        <v>21</v>
      </c>
      <c r="AAC33" s="1082"/>
      <c r="AAD33" s="141">
        <f>AAE5-AAD32</f>
        <v>-22</v>
      </c>
      <c r="AAK33" s="1081" t="s">
        <v>21</v>
      </c>
      <c r="AAL33" s="1082"/>
      <c r="AAM33" s="141">
        <f>AAN5-AAM32</f>
        <v>-22</v>
      </c>
      <c r="AAT33" s="1081" t="s">
        <v>21</v>
      </c>
      <c r="AAU33" s="1082"/>
      <c r="AAV33" s="141">
        <f>AAV32-AAT32</f>
        <v>22</v>
      </c>
      <c r="ABC33" s="1081" t="s">
        <v>21</v>
      </c>
      <c r="ABD33" s="1082"/>
      <c r="ABE33" s="141">
        <f>ABF5-ABE32</f>
        <v>-22</v>
      </c>
      <c r="ABL33" s="1081" t="s">
        <v>21</v>
      </c>
      <c r="ABM33" s="1082"/>
      <c r="ABN33" s="141">
        <f>ABO5-ABN32</f>
        <v>-22</v>
      </c>
      <c r="ABU33" s="1081" t="s">
        <v>21</v>
      </c>
      <c r="ABV33" s="1082"/>
      <c r="ABW33" s="141">
        <f>ABX5-ABW32</f>
        <v>-22</v>
      </c>
      <c r="ACD33" s="1081" t="s">
        <v>21</v>
      </c>
      <c r="ACE33" s="1082"/>
      <c r="ACF33" s="141">
        <f>ACG5-ACF32</f>
        <v>-22</v>
      </c>
      <c r="ACM33" s="1081" t="s">
        <v>21</v>
      </c>
      <c r="ACN33" s="1082"/>
      <c r="ACO33" s="141">
        <f>ACP5-ACO32</f>
        <v>-22</v>
      </c>
      <c r="ACV33" s="1081" t="s">
        <v>21</v>
      </c>
      <c r="ACW33" s="1082"/>
      <c r="ACX33" s="141">
        <f>ACY5-ACX32</f>
        <v>-22</v>
      </c>
      <c r="ADE33" s="1081" t="s">
        <v>21</v>
      </c>
      <c r="ADF33" s="1082"/>
      <c r="ADG33" s="141">
        <f>ADH5-ADG32</f>
        <v>-22</v>
      </c>
      <c r="ADN33" s="1081" t="s">
        <v>21</v>
      </c>
      <c r="ADO33" s="1082"/>
      <c r="ADP33" s="141">
        <f>ADQ5-ADP32</f>
        <v>-22</v>
      </c>
      <c r="ADW33" s="1081" t="s">
        <v>21</v>
      </c>
      <c r="ADX33" s="1082"/>
      <c r="ADY33" s="141">
        <f>ADZ5-ADY32</f>
        <v>-22</v>
      </c>
      <c r="AEF33" s="1081" t="s">
        <v>21</v>
      </c>
      <c r="AEG33" s="1082"/>
      <c r="AEH33" s="141">
        <f>AEI5-AEH32</f>
        <v>-22</v>
      </c>
      <c r="AEO33" s="1081" t="s">
        <v>21</v>
      </c>
      <c r="AEP33" s="108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83" t="s">
        <v>4</v>
      </c>
      <c r="RU34" s="1084"/>
      <c r="RV34" s="49"/>
      <c r="SC34" s="1083" t="s">
        <v>4</v>
      </c>
      <c r="SD34" s="1084"/>
      <c r="SE34" s="49"/>
      <c r="SL34" s="1083" t="s">
        <v>4</v>
      </c>
      <c r="SM34" s="1084"/>
      <c r="SN34" s="49"/>
      <c r="SU34" s="1083" t="s">
        <v>4</v>
      </c>
      <c r="SV34" s="1084"/>
      <c r="SW34" s="49"/>
      <c r="TD34" s="1083" t="s">
        <v>4</v>
      </c>
      <c r="TE34" s="1084"/>
      <c r="TF34" s="49"/>
      <c r="TM34" s="1083" t="s">
        <v>4</v>
      </c>
      <c r="TN34" s="1084"/>
      <c r="TO34" s="49"/>
      <c r="TV34" s="1083" t="s">
        <v>4</v>
      </c>
      <c r="TW34" s="1084"/>
      <c r="TX34" s="49"/>
      <c r="UE34" s="1083" t="s">
        <v>4</v>
      </c>
      <c r="UF34" s="1084"/>
      <c r="UG34" s="49"/>
      <c r="UN34" s="1083" t="s">
        <v>4</v>
      </c>
      <c r="UO34" s="108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83" t="s">
        <v>4</v>
      </c>
      <c r="VP34" s="1084"/>
      <c r="VQ34" s="49"/>
      <c r="VX34" s="1083" t="s">
        <v>4</v>
      </c>
      <c r="VY34" s="1084"/>
      <c r="VZ34" s="49"/>
      <c r="WG34" s="1083" t="s">
        <v>4</v>
      </c>
      <c r="WH34" s="1084"/>
      <c r="WI34" s="49"/>
      <c r="WP34" s="1083" t="s">
        <v>4</v>
      </c>
      <c r="WQ34" s="1084"/>
      <c r="WR34" s="49"/>
      <c r="WY34" s="1083" t="s">
        <v>4</v>
      </c>
      <c r="WZ34" s="1084"/>
      <c r="XA34" s="49"/>
      <c r="XH34" s="1083" t="s">
        <v>4</v>
      </c>
      <c r="XI34" s="1084"/>
      <c r="XJ34" s="49"/>
      <c r="XQ34" s="1083" t="s">
        <v>4</v>
      </c>
      <c r="XR34" s="1084"/>
      <c r="XS34" s="49"/>
      <c r="XZ34" s="1083" t="s">
        <v>4</v>
      </c>
      <c r="YA34" s="1084"/>
      <c r="YB34" s="49"/>
      <c r="YI34" s="1083" t="s">
        <v>4</v>
      </c>
      <c r="YJ34" s="1084"/>
      <c r="YK34" s="49"/>
      <c r="YR34" s="1083" t="s">
        <v>4</v>
      </c>
      <c r="YS34" s="1084"/>
      <c r="YT34" s="49"/>
      <c r="ZA34" s="1083" t="s">
        <v>4</v>
      </c>
      <c r="ZB34" s="1084"/>
      <c r="ZC34" s="49"/>
      <c r="ZJ34" s="1083" t="s">
        <v>4</v>
      </c>
      <c r="ZK34" s="1084"/>
      <c r="ZL34" s="49"/>
      <c r="ZS34" s="1083" t="s">
        <v>4</v>
      </c>
      <c r="ZT34" s="1084"/>
      <c r="ZU34" s="49"/>
      <c r="AAB34" s="1083" t="s">
        <v>4</v>
      </c>
      <c r="AAC34" s="1084"/>
      <c r="AAD34" s="49"/>
      <c r="AAK34" s="1083" t="s">
        <v>4</v>
      </c>
      <c r="AAL34" s="1084"/>
      <c r="AAM34" s="49"/>
      <c r="AAT34" s="1083" t="s">
        <v>4</v>
      </c>
      <c r="AAU34" s="1084"/>
      <c r="AAV34" s="49"/>
      <c r="ABC34" s="1083" t="s">
        <v>4</v>
      </c>
      <c r="ABD34" s="1084"/>
      <c r="ABE34" s="49"/>
      <c r="ABL34" s="1083" t="s">
        <v>4</v>
      </c>
      <c r="ABM34" s="1084"/>
      <c r="ABN34" s="49"/>
      <c r="ABU34" s="1083" t="s">
        <v>4</v>
      </c>
      <c r="ABV34" s="1084"/>
      <c r="ABW34" s="49"/>
      <c r="ACD34" s="1083" t="s">
        <v>4</v>
      </c>
      <c r="ACE34" s="1084"/>
      <c r="ACF34" s="49"/>
      <c r="ACM34" s="1083" t="s">
        <v>4</v>
      </c>
      <c r="ACN34" s="1084"/>
      <c r="ACO34" s="49"/>
      <c r="ACV34" s="1083" t="s">
        <v>4</v>
      </c>
      <c r="ACW34" s="1084"/>
      <c r="ACX34" s="49"/>
      <c r="ADE34" s="1083" t="s">
        <v>4</v>
      </c>
      <c r="ADF34" s="1084"/>
      <c r="ADG34" s="49"/>
      <c r="ADN34" s="1083" t="s">
        <v>4</v>
      </c>
      <c r="ADO34" s="1084"/>
      <c r="ADP34" s="49"/>
      <c r="ADW34" s="1083" t="s">
        <v>4</v>
      </c>
      <c r="ADX34" s="1084"/>
      <c r="ADY34" s="49"/>
      <c r="AEF34" s="1083" t="s">
        <v>4</v>
      </c>
      <c r="AEG34" s="1084"/>
      <c r="AEH34" s="49"/>
      <c r="AEO34" s="1083" t="s">
        <v>4</v>
      </c>
      <c r="AEP34" s="108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06"/>
      <c r="B5" s="1117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06"/>
      <c r="B6" s="1117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81" t="s">
        <v>21</v>
      </c>
      <c r="E32" s="108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81" t="s">
        <v>21</v>
      </c>
      <c r="E29" s="108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06">
        <f t="shared" si="1"/>
        <v>0</v>
      </c>
      <c r="G12" s="765"/>
      <c r="H12" s="766"/>
      <c r="I12" s="757">
        <f t="shared" si="2"/>
        <v>0</v>
      </c>
      <c r="J12" s="802">
        <f t="shared" si="0"/>
        <v>0</v>
      </c>
    </row>
    <row r="13" spans="1:10" x14ac:dyDescent="0.25">
      <c r="B13" s="89"/>
      <c r="C13" s="338"/>
      <c r="D13" s="339"/>
      <c r="E13" s="356"/>
      <c r="F13" s="806">
        <f t="shared" si="1"/>
        <v>0</v>
      </c>
      <c r="G13" s="765"/>
      <c r="H13" s="766"/>
      <c r="I13" s="757">
        <f t="shared" si="2"/>
        <v>0</v>
      </c>
      <c r="J13" s="802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06">
        <f t="shared" si="1"/>
        <v>0</v>
      </c>
      <c r="G14" s="765"/>
      <c r="H14" s="766"/>
      <c r="I14" s="757">
        <f t="shared" si="2"/>
        <v>0</v>
      </c>
      <c r="J14" s="802">
        <f t="shared" si="0"/>
        <v>0</v>
      </c>
    </row>
    <row r="15" spans="1:10" x14ac:dyDescent="0.25">
      <c r="B15" s="89"/>
      <c r="C15" s="338"/>
      <c r="D15" s="339"/>
      <c r="E15" s="356"/>
      <c r="F15" s="806">
        <f t="shared" si="1"/>
        <v>0</v>
      </c>
      <c r="G15" s="765"/>
      <c r="H15" s="766"/>
      <c r="I15" s="757">
        <f t="shared" si="2"/>
        <v>0</v>
      </c>
      <c r="J15" s="802">
        <f t="shared" si="0"/>
        <v>0</v>
      </c>
    </row>
    <row r="16" spans="1:10" x14ac:dyDescent="0.25">
      <c r="B16" s="89"/>
      <c r="C16" s="338"/>
      <c r="D16" s="339"/>
      <c r="E16" s="356"/>
      <c r="F16" s="806">
        <f t="shared" si="1"/>
        <v>0</v>
      </c>
      <c r="G16" s="765"/>
      <c r="H16" s="766"/>
      <c r="I16" s="757">
        <f t="shared" si="2"/>
        <v>0</v>
      </c>
      <c r="J16" s="802">
        <f t="shared" si="0"/>
        <v>0</v>
      </c>
    </row>
    <row r="17" spans="1:10" x14ac:dyDescent="0.25">
      <c r="B17" s="89"/>
      <c r="C17" s="338"/>
      <c r="D17" s="339"/>
      <c r="E17" s="356"/>
      <c r="F17" s="806">
        <f t="shared" si="1"/>
        <v>0</v>
      </c>
      <c r="G17" s="765"/>
      <c r="H17" s="766"/>
      <c r="I17" s="757">
        <f t="shared" si="2"/>
        <v>0</v>
      </c>
      <c r="J17" s="802">
        <f t="shared" si="0"/>
        <v>0</v>
      </c>
    </row>
    <row r="18" spans="1:10" x14ac:dyDescent="0.25">
      <c r="B18" s="89"/>
      <c r="C18" s="338"/>
      <c r="D18" s="339"/>
      <c r="E18" s="356"/>
      <c r="F18" s="806">
        <f t="shared" si="1"/>
        <v>0</v>
      </c>
      <c r="G18" s="765"/>
      <c r="H18" s="766"/>
      <c r="I18" s="757">
        <f t="shared" si="2"/>
        <v>0</v>
      </c>
      <c r="J18" s="802">
        <f t="shared" si="0"/>
        <v>0</v>
      </c>
    </row>
    <row r="19" spans="1:10" x14ac:dyDescent="0.25">
      <c r="B19" s="89"/>
      <c r="C19" s="338"/>
      <c r="D19" s="339"/>
      <c r="E19" s="356"/>
      <c r="F19" s="806">
        <f t="shared" si="1"/>
        <v>0</v>
      </c>
      <c r="G19" s="765"/>
      <c r="H19" s="766"/>
      <c r="I19" s="757">
        <f t="shared" si="2"/>
        <v>0</v>
      </c>
      <c r="J19" s="802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1" t="s">
        <v>21</v>
      </c>
      <c r="E32" s="108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92" t="s">
        <v>265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06" t="s">
        <v>99</v>
      </c>
      <c r="B5" s="1108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106"/>
      <c r="B6" s="1108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3">
        <v>34.119999999999997</v>
      </c>
      <c r="E12" s="666">
        <v>44807</v>
      </c>
      <c r="F12" s="667">
        <f t="shared" si="0"/>
        <v>34.119999999999997</v>
      </c>
      <c r="G12" s="665" t="s">
        <v>178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3">
        <v>32.950000000000003</v>
      </c>
      <c r="E13" s="666">
        <v>44818</v>
      </c>
      <c r="F13" s="667">
        <f t="shared" si="0"/>
        <v>32.950000000000003</v>
      </c>
      <c r="G13" s="665" t="s">
        <v>205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3">
        <v>32.700000000000003</v>
      </c>
      <c r="E14" s="666">
        <v>44819</v>
      </c>
      <c r="F14" s="667">
        <f t="shared" si="0"/>
        <v>32.700000000000003</v>
      </c>
      <c r="G14" s="665" t="s">
        <v>207</v>
      </c>
      <c r="H14" s="387">
        <v>61</v>
      </c>
      <c r="I14" s="132">
        <f t="shared" si="1"/>
        <v>657.19999999999982</v>
      </c>
    </row>
    <row r="15" spans="1:9" x14ac:dyDescent="0.25">
      <c r="B15" s="980">
        <f>B14-C15</f>
        <v>20</v>
      </c>
      <c r="C15" s="73">
        <v>1</v>
      </c>
      <c r="D15" s="663">
        <v>32.630000000000003</v>
      </c>
      <c r="E15" s="666">
        <v>44819</v>
      </c>
      <c r="F15" s="667">
        <f t="shared" si="0"/>
        <v>32.630000000000003</v>
      </c>
      <c r="G15" s="665" t="s">
        <v>211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07">
        <v>44837</v>
      </c>
      <c r="F16" s="808">
        <f t="shared" si="0"/>
        <v>88.2</v>
      </c>
      <c r="G16" s="331" t="s">
        <v>412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07">
        <v>44844</v>
      </c>
      <c r="F17" s="808">
        <f t="shared" si="0"/>
        <v>32.49</v>
      </c>
      <c r="G17" s="331" t="s">
        <v>459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07">
        <v>44858</v>
      </c>
      <c r="F18" s="808">
        <f t="shared" si="0"/>
        <v>29.94</v>
      </c>
      <c r="G18" s="331" t="s">
        <v>545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07"/>
      <c r="F19" s="808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07"/>
      <c r="F20" s="808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07"/>
      <c r="F21" s="808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07"/>
      <c r="F22" s="808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07"/>
      <c r="F23" s="808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3">
        <v>0</v>
      </c>
      <c r="E24" s="666"/>
      <c r="F24" s="667">
        <f t="shared" si="0"/>
        <v>0</v>
      </c>
      <c r="G24" s="665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3">
        <v>0</v>
      </c>
      <c r="E25" s="666"/>
      <c r="F25" s="667">
        <f t="shared" si="0"/>
        <v>0</v>
      </c>
      <c r="G25" s="665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3"/>
      <c r="F26" s="475">
        <f t="shared" si="0"/>
        <v>0</v>
      </c>
      <c r="G26" s="694"/>
      <c r="H26" s="66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81" t="s">
        <v>21</v>
      </c>
      <c r="E29" s="1082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100"/>
      <c r="B6" s="1118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100"/>
      <c r="B7" s="1119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8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8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9"/>
      <c r="F16" s="105">
        <f t="shared" si="1"/>
        <v>20</v>
      </c>
      <c r="G16" s="665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9"/>
      <c r="F17" s="105">
        <f t="shared" si="1"/>
        <v>20</v>
      </c>
      <c r="G17" s="665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9"/>
      <c r="F18" s="105">
        <f t="shared" si="1"/>
        <v>20</v>
      </c>
      <c r="G18" s="665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9"/>
      <c r="F19" s="105">
        <f t="shared" si="1"/>
        <v>20</v>
      </c>
      <c r="G19" s="665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9"/>
      <c r="F20" s="105">
        <f t="shared" si="1"/>
        <v>20</v>
      </c>
      <c r="G20" s="665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9"/>
      <c r="F21" s="105">
        <f t="shared" si="1"/>
        <v>20</v>
      </c>
      <c r="G21" s="665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9"/>
      <c r="F22" s="105">
        <f t="shared" si="1"/>
        <v>20</v>
      </c>
      <c r="G22" s="665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9"/>
      <c r="F23" s="105">
        <f t="shared" si="1"/>
        <v>20</v>
      </c>
      <c r="G23" s="665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9"/>
      <c r="F24" s="105">
        <f t="shared" si="1"/>
        <v>20</v>
      </c>
      <c r="G24" s="665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9"/>
      <c r="F25" s="105">
        <f t="shared" si="1"/>
        <v>20</v>
      </c>
      <c r="G25" s="665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81" t="s">
        <v>21</v>
      </c>
      <c r="E30" s="108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0" t="s">
        <v>266</v>
      </c>
      <c r="B1" s="1120"/>
      <c r="C1" s="1120"/>
      <c r="D1" s="1120"/>
      <c r="E1" s="1120"/>
      <c r="F1" s="1120"/>
      <c r="G1" s="1120"/>
      <c r="H1" s="1120"/>
      <c r="I1" s="1120"/>
      <c r="J1" s="1120"/>
      <c r="K1" s="489">
        <v>1</v>
      </c>
      <c r="M1" s="1123" t="s">
        <v>260</v>
      </c>
      <c r="N1" s="1123"/>
      <c r="O1" s="1123"/>
      <c r="P1" s="1123"/>
      <c r="Q1" s="1123"/>
      <c r="R1" s="1123"/>
      <c r="S1" s="1123"/>
      <c r="T1" s="1123"/>
      <c r="U1" s="1123"/>
      <c r="V1" s="1123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121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21" t="s">
        <v>287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22"/>
      <c r="B6" s="709" t="s">
        <v>157</v>
      </c>
      <c r="C6" s="156">
        <v>77.5</v>
      </c>
      <c r="D6" s="135">
        <v>44824</v>
      </c>
      <c r="E6" s="78">
        <v>18509.599999999999</v>
      </c>
      <c r="F6" s="62">
        <v>680</v>
      </c>
      <c r="M6" s="1122"/>
      <c r="N6" s="709" t="s">
        <v>157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0" t="s">
        <v>60</v>
      </c>
      <c r="J8" s="760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07" t="s">
        <v>60</v>
      </c>
      <c r="V8" s="907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78">
        <v>44834</v>
      </c>
      <c r="F9" s="69">
        <f>D9</f>
        <v>653.28</v>
      </c>
      <c r="G9" s="70" t="s">
        <v>254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78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77">
        <f>C10*B10</f>
        <v>1306.56</v>
      </c>
      <c r="E10" s="247">
        <v>44835</v>
      </c>
      <c r="F10" s="69">
        <f>D10</f>
        <v>1306.56</v>
      </c>
      <c r="G10" s="70" t="s">
        <v>257</v>
      </c>
      <c r="H10" s="71">
        <v>84</v>
      </c>
      <c r="I10" s="999">
        <f>I9-F10-2.52</f>
        <v>16628.899999999998</v>
      </c>
      <c r="J10" s="998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77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09">
        <f t="shared" ref="D11:D72" si="2">C11*B11</f>
        <v>27.22</v>
      </c>
      <c r="E11" s="807">
        <v>44837</v>
      </c>
      <c r="F11" s="549">
        <f t="shared" ref="F11:F72" si="3">D11</f>
        <v>27.22</v>
      </c>
      <c r="G11" s="331" t="s">
        <v>411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09">
        <f t="shared" si="2"/>
        <v>653.28</v>
      </c>
      <c r="E12" s="807">
        <v>44839</v>
      </c>
      <c r="F12" s="549">
        <f t="shared" si="3"/>
        <v>653.28</v>
      </c>
      <c r="G12" s="331" t="s">
        <v>422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09">
        <f t="shared" si="2"/>
        <v>653.28</v>
      </c>
      <c r="E13" s="807">
        <v>44840</v>
      </c>
      <c r="F13" s="549">
        <f t="shared" si="3"/>
        <v>653.28</v>
      </c>
      <c r="G13" s="331" t="s">
        <v>431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09">
        <f t="shared" si="2"/>
        <v>163.32</v>
      </c>
      <c r="E14" s="807">
        <v>44842</v>
      </c>
      <c r="F14" s="549">
        <f t="shared" si="3"/>
        <v>163.32</v>
      </c>
      <c r="G14" s="331" t="s">
        <v>444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09">
        <f t="shared" si="2"/>
        <v>27.22</v>
      </c>
      <c r="E15" s="807">
        <v>44842</v>
      </c>
      <c r="F15" s="549">
        <f t="shared" si="3"/>
        <v>27.22</v>
      </c>
      <c r="G15" s="331" t="s">
        <v>445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09">
        <f t="shared" si="2"/>
        <v>136.1</v>
      </c>
      <c r="E16" s="807">
        <v>44842</v>
      </c>
      <c r="F16" s="549">
        <f t="shared" si="3"/>
        <v>136.1</v>
      </c>
      <c r="G16" s="331" t="s">
        <v>454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09">
        <f t="shared" si="2"/>
        <v>979.92</v>
      </c>
      <c r="E17" s="807">
        <v>44842</v>
      </c>
      <c r="F17" s="549">
        <f t="shared" si="3"/>
        <v>979.92</v>
      </c>
      <c r="G17" s="331" t="s">
        <v>453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09">
        <f t="shared" si="2"/>
        <v>272.2</v>
      </c>
      <c r="E18" s="807">
        <v>44844</v>
      </c>
      <c r="F18" s="549">
        <f t="shared" si="3"/>
        <v>272.2</v>
      </c>
      <c r="G18" s="331" t="s">
        <v>462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09">
        <f t="shared" si="2"/>
        <v>979.92</v>
      </c>
      <c r="E19" s="807">
        <v>44845</v>
      </c>
      <c r="F19" s="549">
        <f t="shared" si="3"/>
        <v>979.92</v>
      </c>
      <c r="G19" s="331" t="s">
        <v>464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09">
        <f t="shared" si="2"/>
        <v>27.22</v>
      </c>
      <c r="E20" s="807">
        <v>44846</v>
      </c>
      <c r="F20" s="549">
        <f t="shared" si="3"/>
        <v>27.22</v>
      </c>
      <c r="G20" s="331" t="s">
        <v>470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09">
        <f t="shared" si="2"/>
        <v>979.92</v>
      </c>
      <c r="E21" s="807">
        <v>44847</v>
      </c>
      <c r="F21" s="549">
        <f t="shared" si="3"/>
        <v>979.92</v>
      </c>
      <c r="G21" s="331" t="s">
        <v>484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09">
        <f t="shared" si="2"/>
        <v>27.22</v>
      </c>
      <c r="E22" s="807">
        <v>44849</v>
      </c>
      <c r="F22" s="549">
        <f t="shared" si="3"/>
        <v>27.22</v>
      </c>
      <c r="G22" s="331" t="s">
        <v>498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09">
        <f t="shared" si="2"/>
        <v>1088.8</v>
      </c>
      <c r="E23" s="807">
        <v>44849</v>
      </c>
      <c r="F23" s="549">
        <f t="shared" si="3"/>
        <v>1088.8</v>
      </c>
      <c r="G23" s="331" t="s">
        <v>499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09">
        <f t="shared" si="2"/>
        <v>136.1</v>
      </c>
      <c r="E24" s="807">
        <v>44849</v>
      </c>
      <c r="F24" s="549">
        <f t="shared" si="3"/>
        <v>136.1</v>
      </c>
      <c r="G24" s="331" t="s">
        <v>502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09">
        <f t="shared" si="2"/>
        <v>27.22</v>
      </c>
      <c r="E25" s="807">
        <v>44852</v>
      </c>
      <c r="F25" s="549">
        <f t="shared" si="3"/>
        <v>27.22</v>
      </c>
      <c r="G25" s="331" t="s">
        <v>509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09">
        <f t="shared" si="2"/>
        <v>54.44</v>
      </c>
      <c r="E26" s="807">
        <v>44852</v>
      </c>
      <c r="F26" s="549">
        <f t="shared" si="3"/>
        <v>54.44</v>
      </c>
      <c r="G26" s="331" t="s">
        <v>510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09">
        <f t="shared" si="2"/>
        <v>979.92</v>
      </c>
      <c r="E27" s="807">
        <v>44852</v>
      </c>
      <c r="F27" s="549">
        <f t="shared" si="3"/>
        <v>979.92</v>
      </c>
      <c r="G27" s="331" t="s">
        <v>512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09">
        <f t="shared" si="2"/>
        <v>27.22</v>
      </c>
      <c r="E28" s="807">
        <v>44853</v>
      </c>
      <c r="F28" s="549">
        <f t="shared" si="3"/>
        <v>27.22</v>
      </c>
      <c r="G28" s="331" t="s">
        <v>515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09">
        <f t="shared" si="2"/>
        <v>136.1</v>
      </c>
      <c r="E29" s="807">
        <v>44853</v>
      </c>
      <c r="F29" s="549">
        <f t="shared" si="3"/>
        <v>136.1</v>
      </c>
      <c r="G29" s="331" t="s">
        <v>516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09">
        <f t="shared" si="2"/>
        <v>272.2</v>
      </c>
      <c r="E30" s="807">
        <v>44854</v>
      </c>
      <c r="F30" s="549">
        <f t="shared" si="3"/>
        <v>272.2</v>
      </c>
      <c r="G30" s="331" t="s">
        <v>527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09">
        <f t="shared" si="2"/>
        <v>979.92</v>
      </c>
      <c r="E31" s="807">
        <v>44854</v>
      </c>
      <c r="F31" s="549">
        <f t="shared" si="3"/>
        <v>979.92</v>
      </c>
      <c r="G31" s="331" t="s">
        <v>528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09">
        <f t="shared" si="2"/>
        <v>653.28</v>
      </c>
      <c r="E32" s="807">
        <v>44855</v>
      </c>
      <c r="F32" s="549">
        <f t="shared" si="3"/>
        <v>653.28</v>
      </c>
      <c r="G32" s="331" t="s">
        <v>534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09">
        <f t="shared" si="2"/>
        <v>408.29999999999995</v>
      </c>
      <c r="E33" s="807">
        <v>44856</v>
      </c>
      <c r="F33" s="549">
        <f t="shared" si="3"/>
        <v>408.29999999999995</v>
      </c>
      <c r="G33" s="331" t="s">
        <v>539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09">
        <f t="shared" si="2"/>
        <v>979.92</v>
      </c>
      <c r="E34" s="807">
        <v>44856</v>
      </c>
      <c r="F34" s="549">
        <f t="shared" si="3"/>
        <v>979.92</v>
      </c>
      <c r="G34" s="331" t="s">
        <v>542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09">
        <f t="shared" si="2"/>
        <v>54.44</v>
      </c>
      <c r="E35" s="807">
        <v>44860</v>
      </c>
      <c r="F35" s="549">
        <f t="shared" si="3"/>
        <v>54.44</v>
      </c>
      <c r="G35" s="331" t="s">
        <v>557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09">
        <f t="shared" si="2"/>
        <v>27.22</v>
      </c>
      <c r="E36" s="807">
        <v>44860</v>
      </c>
      <c r="F36" s="549">
        <f t="shared" si="3"/>
        <v>27.22</v>
      </c>
      <c r="G36" s="331" t="s">
        <v>560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561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562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563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570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578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580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1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1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94" t="s">
        <v>11</v>
      </c>
      <c r="D120" s="1095"/>
      <c r="E120" s="57">
        <f>E4+E5+E6-F115</f>
        <v>2640.3399999999983</v>
      </c>
      <c r="G120" s="47"/>
      <c r="H120" s="91"/>
      <c r="O120" s="1094" t="s">
        <v>11</v>
      </c>
      <c r="P120" s="1095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 t="s">
        <v>267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100" t="s">
        <v>164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100"/>
      <c r="B6" s="588" t="s">
        <v>68</v>
      </c>
      <c r="C6" s="1124" t="s">
        <v>590</v>
      </c>
      <c r="D6" s="1125"/>
      <c r="E6" s="1126"/>
      <c r="F6" s="62">
        <v>1</v>
      </c>
    </row>
    <row r="7" spans="1:9" ht="15.75" thickBot="1" x14ac:dyDescent="0.3">
      <c r="B7" s="73"/>
      <c r="C7" s="1127"/>
      <c r="D7" s="1128"/>
      <c r="E7" s="1129"/>
      <c r="F7" s="73"/>
    </row>
    <row r="8" spans="1:9" ht="16.5" thickTop="1" thickBot="1" x14ac:dyDescent="0.3">
      <c r="B8" s="64" t="s">
        <v>7</v>
      </c>
      <c r="C8" s="990" t="s">
        <v>8</v>
      </c>
      <c r="D8" s="991" t="s">
        <v>3</v>
      </c>
      <c r="E8" s="9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252</v>
      </c>
      <c r="H9" s="71">
        <v>148</v>
      </c>
      <c r="I9" s="989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411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414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427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484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436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498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545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556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573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94" t="s">
        <v>11</v>
      </c>
      <c r="D73" s="1095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100"/>
      <c r="B5" s="1130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00"/>
      <c r="B6" s="1130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94" t="s">
        <v>11</v>
      </c>
      <c r="D60" s="109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 t="s">
        <v>268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00"/>
      <c r="B4" s="1131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100"/>
      <c r="B5" s="1132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32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498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507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508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516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535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541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71">
        <f t="shared" si="0"/>
        <v>0</v>
      </c>
      <c r="G16" s="973"/>
      <c r="H16" s="974"/>
      <c r="I16" s="975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71">
        <f t="shared" si="0"/>
        <v>0</v>
      </c>
      <c r="G17" s="973"/>
      <c r="H17" s="974"/>
      <c r="I17" s="975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71">
        <f t="shared" si="0"/>
        <v>0</v>
      </c>
      <c r="G18" s="973"/>
      <c r="H18" s="974"/>
      <c r="I18" s="975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71">
        <f t="shared" si="0"/>
        <v>0</v>
      </c>
      <c r="G19" s="973"/>
      <c r="H19" s="974"/>
      <c r="I19" s="975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71">
        <f t="shared" si="0"/>
        <v>0</v>
      </c>
      <c r="G20" s="973"/>
      <c r="H20" s="974"/>
      <c r="I20" s="975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94" t="s">
        <v>11</v>
      </c>
      <c r="D61" s="1095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6"/>
      <c r="B1" s="1096"/>
      <c r="C1" s="1096"/>
      <c r="D1" s="1096"/>
      <c r="E1" s="1096"/>
      <c r="F1" s="1096"/>
      <c r="G1" s="10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33"/>
      <c r="B5" s="1135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34"/>
      <c r="B6" s="1136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7" t="s">
        <v>11</v>
      </c>
      <c r="D56" s="113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92" t="s">
        <v>109</v>
      </c>
      <c r="B1" s="1092"/>
      <c r="C1" s="1092"/>
      <c r="D1" s="1092"/>
      <c r="E1" s="1092"/>
      <c r="F1" s="1092"/>
      <c r="G1" s="10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93" t="s">
        <v>96</v>
      </c>
      <c r="C5" s="400">
        <v>57</v>
      </c>
      <c r="D5" s="134">
        <v>44712</v>
      </c>
      <c r="E5" s="710">
        <v>2060</v>
      </c>
      <c r="F5" s="714">
        <v>2</v>
      </c>
      <c r="G5" s="715"/>
      <c r="H5" s="716"/>
      <c r="I5" s="717" t="s">
        <v>154</v>
      </c>
      <c r="J5" s="716"/>
      <c r="K5" s="716"/>
      <c r="L5" s="716"/>
      <c r="M5" s="716"/>
    </row>
    <row r="6" spans="1:13" x14ac:dyDescent="0.25">
      <c r="A6" s="413" t="s">
        <v>95</v>
      </c>
      <c r="B6" s="1093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3"/>
      <c r="E13" s="654"/>
      <c r="F13" s="653">
        <f t="shared" ref="F13:F73" si="3">D13</f>
        <v>0</v>
      </c>
      <c r="G13" s="655"/>
      <c r="H13" s="649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3"/>
      <c r="E14" s="654"/>
      <c r="F14" s="653">
        <f t="shared" si="3"/>
        <v>0</v>
      </c>
      <c r="G14" s="655"/>
      <c r="H14" s="649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3"/>
      <c r="E15" s="654"/>
      <c r="F15" s="653">
        <f t="shared" si="3"/>
        <v>0</v>
      </c>
      <c r="G15" s="655"/>
      <c r="H15" s="649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3"/>
      <c r="E16" s="654"/>
      <c r="F16" s="653">
        <f t="shared" si="3"/>
        <v>0</v>
      </c>
      <c r="G16" s="655"/>
      <c r="H16" s="64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3"/>
      <c r="E17" s="654"/>
      <c r="F17" s="653">
        <f t="shared" si="3"/>
        <v>0</v>
      </c>
      <c r="G17" s="655"/>
      <c r="H17" s="64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4" t="s">
        <v>11</v>
      </c>
      <c r="D83" s="109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5"/>
      <c r="B1" s="1085"/>
      <c r="C1" s="1085"/>
      <c r="D1" s="1085"/>
      <c r="E1" s="1085"/>
      <c r="F1" s="1085"/>
      <c r="G1" s="10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39"/>
      <c r="C4" s="17"/>
      <c r="E4" s="255"/>
      <c r="F4" s="241"/>
    </row>
    <row r="5" spans="1:10" ht="15" customHeight="1" x14ac:dyDescent="0.25">
      <c r="A5" s="1133"/>
      <c r="B5" s="1140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34"/>
      <c r="B6" s="1141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7" t="s">
        <v>11</v>
      </c>
      <c r="D55" s="113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2" t="s">
        <v>269</v>
      </c>
      <c r="B1" s="1092"/>
      <c r="C1" s="1092"/>
      <c r="D1" s="1092"/>
      <c r="E1" s="1092"/>
      <c r="F1" s="1092"/>
      <c r="G1" s="1092"/>
      <c r="H1" s="1092"/>
      <c r="I1" s="1092"/>
      <c r="J1" s="11">
        <v>1</v>
      </c>
      <c r="M1" s="1096" t="s">
        <v>260</v>
      </c>
      <c r="N1" s="1096"/>
      <c r="O1" s="1096"/>
      <c r="P1" s="1096"/>
      <c r="Q1" s="1096"/>
      <c r="R1" s="1096"/>
      <c r="S1" s="1096"/>
      <c r="T1" s="1096"/>
      <c r="U1" s="109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42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106" t="s">
        <v>274</v>
      </c>
      <c r="N5" s="1142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42"/>
      <c r="C6" s="200"/>
      <c r="D6" s="149"/>
      <c r="E6" s="78"/>
      <c r="F6" s="62"/>
      <c r="I6" s="192"/>
      <c r="J6" s="73"/>
      <c r="M6" s="1106"/>
      <c r="N6" s="1142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995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176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417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184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421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181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422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185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428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186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429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182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433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187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440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194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451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195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465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196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466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197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435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198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471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199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472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201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473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203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477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207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486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220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493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217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494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222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436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223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496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224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498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229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498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235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505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235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506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236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506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238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507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241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515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242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516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244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517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245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520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246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535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251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535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254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536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255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539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258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542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0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259</v>
      </c>
      <c r="H44" s="71">
        <v>55</v>
      </c>
      <c r="I44" s="993">
        <f t="shared" si="6"/>
        <v>86.259999999999977</v>
      </c>
      <c r="J44" s="994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544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0">
        <v>44837</v>
      </c>
      <c r="F45" s="549">
        <f t="shared" si="10"/>
        <v>22.7</v>
      </c>
      <c r="G45" s="331" t="s">
        <v>411</v>
      </c>
      <c r="H45" s="332">
        <v>55</v>
      </c>
      <c r="I45" s="811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549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0">
        <v>44837</v>
      </c>
      <c r="F46" s="549">
        <f t="shared" si="10"/>
        <v>63.56</v>
      </c>
      <c r="G46" s="331" t="s">
        <v>414</v>
      </c>
      <c r="H46" s="332">
        <v>55</v>
      </c>
      <c r="I46" s="811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551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0"/>
      <c r="F47" s="549">
        <f t="shared" si="10"/>
        <v>0</v>
      </c>
      <c r="G47" s="949"/>
      <c r="H47" s="950"/>
      <c r="I47" s="951">
        <f t="shared" si="6"/>
        <v>0</v>
      </c>
      <c r="J47" s="952">
        <f t="shared" si="7"/>
        <v>0</v>
      </c>
      <c r="K47" s="953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551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0"/>
      <c r="F48" s="549">
        <f t="shared" si="10"/>
        <v>0</v>
      </c>
      <c r="G48" s="949"/>
      <c r="H48" s="950"/>
      <c r="I48" s="951">
        <f t="shared" si="6"/>
        <v>0</v>
      </c>
      <c r="J48" s="952">
        <f t="shared" si="7"/>
        <v>0</v>
      </c>
      <c r="K48" s="953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556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0"/>
      <c r="F49" s="549">
        <f t="shared" si="10"/>
        <v>0</v>
      </c>
      <c r="G49" s="949"/>
      <c r="H49" s="950"/>
      <c r="I49" s="951">
        <f t="shared" si="6"/>
        <v>0</v>
      </c>
      <c r="J49" s="952">
        <f t="shared" si="7"/>
        <v>0</v>
      </c>
      <c r="K49" s="953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568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0"/>
      <c r="F50" s="549">
        <f t="shared" si="10"/>
        <v>0</v>
      </c>
      <c r="G50" s="331"/>
      <c r="H50" s="332"/>
      <c r="I50" s="811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570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0"/>
      <c r="F51" s="549">
        <f t="shared" si="10"/>
        <v>0</v>
      </c>
      <c r="G51" s="331"/>
      <c r="H51" s="332"/>
      <c r="I51" s="811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571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0"/>
      <c r="F52" s="549">
        <f t="shared" si="10"/>
        <v>0</v>
      </c>
      <c r="G52" s="331"/>
      <c r="H52" s="332"/>
      <c r="I52" s="811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575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0"/>
      <c r="F53" s="549">
        <f t="shared" si="10"/>
        <v>0</v>
      </c>
      <c r="G53" s="331"/>
      <c r="H53" s="332"/>
      <c r="I53" s="811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586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0"/>
      <c r="F54" s="549">
        <f t="shared" si="10"/>
        <v>0</v>
      </c>
      <c r="G54" s="331"/>
      <c r="H54" s="332"/>
      <c r="I54" s="811">
        <f t="shared" si="6"/>
        <v>0</v>
      </c>
      <c r="J54" s="73">
        <f t="shared" si="7"/>
        <v>0</v>
      </c>
      <c r="K54" s="60">
        <f t="shared" si="4"/>
        <v>0</v>
      </c>
      <c r="M54" s="996" t="s">
        <v>591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589</v>
      </c>
      <c r="T54" s="71">
        <v>55</v>
      </c>
      <c r="U54" s="993">
        <f t="shared" si="8"/>
        <v>1239.4200000000019</v>
      </c>
      <c r="V54" s="994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0"/>
      <c r="F55" s="549">
        <f t="shared" si="10"/>
        <v>0</v>
      </c>
      <c r="G55" s="331"/>
      <c r="H55" s="332"/>
      <c r="I55" s="811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0"/>
      <c r="F56" s="549">
        <f t="shared" si="10"/>
        <v>0</v>
      </c>
      <c r="G56" s="331"/>
      <c r="H56" s="332"/>
      <c r="I56" s="811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0"/>
      <c r="F57" s="549">
        <f t="shared" si="10"/>
        <v>0</v>
      </c>
      <c r="G57" s="331"/>
      <c r="H57" s="332"/>
      <c r="I57" s="811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0"/>
      <c r="F58" s="549">
        <f t="shared" si="10"/>
        <v>0</v>
      </c>
      <c r="G58" s="331"/>
      <c r="H58" s="332"/>
      <c r="I58" s="811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0"/>
      <c r="F59" s="549">
        <f t="shared" si="10"/>
        <v>0</v>
      </c>
      <c r="G59" s="331"/>
      <c r="H59" s="332"/>
      <c r="I59" s="811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0"/>
      <c r="R59" s="549">
        <f t="shared" si="11"/>
        <v>0</v>
      </c>
      <c r="S59" s="331"/>
      <c r="T59" s="332"/>
      <c r="U59" s="811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0"/>
      <c r="F60" s="549">
        <f t="shared" si="10"/>
        <v>0</v>
      </c>
      <c r="G60" s="331"/>
      <c r="H60" s="332"/>
      <c r="I60" s="811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0"/>
      <c r="R60" s="549">
        <f t="shared" si="11"/>
        <v>0</v>
      </c>
      <c r="S60" s="331"/>
      <c r="T60" s="332"/>
      <c r="U60" s="811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0"/>
      <c r="F61" s="549">
        <f t="shared" si="10"/>
        <v>0</v>
      </c>
      <c r="G61" s="331"/>
      <c r="H61" s="332"/>
      <c r="I61" s="811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0"/>
      <c r="R61" s="549">
        <f t="shared" si="11"/>
        <v>0</v>
      </c>
      <c r="S61" s="331"/>
      <c r="T61" s="332"/>
      <c r="U61" s="811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0"/>
      <c r="F62" s="549">
        <f t="shared" si="10"/>
        <v>0</v>
      </c>
      <c r="G62" s="331"/>
      <c r="H62" s="332"/>
      <c r="I62" s="811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0"/>
      <c r="R62" s="549">
        <f t="shared" si="11"/>
        <v>0</v>
      </c>
      <c r="S62" s="331"/>
      <c r="T62" s="332"/>
      <c r="U62" s="811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0"/>
      <c r="F63" s="549">
        <f t="shared" si="10"/>
        <v>0</v>
      </c>
      <c r="G63" s="331"/>
      <c r="H63" s="332"/>
      <c r="I63" s="811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0"/>
      <c r="R63" s="549">
        <f t="shared" si="11"/>
        <v>0</v>
      </c>
      <c r="S63" s="331"/>
      <c r="T63" s="332"/>
      <c r="U63" s="811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0"/>
      <c r="F64" s="549">
        <f t="shared" si="10"/>
        <v>0</v>
      </c>
      <c r="G64" s="331"/>
      <c r="H64" s="332"/>
      <c r="I64" s="811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0"/>
      <c r="R64" s="549">
        <f t="shared" si="11"/>
        <v>0</v>
      </c>
      <c r="S64" s="331"/>
      <c r="T64" s="332"/>
      <c r="U64" s="811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0"/>
      <c r="F65" s="549">
        <f t="shared" si="10"/>
        <v>0</v>
      </c>
      <c r="G65" s="331"/>
      <c r="H65" s="332"/>
      <c r="I65" s="811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0"/>
      <c r="R65" s="549">
        <f t="shared" si="11"/>
        <v>0</v>
      </c>
      <c r="S65" s="331"/>
      <c r="T65" s="332"/>
      <c r="U65" s="811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0"/>
      <c r="F66" s="549">
        <f t="shared" si="10"/>
        <v>0</v>
      </c>
      <c r="G66" s="331"/>
      <c r="H66" s="332"/>
      <c r="I66" s="811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0"/>
      <c r="R66" s="549">
        <f t="shared" si="11"/>
        <v>0</v>
      </c>
      <c r="S66" s="331"/>
      <c r="T66" s="332"/>
      <c r="U66" s="811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0"/>
      <c r="F67" s="549">
        <f t="shared" si="10"/>
        <v>0</v>
      </c>
      <c r="G67" s="331"/>
      <c r="H67" s="332"/>
      <c r="I67" s="811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0"/>
      <c r="R67" s="549">
        <f t="shared" si="11"/>
        <v>0</v>
      </c>
      <c r="S67" s="331"/>
      <c r="T67" s="332"/>
      <c r="U67" s="811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0"/>
      <c r="F68" s="549">
        <f t="shared" si="10"/>
        <v>0</v>
      </c>
      <c r="G68" s="331"/>
      <c r="H68" s="332"/>
      <c r="I68" s="811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0"/>
      <c r="R68" s="549">
        <f t="shared" si="11"/>
        <v>0</v>
      </c>
      <c r="S68" s="331"/>
      <c r="T68" s="332"/>
      <c r="U68" s="811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0"/>
      <c r="F69" s="549">
        <f t="shared" si="10"/>
        <v>0</v>
      </c>
      <c r="G69" s="331"/>
      <c r="H69" s="332"/>
      <c r="I69" s="811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0"/>
      <c r="R69" s="549">
        <f t="shared" si="11"/>
        <v>0</v>
      </c>
      <c r="S69" s="331"/>
      <c r="T69" s="332"/>
      <c r="U69" s="811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43" t="s">
        <v>19</v>
      </c>
      <c r="D112" s="1144"/>
      <c r="E112" s="39">
        <f>E4+E5-F109+E6+E7</f>
        <v>0</v>
      </c>
      <c r="F112" s="6"/>
      <c r="G112" s="6"/>
      <c r="H112" s="17"/>
      <c r="I112" s="132"/>
      <c r="J112" s="73"/>
      <c r="O112" s="1143" t="s">
        <v>19</v>
      </c>
      <c r="P112" s="1144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92" t="s">
        <v>270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00" t="s">
        <v>52</v>
      </c>
      <c r="B5" s="1145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57">
        <f>F31</f>
        <v>4805.5</v>
      </c>
      <c r="H5" s="138">
        <f>E4+E5-G5+E6+E7</f>
        <v>243.18000000000029</v>
      </c>
    </row>
    <row r="6" spans="1:9" ht="15.75" thickBot="1" x14ac:dyDescent="0.3">
      <c r="A6" s="1100"/>
      <c r="B6" s="1145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4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7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2">
        <v>319.64</v>
      </c>
      <c r="E10" s="671">
        <v>44799</v>
      </c>
      <c r="F10" s="663">
        <f t="shared" ref="F10:F29" si="0">D10</f>
        <v>319.64</v>
      </c>
      <c r="G10" s="665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1">
        <v>324.83</v>
      </c>
      <c r="E11" s="732">
        <v>44802</v>
      </c>
      <c r="F11" s="728">
        <f t="shared" si="0"/>
        <v>324.83</v>
      </c>
      <c r="G11" s="730" t="s">
        <v>172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1">
        <v>1080.26</v>
      </c>
      <c r="E12" s="732">
        <v>44807</v>
      </c>
      <c r="F12" s="728">
        <f t="shared" si="0"/>
        <v>1080.26</v>
      </c>
      <c r="G12" s="758" t="s">
        <v>183</v>
      </c>
      <c r="H12" s="759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1">
        <v>423.84</v>
      </c>
      <c r="E13" s="732">
        <v>44823</v>
      </c>
      <c r="F13" s="728">
        <f t="shared" si="0"/>
        <v>423.84</v>
      </c>
      <c r="G13" s="730" t="s">
        <v>218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81">
        <f t="shared" si="1"/>
        <v>52</v>
      </c>
      <c r="C14" s="15">
        <v>7</v>
      </c>
      <c r="D14" s="731">
        <v>195.57</v>
      </c>
      <c r="E14" s="732">
        <v>44833</v>
      </c>
      <c r="F14" s="728">
        <f t="shared" si="0"/>
        <v>195.57</v>
      </c>
      <c r="G14" s="730" t="s">
        <v>250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2">
        <v>190.87</v>
      </c>
      <c r="E15" s="810">
        <v>44842</v>
      </c>
      <c r="F15" s="549">
        <f t="shared" si="0"/>
        <v>190.87</v>
      </c>
      <c r="G15" s="331" t="s">
        <v>451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2">
        <v>206.47</v>
      </c>
      <c r="E16" s="810">
        <v>44844</v>
      </c>
      <c r="F16" s="549">
        <f t="shared" si="0"/>
        <v>206.47</v>
      </c>
      <c r="G16" s="331" t="s">
        <v>461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2">
        <v>215.7</v>
      </c>
      <c r="E17" s="810">
        <v>44851</v>
      </c>
      <c r="F17" s="549">
        <f t="shared" si="0"/>
        <v>215.7</v>
      </c>
      <c r="G17" s="331" t="s">
        <v>507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2">
        <v>130.44999999999999</v>
      </c>
      <c r="E18" s="810">
        <v>44854</v>
      </c>
      <c r="F18" s="549">
        <f t="shared" si="0"/>
        <v>130.44999999999999</v>
      </c>
      <c r="G18" s="331" t="s">
        <v>528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2">
        <v>149.19999999999999</v>
      </c>
      <c r="E19" s="810">
        <v>44856</v>
      </c>
      <c r="F19" s="549">
        <f t="shared" si="0"/>
        <v>149.19999999999999</v>
      </c>
      <c r="G19" s="331" t="s">
        <v>542</v>
      </c>
      <c r="H19" s="332">
        <v>78</v>
      </c>
      <c r="I19" s="105">
        <f t="shared" si="2"/>
        <v>446.99000000000075</v>
      </c>
    </row>
    <row r="20" spans="2:9" x14ac:dyDescent="0.25">
      <c r="B20" s="982">
        <f t="shared" si="1"/>
        <v>10</v>
      </c>
      <c r="C20" s="15">
        <v>8</v>
      </c>
      <c r="D20" s="812">
        <v>203.81</v>
      </c>
      <c r="E20" s="810">
        <v>44862</v>
      </c>
      <c r="F20" s="549">
        <f t="shared" si="0"/>
        <v>203.81</v>
      </c>
      <c r="G20" s="331" t="s">
        <v>573</v>
      </c>
      <c r="H20" s="332">
        <v>78</v>
      </c>
      <c r="I20" s="983">
        <f t="shared" si="2"/>
        <v>243.18000000000075</v>
      </c>
    </row>
    <row r="21" spans="2:9" x14ac:dyDescent="0.25">
      <c r="B21" s="577">
        <f t="shared" si="1"/>
        <v>10</v>
      </c>
      <c r="C21" s="15"/>
      <c r="D21" s="812"/>
      <c r="E21" s="810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2"/>
      <c r="E22" s="810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2"/>
      <c r="E23" s="810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2"/>
      <c r="E24" s="810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2"/>
      <c r="E25" s="810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2"/>
      <c r="E26" s="810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2"/>
      <c r="E27" s="810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0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0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43" t="s">
        <v>19</v>
      </c>
      <c r="D34" s="114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2" t="s">
        <v>265</v>
      </c>
      <c r="B1" s="1092"/>
      <c r="C1" s="1092"/>
      <c r="D1" s="1092"/>
      <c r="E1" s="1092"/>
      <c r="F1" s="1092"/>
      <c r="G1" s="1092"/>
      <c r="H1" s="11">
        <v>1</v>
      </c>
      <c r="K1" s="1096" t="s">
        <v>260</v>
      </c>
      <c r="L1" s="1096"/>
      <c r="M1" s="1096"/>
      <c r="N1" s="1096"/>
      <c r="O1" s="1096"/>
      <c r="P1" s="1096"/>
      <c r="Q1" s="1096"/>
      <c r="R1" s="11">
        <v>2</v>
      </c>
      <c r="U1" s="1092" t="str">
        <f>A1</f>
        <v>INVENTARIO    DEL MES DE   SEPTIEMBRE    2022</v>
      </c>
      <c r="V1" s="1092"/>
      <c r="W1" s="1092"/>
      <c r="X1" s="1092"/>
      <c r="Y1" s="1092"/>
      <c r="Z1" s="1092"/>
      <c r="AA1" s="1092"/>
      <c r="AB1" s="11">
        <v>3</v>
      </c>
      <c r="AE1" s="1096" t="s">
        <v>260</v>
      </c>
      <c r="AF1" s="1096"/>
      <c r="AG1" s="1096"/>
      <c r="AH1" s="1096"/>
      <c r="AI1" s="1096"/>
      <c r="AJ1" s="1096"/>
      <c r="AK1" s="10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106" t="s">
        <v>65</v>
      </c>
      <c r="B5" s="1150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106" t="s">
        <v>65</v>
      </c>
      <c r="L5" s="1150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48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33" t="s">
        <v>275</v>
      </c>
      <c r="AF5" s="1148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106"/>
      <c r="B6" s="1150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106"/>
      <c r="L6" s="1150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49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33"/>
      <c r="AF6" s="1149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3">
        <v>85</v>
      </c>
      <c r="D7" s="814">
        <v>44809</v>
      </c>
      <c r="E7" s="815">
        <v>150</v>
      </c>
      <c r="F7" s="816">
        <v>15</v>
      </c>
      <c r="L7" s="19"/>
      <c r="M7" s="813"/>
      <c r="N7" s="814"/>
      <c r="O7" s="815"/>
      <c r="P7" s="816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252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527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798">
        <v>44837</v>
      </c>
      <c r="Z10" s="549">
        <f>X10</f>
        <v>10</v>
      </c>
      <c r="AA10" s="331" t="s">
        <v>412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578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798">
        <v>44837</v>
      </c>
      <c r="Z11" s="549">
        <f>X11</f>
        <v>10</v>
      </c>
      <c r="AA11" s="331" t="s">
        <v>415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587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798">
        <v>44840</v>
      </c>
      <c r="Z12" s="549">
        <f>X12</f>
        <v>10</v>
      </c>
      <c r="AA12" s="331" t="s">
        <v>430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798">
        <v>44842</v>
      </c>
      <c r="Z13" s="549">
        <f>X13</f>
        <v>20</v>
      </c>
      <c r="AA13" s="331" t="s">
        <v>451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798">
        <v>44846</v>
      </c>
      <c r="Z14" s="549">
        <f t="shared" ref="Z14:Z76" si="10">X14</f>
        <v>10</v>
      </c>
      <c r="AA14" s="331" t="s">
        <v>473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798">
        <v>44848</v>
      </c>
      <c r="Z15" s="549">
        <f t="shared" si="10"/>
        <v>10</v>
      </c>
      <c r="AA15" s="331" t="s">
        <v>494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3">
        <v>10</v>
      </c>
      <c r="E16" s="664">
        <v>44803</v>
      </c>
      <c r="F16" s="663">
        <f t="shared" si="1"/>
        <v>10</v>
      </c>
      <c r="G16" s="665" t="s">
        <v>173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798"/>
      <c r="Z16" s="965">
        <f t="shared" si="10"/>
        <v>0</v>
      </c>
      <c r="AA16" s="949"/>
      <c r="AB16" s="950"/>
      <c r="AC16" s="966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3">
        <v>10</v>
      </c>
      <c r="E17" s="664">
        <v>44806</v>
      </c>
      <c r="F17" s="663">
        <f t="shared" si="1"/>
        <v>10</v>
      </c>
      <c r="G17" s="665" t="s">
        <v>177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798"/>
      <c r="Z17" s="965">
        <f t="shared" si="10"/>
        <v>0</v>
      </c>
      <c r="AA17" s="949"/>
      <c r="AB17" s="950"/>
      <c r="AC17" s="966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3">
        <v>10</v>
      </c>
      <c r="E18" s="664">
        <v>44811</v>
      </c>
      <c r="F18" s="663">
        <f t="shared" si="1"/>
        <v>10</v>
      </c>
      <c r="G18" s="665" t="s">
        <v>186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798"/>
      <c r="Z18" s="965">
        <f t="shared" si="10"/>
        <v>0</v>
      </c>
      <c r="AA18" s="949"/>
      <c r="AB18" s="950"/>
      <c r="AC18" s="966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3">
        <v>10</v>
      </c>
      <c r="E19" s="664">
        <v>44814</v>
      </c>
      <c r="F19" s="663">
        <f t="shared" si="1"/>
        <v>10</v>
      </c>
      <c r="G19" s="665" t="s">
        <v>193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798"/>
      <c r="Z19" s="965">
        <f t="shared" si="10"/>
        <v>0</v>
      </c>
      <c r="AA19" s="949"/>
      <c r="AB19" s="950"/>
      <c r="AC19" s="966">
        <f t="shared" si="8"/>
        <v>0</v>
      </c>
      <c r="AE19" s="122"/>
      <c r="AF19" s="83">
        <f t="shared" si="5"/>
        <v>22</v>
      </c>
      <c r="AG19" s="15"/>
      <c r="AH19" s="549"/>
      <c r="AI19" s="798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3">
        <v>10</v>
      </c>
      <c r="E20" s="664">
        <v>44823</v>
      </c>
      <c r="F20" s="663">
        <f t="shared" si="1"/>
        <v>10</v>
      </c>
      <c r="G20" s="665" t="s">
        <v>218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798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798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3">
        <v>10</v>
      </c>
      <c r="E21" s="664">
        <v>44824</v>
      </c>
      <c r="F21" s="663">
        <f t="shared" si="1"/>
        <v>10</v>
      </c>
      <c r="G21" s="665" t="s">
        <v>230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798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798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3">
        <v>10</v>
      </c>
      <c r="E22" s="664">
        <v>44825</v>
      </c>
      <c r="F22" s="663">
        <f t="shared" si="1"/>
        <v>10</v>
      </c>
      <c r="G22" s="665" t="s">
        <v>231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798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798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3">
        <v>10</v>
      </c>
      <c r="E23" s="664">
        <v>44828</v>
      </c>
      <c r="F23" s="663">
        <f t="shared" si="1"/>
        <v>10</v>
      </c>
      <c r="G23" s="665" t="s">
        <v>238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798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798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798">
        <v>44837</v>
      </c>
      <c r="F24" s="549">
        <f t="shared" si="1"/>
        <v>10</v>
      </c>
      <c r="G24" s="331" t="s">
        <v>412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798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798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798">
        <v>44837</v>
      </c>
      <c r="F25" s="549">
        <f t="shared" si="1"/>
        <v>10</v>
      </c>
      <c r="G25" s="331" t="s">
        <v>415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798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798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798">
        <v>44840</v>
      </c>
      <c r="F26" s="549">
        <f t="shared" si="1"/>
        <v>50</v>
      </c>
      <c r="G26" s="331" t="s">
        <v>424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798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798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798">
        <v>44840</v>
      </c>
      <c r="F27" s="549">
        <f t="shared" si="1"/>
        <v>10</v>
      </c>
      <c r="G27" s="331" t="s">
        <v>430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798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798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798">
        <v>44842</v>
      </c>
      <c r="F28" s="549">
        <f t="shared" si="1"/>
        <v>20</v>
      </c>
      <c r="G28" s="331" t="s">
        <v>451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798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798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798">
        <v>44848</v>
      </c>
      <c r="F29" s="549">
        <f t="shared" si="1"/>
        <v>10</v>
      </c>
      <c r="G29" s="331" t="s">
        <v>493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798">
        <v>44848</v>
      </c>
      <c r="F30" s="549">
        <f t="shared" si="1"/>
        <v>10</v>
      </c>
      <c r="G30" s="331" t="s">
        <v>494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798">
        <v>44851</v>
      </c>
      <c r="F31" s="549">
        <f t="shared" si="1"/>
        <v>10</v>
      </c>
      <c r="G31" s="331" t="s">
        <v>507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798">
        <v>44854</v>
      </c>
      <c r="F32" s="549">
        <f t="shared" si="1"/>
        <v>10</v>
      </c>
      <c r="G32" s="331" t="s">
        <v>527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798">
        <v>44863</v>
      </c>
      <c r="F33" s="549">
        <f t="shared" si="1"/>
        <v>10</v>
      </c>
      <c r="G33" s="331" t="s">
        <v>587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798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798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798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798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798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798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798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798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798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798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94" t="s">
        <v>11</v>
      </c>
      <c r="D83" s="1095"/>
      <c r="E83" s="57">
        <f>E5+E6-F78+E7</f>
        <v>20</v>
      </c>
      <c r="F83" s="73"/>
      <c r="M83" s="1094" t="s">
        <v>11</v>
      </c>
      <c r="N83" s="1095"/>
      <c r="O83" s="57">
        <f>O5+O6-P78+O7</f>
        <v>150</v>
      </c>
      <c r="P83" s="73"/>
      <c r="W83" s="1094" t="s">
        <v>11</v>
      </c>
      <c r="X83" s="1095"/>
      <c r="Y83" s="57">
        <f>Y5+Y6-Z78+Y7</f>
        <v>-20</v>
      </c>
      <c r="Z83" s="73"/>
      <c r="AG83" s="1094" t="s">
        <v>11</v>
      </c>
      <c r="AH83" s="1095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92" t="s">
        <v>271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100" t="s">
        <v>159</v>
      </c>
      <c r="B5" s="1107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100"/>
      <c r="B6" s="1107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0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221</v>
      </c>
      <c r="H9" s="71">
        <v>50</v>
      </c>
      <c r="I9" s="601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224</v>
      </c>
      <c r="H10" s="71">
        <v>50</v>
      </c>
      <c r="I10" s="602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54">
        <v>327</v>
      </c>
      <c r="D11" s="955">
        <v>9207.75</v>
      </c>
      <c r="E11" s="956">
        <v>44823</v>
      </c>
      <c r="F11" s="957">
        <f t="shared" si="0"/>
        <v>9207.75</v>
      </c>
      <c r="G11" s="70" t="s">
        <v>226</v>
      </c>
      <c r="H11" s="71">
        <v>47</v>
      </c>
      <c r="I11" s="602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232</v>
      </c>
      <c r="H12" s="71">
        <v>50</v>
      </c>
      <c r="I12" s="602">
        <f t="shared" si="1"/>
        <v>43920</v>
      </c>
      <c r="J12" s="105">
        <f t="shared" si="3"/>
        <v>7618.6</v>
      </c>
    </row>
    <row r="13" spans="1:10" x14ac:dyDescent="0.25">
      <c r="B13" s="98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248</v>
      </c>
      <c r="H13" s="71">
        <v>50</v>
      </c>
      <c r="I13" s="602">
        <f t="shared" si="1"/>
        <v>33415</v>
      </c>
      <c r="J13" s="983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2">
        <v>848.5</v>
      </c>
      <c r="E14" s="810">
        <v>44838</v>
      </c>
      <c r="F14" s="549">
        <f t="shared" si="0"/>
        <v>848.5</v>
      </c>
      <c r="G14" s="331" t="s">
        <v>417</v>
      </c>
      <c r="H14" s="332">
        <v>50</v>
      </c>
      <c r="I14" s="602">
        <f t="shared" si="1"/>
        <v>42425</v>
      </c>
      <c r="J14" s="105">
        <f t="shared" si="3"/>
        <v>6099.8</v>
      </c>
    </row>
    <row r="15" spans="1:10" x14ac:dyDescent="0.25">
      <c r="A15" s="750"/>
      <c r="B15" s="577">
        <f t="shared" si="2"/>
        <v>186</v>
      </c>
      <c r="C15" s="15">
        <v>30</v>
      </c>
      <c r="D15" s="812">
        <v>826.2</v>
      </c>
      <c r="E15" s="810">
        <v>44842</v>
      </c>
      <c r="F15" s="549">
        <f t="shared" si="0"/>
        <v>826.2</v>
      </c>
      <c r="G15" s="331" t="s">
        <v>457</v>
      </c>
      <c r="H15" s="332">
        <v>50</v>
      </c>
      <c r="I15" s="602">
        <f t="shared" si="1"/>
        <v>41310</v>
      </c>
      <c r="J15" s="105">
        <f t="shared" si="3"/>
        <v>5273.6</v>
      </c>
    </row>
    <row r="16" spans="1:10" ht="15.75" x14ac:dyDescent="0.25">
      <c r="A16" s="751" t="s">
        <v>160</v>
      </c>
      <c r="B16" s="577">
        <f t="shared" si="2"/>
        <v>156</v>
      </c>
      <c r="C16" s="15">
        <v>30</v>
      </c>
      <c r="D16" s="812">
        <v>844.4</v>
      </c>
      <c r="E16" s="810">
        <v>44849</v>
      </c>
      <c r="F16" s="549">
        <f t="shared" si="0"/>
        <v>844.4</v>
      </c>
      <c r="G16" s="331" t="s">
        <v>500</v>
      </c>
      <c r="H16" s="332">
        <v>50</v>
      </c>
      <c r="I16" s="602">
        <f t="shared" si="1"/>
        <v>42220</v>
      </c>
      <c r="J16" s="105">
        <f t="shared" si="3"/>
        <v>4429.2000000000007</v>
      </c>
    </row>
    <row r="17" spans="1:10" ht="15.75" x14ac:dyDescent="0.25">
      <c r="A17" s="751" t="s">
        <v>161</v>
      </c>
      <c r="B17" s="577">
        <f t="shared" si="2"/>
        <v>136</v>
      </c>
      <c r="C17" s="15">
        <v>20</v>
      </c>
      <c r="D17" s="812">
        <v>562.1</v>
      </c>
      <c r="E17" s="810">
        <v>44855</v>
      </c>
      <c r="F17" s="549">
        <f t="shared" si="0"/>
        <v>562.1</v>
      </c>
      <c r="G17" s="331" t="s">
        <v>536</v>
      </c>
      <c r="H17" s="332">
        <v>50</v>
      </c>
      <c r="I17" s="602">
        <f t="shared" si="1"/>
        <v>28105</v>
      </c>
      <c r="J17" s="105">
        <f t="shared" si="3"/>
        <v>3867.1000000000008</v>
      </c>
    </row>
    <row r="18" spans="1:10" ht="15.75" x14ac:dyDescent="0.25">
      <c r="A18" s="751" t="s">
        <v>162</v>
      </c>
      <c r="B18" s="577">
        <f t="shared" si="2"/>
        <v>121</v>
      </c>
      <c r="C18" s="15">
        <v>15</v>
      </c>
      <c r="D18" s="812">
        <v>426.5</v>
      </c>
      <c r="E18" s="810">
        <v>44859</v>
      </c>
      <c r="F18" s="549">
        <f t="shared" si="0"/>
        <v>426.5</v>
      </c>
      <c r="G18" s="331" t="s">
        <v>551</v>
      </c>
      <c r="H18" s="332">
        <v>50</v>
      </c>
      <c r="I18" s="602">
        <f t="shared" si="1"/>
        <v>21325</v>
      </c>
      <c r="J18" s="105">
        <f t="shared" si="3"/>
        <v>3440.6000000000008</v>
      </c>
    </row>
    <row r="19" spans="1:10" x14ac:dyDescent="0.25">
      <c r="A19" s="750"/>
      <c r="B19" s="577">
        <f t="shared" si="2"/>
        <v>106</v>
      </c>
      <c r="C19" s="15">
        <v>15</v>
      </c>
      <c r="D19" s="812">
        <v>440.2</v>
      </c>
      <c r="E19" s="810">
        <v>44861</v>
      </c>
      <c r="F19" s="549">
        <f t="shared" si="0"/>
        <v>440.2</v>
      </c>
      <c r="G19" s="331" t="s">
        <v>570</v>
      </c>
      <c r="H19" s="332">
        <v>50</v>
      </c>
      <c r="I19" s="602">
        <f t="shared" si="1"/>
        <v>22010</v>
      </c>
      <c r="J19" s="105">
        <f t="shared" si="3"/>
        <v>3000.400000000001</v>
      </c>
    </row>
    <row r="20" spans="1:10" x14ac:dyDescent="0.25">
      <c r="A20" s="750"/>
      <c r="B20" s="577">
        <f t="shared" si="2"/>
        <v>82</v>
      </c>
      <c r="C20" s="15">
        <v>24</v>
      </c>
      <c r="D20" s="812">
        <v>660.7</v>
      </c>
      <c r="E20" s="810">
        <v>44862</v>
      </c>
      <c r="F20" s="549">
        <f t="shared" si="0"/>
        <v>660.7</v>
      </c>
      <c r="G20" s="331" t="s">
        <v>573</v>
      </c>
      <c r="H20" s="332">
        <v>50</v>
      </c>
      <c r="I20" s="602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2">
        <v>289.7</v>
      </c>
      <c r="E21" s="810">
        <v>44863</v>
      </c>
      <c r="F21" s="549">
        <f t="shared" si="0"/>
        <v>289.7</v>
      </c>
      <c r="G21" s="331" t="s">
        <v>588</v>
      </c>
      <c r="H21" s="332">
        <v>50</v>
      </c>
      <c r="I21" s="602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2"/>
      <c r="E22" s="810"/>
      <c r="F22" s="549">
        <f t="shared" si="0"/>
        <v>0</v>
      </c>
      <c r="G22" s="331"/>
      <c r="H22" s="332"/>
      <c r="I22" s="602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2"/>
      <c r="E23" s="810"/>
      <c r="F23" s="549">
        <f t="shared" si="0"/>
        <v>0</v>
      </c>
      <c r="G23" s="331"/>
      <c r="H23" s="332"/>
      <c r="I23" s="602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2"/>
      <c r="E24" s="810"/>
      <c r="F24" s="549">
        <f t="shared" si="0"/>
        <v>0</v>
      </c>
      <c r="G24" s="331"/>
      <c r="H24" s="332"/>
      <c r="I24" s="602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2"/>
      <c r="E25" s="810"/>
      <c r="F25" s="549">
        <f t="shared" si="0"/>
        <v>0</v>
      </c>
      <c r="G25" s="331"/>
      <c r="H25" s="332"/>
      <c r="I25" s="602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2"/>
      <c r="E26" s="810"/>
      <c r="F26" s="549">
        <f t="shared" si="0"/>
        <v>0</v>
      </c>
      <c r="G26" s="331"/>
      <c r="H26" s="332"/>
      <c r="I26" s="602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2"/>
      <c r="E27" s="810"/>
      <c r="F27" s="549">
        <f t="shared" si="0"/>
        <v>0</v>
      </c>
      <c r="G27" s="331"/>
      <c r="H27" s="332"/>
      <c r="I27" s="602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0"/>
      <c r="F28" s="549">
        <f t="shared" si="0"/>
        <v>0</v>
      </c>
      <c r="G28" s="331"/>
      <c r="H28" s="332"/>
      <c r="I28" s="602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0"/>
      <c r="F29" s="549">
        <f t="shared" si="0"/>
        <v>0</v>
      </c>
      <c r="G29" s="331"/>
      <c r="H29" s="332"/>
      <c r="I29" s="603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4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2">
        <f>F4+F5+F6+F7-C31</f>
        <v>72</v>
      </c>
      <c r="E33" s="40"/>
      <c r="F33" s="6"/>
      <c r="G33" s="31"/>
      <c r="H33" s="17"/>
    </row>
    <row r="34" spans="3:8" x14ac:dyDescent="0.25">
      <c r="C34" s="1143" t="s">
        <v>19</v>
      </c>
      <c r="D34" s="1144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3" t="s">
        <v>272</v>
      </c>
      <c r="B1" s="1153"/>
      <c r="C1" s="1153"/>
      <c r="D1" s="1153"/>
      <c r="E1" s="1153"/>
      <c r="F1" s="1153"/>
      <c r="G1" s="1153"/>
      <c r="H1" s="1153"/>
      <c r="I1" s="1153"/>
      <c r="J1" s="99">
        <v>1</v>
      </c>
      <c r="L1" s="1153" t="str">
        <f>A1</f>
        <v>INVENTARIO      DEL MES DE   SEPTIEMBRE       2022</v>
      </c>
      <c r="M1" s="1153"/>
      <c r="N1" s="1153"/>
      <c r="O1" s="1153"/>
      <c r="P1" s="1153"/>
      <c r="Q1" s="1153"/>
      <c r="R1" s="1153"/>
      <c r="S1" s="1153"/>
      <c r="T1" s="115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2"/>
      <c r="E4" s="623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54" t="s">
        <v>52</v>
      </c>
      <c r="B5" s="1155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54" t="s">
        <v>52</v>
      </c>
      <c r="M5" s="1155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54"/>
      <c r="B6" s="1107"/>
      <c r="C6" s="237">
        <v>85</v>
      </c>
      <c r="D6" s="337">
        <v>44764</v>
      </c>
      <c r="E6" s="256">
        <v>4005.63</v>
      </c>
      <c r="F6" s="242">
        <v>160</v>
      </c>
      <c r="G6" s="73"/>
      <c r="L6" s="1154"/>
      <c r="M6" s="1107"/>
      <c r="N6" s="237"/>
      <c r="O6" s="337"/>
      <c r="P6" s="256"/>
      <c r="Q6" s="242"/>
      <c r="R6" s="73"/>
    </row>
    <row r="7" spans="1:21" ht="15.75" customHeight="1" thickBot="1" x14ac:dyDescent="0.35">
      <c r="A7" s="1154"/>
      <c r="B7" s="1107"/>
      <c r="C7" s="237"/>
      <c r="D7" s="337"/>
      <c r="E7" s="256"/>
      <c r="F7" s="242"/>
      <c r="G7" s="73"/>
      <c r="I7" s="378"/>
      <c r="J7" s="378"/>
      <c r="L7" s="1154"/>
      <c r="M7" s="1107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46" t="s">
        <v>47</v>
      </c>
      <c r="J8" s="1151" t="s">
        <v>4</v>
      </c>
      <c r="M8" s="421"/>
      <c r="N8" s="237"/>
      <c r="O8" s="337"/>
      <c r="P8" s="240"/>
      <c r="Q8" s="241"/>
      <c r="R8" s="73"/>
      <c r="T8" s="1146" t="s">
        <v>47</v>
      </c>
      <c r="U8" s="115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7"/>
      <c r="J9" s="11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47"/>
      <c r="U9" s="1152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3">
        <v>110.66</v>
      </c>
      <c r="E24" s="670">
        <v>44776</v>
      </c>
      <c r="F24" s="663">
        <f t="shared" si="4"/>
        <v>110.66</v>
      </c>
      <c r="G24" s="665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3">
        <v>56.86</v>
      </c>
      <c r="E25" s="670">
        <v>44778</v>
      </c>
      <c r="F25" s="663">
        <f t="shared" si="4"/>
        <v>56.86</v>
      </c>
      <c r="G25" s="665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3">
        <v>104.61</v>
      </c>
      <c r="E26" s="670">
        <v>44781</v>
      </c>
      <c r="F26" s="663">
        <f t="shared" si="4"/>
        <v>104.61</v>
      </c>
      <c r="G26" s="665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3">
        <v>56.75</v>
      </c>
      <c r="E27" s="670">
        <v>44783</v>
      </c>
      <c r="F27" s="663">
        <f t="shared" si="4"/>
        <v>56.75</v>
      </c>
      <c r="G27" s="665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3">
        <v>101.28</v>
      </c>
      <c r="E28" s="670">
        <v>44784</v>
      </c>
      <c r="F28" s="663">
        <f t="shared" si="4"/>
        <v>101.28</v>
      </c>
      <c r="G28" s="665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3">
        <v>25.62</v>
      </c>
      <c r="E29" s="670">
        <v>44785</v>
      </c>
      <c r="F29" s="663">
        <f t="shared" si="4"/>
        <v>25.62</v>
      </c>
      <c r="G29" s="665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3">
        <v>53.43</v>
      </c>
      <c r="E30" s="670">
        <v>44785</v>
      </c>
      <c r="F30" s="663">
        <f t="shared" si="4"/>
        <v>53.43</v>
      </c>
      <c r="G30" s="665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3">
        <v>56.1</v>
      </c>
      <c r="E31" s="670">
        <v>44786</v>
      </c>
      <c r="F31" s="663">
        <f t="shared" si="4"/>
        <v>56.1</v>
      </c>
      <c r="G31" s="665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3">
        <v>56.8</v>
      </c>
      <c r="E32" s="670">
        <v>44788</v>
      </c>
      <c r="F32" s="663">
        <f t="shared" si="4"/>
        <v>56.8</v>
      </c>
      <c r="G32" s="665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3">
        <v>105.74</v>
      </c>
      <c r="E33" s="670">
        <v>44788</v>
      </c>
      <c r="F33" s="663">
        <f t="shared" si="4"/>
        <v>105.74</v>
      </c>
      <c r="G33" s="665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3">
        <f>27.67+21.86</f>
        <v>49.53</v>
      </c>
      <c r="E34" s="670">
        <v>44790</v>
      </c>
      <c r="F34" s="663">
        <f t="shared" si="4"/>
        <v>49.53</v>
      </c>
      <c r="G34" s="665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3">
        <v>107.94</v>
      </c>
      <c r="E35" s="670">
        <v>44792</v>
      </c>
      <c r="F35" s="663">
        <f t="shared" si="4"/>
        <v>107.94</v>
      </c>
      <c r="G35" s="665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3">
        <v>102.16</v>
      </c>
      <c r="E36" s="670">
        <v>44792</v>
      </c>
      <c r="F36" s="663">
        <f t="shared" si="4"/>
        <v>102.16</v>
      </c>
      <c r="G36" s="665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3">
        <v>104.16</v>
      </c>
      <c r="E37" s="670">
        <v>44793</v>
      </c>
      <c r="F37" s="663">
        <f t="shared" si="4"/>
        <v>104.16</v>
      </c>
      <c r="G37" s="665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3">
        <v>50.52</v>
      </c>
      <c r="E38" s="670">
        <v>44795</v>
      </c>
      <c r="F38" s="663">
        <f t="shared" si="4"/>
        <v>50.52</v>
      </c>
      <c r="G38" s="665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3">
        <v>49.23</v>
      </c>
      <c r="E39" s="670">
        <v>44798</v>
      </c>
      <c r="F39" s="663">
        <f t="shared" si="4"/>
        <v>49.23</v>
      </c>
      <c r="G39" s="665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3">
        <v>157.43</v>
      </c>
      <c r="E40" s="670">
        <v>44798</v>
      </c>
      <c r="F40" s="663">
        <f t="shared" si="4"/>
        <v>157.43</v>
      </c>
      <c r="G40" s="665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3">
        <v>49.65</v>
      </c>
      <c r="E41" s="729">
        <v>44802</v>
      </c>
      <c r="F41" s="728">
        <f t="shared" si="4"/>
        <v>49.65</v>
      </c>
      <c r="G41" s="730" t="s">
        <v>170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3">
        <v>55.2</v>
      </c>
      <c r="E42" s="729">
        <v>44803</v>
      </c>
      <c r="F42" s="728">
        <f t="shared" si="4"/>
        <v>55.2</v>
      </c>
      <c r="G42" s="730" t="s">
        <v>171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3">
        <v>80.010000000000005</v>
      </c>
      <c r="E43" s="729">
        <v>44805</v>
      </c>
      <c r="F43" s="728">
        <f t="shared" si="4"/>
        <v>80.010000000000005</v>
      </c>
      <c r="G43" s="730" t="s">
        <v>174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3">
        <v>49.1</v>
      </c>
      <c r="E44" s="729">
        <v>44806</v>
      </c>
      <c r="F44" s="728">
        <f t="shared" si="4"/>
        <v>49.1</v>
      </c>
      <c r="G44" s="730" t="s">
        <v>175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3">
        <v>48.15</v>
      </c>
      <c r="E45" s="729">
        <v>44810</v>
      </c>
      <c r="F45" s="728">
        <f t="shared" si="4"/>
        <v>48.15</v>
      </c>
      <c r="G45" s="730" t="s">
        <v>184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3">
        <v>46.83</v>
      </c>
      <c r="E46" s="729">
        <v>44810</v>
      </c>
      <c r="F46" s="728">
        <f t="shared" si="4"/>
        <v>46.83</v>
      </c>
      <c r="G46" s="730" t="s">
        <v>189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3">
        <v>48.3</v>
      </c>
      <c r="E47" s="729">
        <v>44810</v>
      </c>
      <c r="F47" s="728">
        <f t="shared" si="4"/>
        <v>48.3</v>
      </c>
      <c r="G47" s="730" t="s">
        <v>190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3">
        <v>111.02</v>
      </c>
      <c r="E48" s="729">
        <v>44810</v>
      </c>
      <c r="F48" s="728">
        <f t="shared" si="4"/>
        <v>111.02</v>
      </c>
      <c r="G48" s="730" t="s">
        <v>191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3">
        <v>53.14</v>
      </c>
      <c r="E49" s="729">
        <v>44813</v>
      </c>
      <c r="F49" s="728">
        <f t="shared" si="4"/>
        <v>53.14</v>
      </c>
      <c r="G49" s="730" t="s">
        <v>188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3">
        <v>51.27</v>
      </c>
      <c r="E50" s="729">
        <v>44817</v>
      </c>
      <c r="F50" s="728">
        <f t="shared" si="4"/>
        <v>51.27</v>
      </c>
      <c r="G50" s="730" t="s">
        <v>200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3">
        <v>43.22</v>
      </c>
      <c r="E51" s="729">
        <v>44819</v>
      </c>
      <c r="F51" s="728">
        <f t="shared" si="4"/>
        <v>43.22</v>
      </c>
      <c r="G51" s="730" t="s">
        <v>208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3">
        <v>60.07</v>
      </c>
      <c r="E52" s="729">
        <v>44819</v>
      </c>
      <c r="F52" s="728">
        <f t="shared" si="4"/>
        <v>60.07</v>
      </c>
      <c r="G52" s="730" t="s">
        <v>212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3">
        <v>26.45</v>
      </c>
      <c r="E53" s="729">
        <v>44819</v>
      </c>
      <c r="F53" s="728">
        <f t="shared" si="4"/>
        <v>26.45</v>
      </c>
      <c r="G53" s="730" t="s">
        <v>213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3">
        <v>119.46</v>
      </c>
      <c r="E54" s="729">
        <v>44823</v>
      </c>
      <c r="F54" s="728">
        <f t="shared" si="4"/>
        <v>119.46</v>
      </c>
      <c r="G54" s="730" t="s">
        <v>224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3">
        <v>103.05</v>
      </c>
      <c r="E55" s="729">
        <v>44824</v>
      </c>
      <c r="F55" s="728">
        <f t="shared" si="4"/>
        <v>103.05</v>
      </c>
      <c r="G55" s="730" t="s">
        <v>227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3">
        <v>31.03</v>
      </c>
      <c r="E56" s="729">
        <v>44824</v>
      </c>
      <c r="F56" s="728">
        <f t="shared" si="4"/>
        <v>31.03</v>
      </c>
      <c r="G56" s="730" t="s">
        <v>228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3">
        <v>49.28</v>
      </c>
      <c r="E57" s="729">
        <v>44825</v>
      </c>
      <c r="F57" s="728">
        <f t="shared" si="4"/>
        <v>49.28</v>
      </c>
      <c r="G57" s="730" t="s">
        <v>229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3">
        <v>108.75</v>
      </c>
      <c r="E58" s="729">
        <v>44825</v>
      </c>
      <c r="F58" s="728">
        <f t="shared" si="4"/>
        <v>108.75</v>
      </c>
      <c r="G58" s="730" t="s">
        <v>232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3">
        <v>99.85</v>
      </c>
      <c r="E59" s="729">
        <v>44825</v>
      </c>
      <c r="F59" s="728">
        <f t="shared" si="4"/>
        <v>99.85</v>
      </c>
      <c r="G59" s="730" t="s">
        <v>233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3">
        <v>81.430000000000007</v>
      </c>
      <c r="E60" s="729">
        <v>44826</v>
      </c>
      <c r="F60" s="728">
        <f t="shared" si="4"/>
        <v>81.430000000000007</v>
      </c>
      <c r="G60" s="730" t="s">
        <v>234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3">
        <v>118.27</v>
      </c>
      <c r="E61" s="729">
        <v>44831</v>
      </c>
      <c r="F61" s="728">
        <f t="shared" si="4"/>
        <v>118.27</v>
      </c>
      <c r="G61" s="730" t="s">
        <v>246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3">
        <v>53.64</v>
      </c>
      <c r="E62" s="729">
        <v>44835</v>
      </c>
      <c r="F62" s="728">
        <f t="shared" si="4"/>
        <v>53.64</v>
      </c>
      <c r="G62" s="730" t="s">
        <v>255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17">
        <v>50.31</v>
      </c>
      <c r="E63" s="590">
        <v>44838</v>
      </c>
      <c r="F63" s="549">
        <f t="shared" si="4"/>
        <v>50.31</v>
      </c>
      <c r="G63" s="331" t="s">
        <v>421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17">
        <v>58.25</v>
      </c>
      <c r="E64" s="590">
        <v>44840</v>
      </c>
      <c r="F64" s="549">
        <f t="shared" si="4"/>
        <v>58.25</v>
      </c>
      <c r="G64" s="331" t="s">
        <v>424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17">
        <v>220.52</v>
      </c>
      <c r="E65" s="590">
        <v>44840</v>
      </c>
      <c r="F65" s="549">
        <f t="shared" si="4"/>
        <v>220.52</v>
      </c>
      <c r="G65" s="331" t="s">
        <v>430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17">
        <v>23.95</v>
      </c>
      <c r="E66" s="590">
        <v>44841</v>
      </c>
      <c r="F66" s="549">
        <f t="shared" si="4"/>
        <v>23.95</v>
      </c>
      <c r="G66" s="331" t="s">
        <v>443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17">
        <v>149.43</v>
      </c>
      <c r="E67" s="590">
        <v>44842</v>
      </c>
      <c r="F67" s="549">
        <f t="shared" si="4"/>
        <v>149.43</v>
      </c>
      <c r="G67" s="331" t="s">
        <v>444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17">
        <v>113.59</v>
      </c>
      <c r="E68" s="590">
        <v>44845</v>
      </c>
      <c r="F68" s="549">
        <f t="shared" si="4"/>
        <v>113.59</v>
      </c>
      <c r="G68" s="331" t="s">
        <v>467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17">
        <v>111.26</v>
      </c>
      <c r="E69" s="590">
        <v>44853</v>
      </c>
      <c r="F69" s="549">
        <f t="shared" si="4"/>
        <v>111.26</v>
      </c>
      <c r="G69" s="331" t="s">
        <v>516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17">
        <v>123.65</v>
      </c>
      <c r="E70" s="590">
        <v>44853</v>
      </c>
      <c r="F70" s="549">
        <f t="shared" si="4"/>
        <v>123.65</v>
      </c>
      <c r="G70" s="331" t="s">
        <v>517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17">
        <v>102.95</v>
      </c>
      <c r="E71" s="590">
        <v>44854</v>
      </c>
      <c r="F71" s="549">
        <f t="shared" si="4"/>
        <v>102.95</v>
      </c>
      <c r="G71" s="331" t="s">
        <v>528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17">
        <v>105.15</v>
      </c>
      <c r="E72" s="590">
        <v>44855</v>
      </c>
      <c r="F72" s="549">
        <f t="shared" si="4"/>
        <v>105.15</v>
      </c>
      <c r="G72" s="331" t="s">
        <v>536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17">
        <v>56.1</v>
      </c>
      <c r="E73" s="590">
        <v>44856</v>
      </c>
      <c r="F73" s="549">
        <f t="shared" si="4"/>
        <v>56.1</v>
      </c>
      <c r="G73" s="331" t="s">
        <v>540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17">
        <v>114.44</v>
      </c>
      <c r="E74" s="590">
        <v>44860</v>
      </c>
      <c r="F74" s="549">
        <f t="shared" si="4"/>
        <v>114.44</v>
      </c>
      <c r="G74" s="331" t="s">
        <v>558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17">
        <v>114.31</v>
      </c>
      <c r="E75" s="590">
        <v>44862</v>
      </c>
      <c r="F75" s="549">
        <f t="shared" si="4"/>
        <v>114.31</v>
      </c>
      <c r="G75" s="331" t="s">
        <v>573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17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17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17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17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17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17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17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17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17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17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17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17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17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17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17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17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1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37" t="s">
        <v>11</v>
      </c>
      <c r="D96" s="1138"/>
      <c r="E96" s="145">
        <f>E5+E4+E6+-F93+E7</f>
        <v>1818.0300000000007</v>
      </c>
      <c r="F96" s="5"/>
      <c r="L96" s="47"/>
      <c r="N96" s="1137" t="s">
        <v>11</v>
      </c>
      <c r="O96" s="1138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6"/>
      <c r="B1" s="1096"/>
      <c r="C1" s="1096"/>
      <c r="D1" s="1096"/>
      <c r="E1" s="1096"/>
      <c r="F1" s="1096"/>
      <c r="G1" s="10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58"/>
      <c r="B5" s="1160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59"/>
      <c r="B6" s="1161"/>
      <c r="C6" s="226"/>
      <c r="D6" s="118"/>
      <c r="E6" s="503"/>
      <c r="F6" s="241"/>
      <c r="I6" s="1162" t="s">
        <v>3</v>
      </c>
      <c r="J6" s="11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3"/>
      <c r="J7" s="1157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7" t="s">
        <v>11</v>
      </c>
      <c r="D100" s="113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6"/>
      <c r="B1" s="1096"/>
      <c r="C1" s="1096"/>
      <c r="D1" s="1096"/>
      <c r="E1" s="1096"/>
      <c r="F1" s="1096"/>
      <c r="G1" s="10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33"/>
      <c r="B5" s="1164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34"/>
      <c r="B6" s="1165"/>
      <c r="C6" s="226"/>
      <c r="D6" s="118"/>
      <c r="E6" s="144"/>
      <c r="F6" s="242"/>
      <c r="I6" s="1162" t="s">
        <v>3</v>
      </c>
      <c r="J6" s="11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3"/>
      <c r="J7" s="1157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7" t="s">
        <v>11</v>
      </c>
      <c r="D33" s="113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53" t="s">
        <v>271</v>
      </c>
      <c r="B1" s="1153"/>
      <c r="C1" s="1153"/>
      <c r="D1" s="1153"/>
      <c r="E1" s="1153"/>
      <c r="F1" s="1153"/>
      <c r="G1" s="1153"/>
      <c r="H1" s="1153"/>
      <c r="I1" s="1153"/>
      <c r="J1" s="99">
        <v>1</v>
      </c>
      <c r="L1" s="1168" t="s">
        <v>260</v>
      </c>
      <c r="M1" s="1168"/>
      <c r="N1" s="1168"/>
      <c r="O1" s="1168"/>
      <c r="P1" s="1168"/>
      <c r="Q1" s="1168"/>
      <c r="R1" s="1168"/>
      <c r="S1" s="1168"/>
      <c r="T1" s="1168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66" t="s">
        <v>166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66" t="s">
        <v>166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165</v>
      </c>
      <c r="B6" s="1167"/>
      <c r="C6" s="237"/>
      <c r="D6" s="337"/>
      <c r="E6" s="256"/>
      <c r="F6" s="242"/>
      <c r="G6" s="73"/>
      <c r="L6" s="600" t="s">
        <v>287</v>
      </c>
      <c r="M6" s="1167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67"/>
      <c r="C7" s="237"/>
      <c r="D7" s="337"/>
      <c r="E7" s="256"/>
      <c r="F7" s="242"/>
      <c r="G7" s="73"/>
      <c r="I7" s="378"/>
      <c r="J7" s="378"/>
      <c r="L7" s="600"/>
      <c r="M7" s="1167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46" t="s">
        <v>47</v>
      </c>
      <c r="J8" s="1151" t="s">
        <v>4</v>
      </c>
      <c r="M8" s="421"/>
      <c r="N8" s="237"/>
      <c r="O8" s="118"/>
      <c r="P8" s="335"/>
      <c r="Q8" s="336"/>
      <c r="R8" s="73"/>
      <c r="T8" s="1146" t="s">
        <v>47</v>
      </c>
      <c r="U8" s="115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7"/>
      <c r="J9" s="11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47"/>
      <c r="U9" s="1152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242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243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258</v>
      </c>
      <c r="H12" s="71">
        <v>93</v>
      </c>
      <c r="I12" s="1001">
        <f t="shared" ref="I12:I37" si="3">I11-F12</f>
        <v>825</v>
      </c>
      <c r="J12" s="1002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17">
        <f t="shared" si="2"/>
        <v>30</v>
      </c>
      <c r="E13" s="818">
        <v>44837</v>
      </c>
      <c r="F13" s="549">
        <f t="shared" si="0"/>
        <v>30</v>
      </c>
      <c r="G13" s="331" t="s">
        <v>411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17">
        <f t="shared" si="2"/>
        <v>15</v>
      </c>
      <c r="E14" s="818">
        <v>44837</v>
      </c>
      <c r="F14" s="549">
        <f t="shared" si="0"/>
        <v>15</v>
      </c>
      <c r="G14" s="331" t="s">
        <v>412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17">
        <f t="shared" si="2"/>
        <v>90</v>
      </c>
      <c r="E15" s="818">
        <v>44839</v>
      </c>
      <c r="F15" s="549">
        <f t="shared" si="0"/>
        <v>90</v>
      </c>
      <c r="G15" s="331" t="s">
        <v>422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17">
        <f t="shared" si="2"/>
        <v>15</v>
      </c>
      <c r="E16" s="807">
        <v>44841</v>
      </c>
      <c r="F16" s="549">
        <f t="shared" si="0"/>
        <v>15</v>
      </c>
      <c r="G16" s="331" t="s">
        <v>438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17">
        <f t="shared" si="2"/>
        <v>75</v>
      </c>
      <c r="E17" s="818">
        <v>44841</v>
      </c>
      <c r="F17" s="549">
        <f t="shared" si="0"/>
        <v>75</v>
      </c>
      <c r="G17" s="331" t="s">
        <v>440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17">
        <f t="shared" si="2"/>
        <v>15</v>
      </c>
      <c r="E18" s="818">
        <v>44844</v>
      </c>
      <c r="F18" s="549">
        <f t="shared" si="0"/>
        <v>15</v>
      </c>
      <c r="G18" s="819" t="s">
        <v>460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17">
        <f t="shared" si="2"/>
        <v>15</v>
      </c>
      <c r="E19" s="818">
        <v>44847</v>
      </c>
      <c r="F19" s="549">
        <f t="shared" si="0"/>
        <v>15</v>
      </c>
      <c r="G19" s="331" t="s">
        <v>483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17">
        <f t="shared" si="2"/>
        <v>15</v>
      </c>
      <c r="E20" s="807">
        <v>44847</v>
      </c>
      <c r="F20" s="549">
        <f t="shared" si="0"/>
        <v>15</v>
      </c>
      <c r="G20" s="331" t="s">
        <v>484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17">
        <f t="shared" ref="D21:D27" si="8">B21*C21</f>
        <v>120</v>
      </c>
      <c r="E21" s="807">
        <v>44852</v>
      </c>
      <c r="F21" s="549">
        <f t="shared" ref="F21:F27" si="9">D21</f>
        <v>120</v>
      </c>
      <c r="G21" s="331" t="s">
        <v>511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17">
        <f t="shared" si="8"/>
        <v>15</v>
      </c>
      <c r="E22" s="590">
        <v>44852</v>
      </c>
      <c r="F22" s="549">
        <f t="shared" si="9"/>
        <v>15</v>
      </c>
      <c r="G22" s="331" t="s">
        <v>511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17">
        <f t="shared" si="8"/>
        <v>15</v>
      </c>
      <c r="E23" s="590">
        <v>44853</v>
      </c>
      <c r="F23" s="549">
        <f t="shared" si="9"/>
        <v>15</v>
      </c>
      <c r="G23" s="331" t="s">
        <v>516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17">
        <f t="shared" si="8"/>
        <v>30</v>
      </c>
      <c r="E24" s="590">
        <v>44855</v>
      </c>
      <c r="F24" s="549">
        <f t="shared" si="9"/>
        <v>30</v>
      </c>
      <c r="G24" s="331" t="s">
        <v>535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17">
        <f t="shared" si="8"/>
        <v>15</v>
      </c>
      <c r="E25" s="590">
        <v>44858</v>
      </c>
      <c r="F25" s="549">
        <f t="shared" si="9"/>
        <v>15</v>
      </c>
      <c r="G25" s="331" t="s">
        <v>547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17">
        <f t="shared" si="8"/>
        <v>75</v>
      </c>
      <c r="E26" s="590">
        <v>44858</v>
      </c>
      <c r="F26" s="549">
        <f t="shared" si="9"/>
        <v>75</v>
      </c>
      <c r="G26" s="331" t="s">
        <v>549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17">
        <f t="shared" si="8"/>
        <v>150</v>
      </c>
      <c r="E27" s="590">
        <v>44861</v>
      </c>
      <c r="F27" s="549">
        <f t="shared" si="9"/>
        <v>150</v>
      </c>
      <c r="G27" s="331" t="s">
        <v>570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17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17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17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17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17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17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17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17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37" t="s">
        <v>11</v>
      </c>
      <c r="D42" s="1138"/>
      <c r="E42" s="145">
        <f>E5+E4+E6+-F39</f>
        <v>1005</v>
      </c>
      <c r="F42" s="5"/>
      <c r="L42" s="47"/>
      <c r="N42" s="1137" t="s">
        <v>11</v>
      </c>
      <c r="O42" s="1138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5" t="s">
        <v>260</v>
      </c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0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286</v>
      </c>
      <c r="B6" s="1169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439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76"/>
      <c r="F10" s="977">
        <f t="shared" si="0"/>
        <v>0</v>
      </c>
      <c r="G10" s="973"/>
      <c r="H10" s="974"/>
      <c r="I10" s="978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79"/>
      <c r="F11" s="977">
        <f t="shared" si="0"/>
        <v>0</v>
      </c>
      <c r="G11" s="973"/>
      <c r="H11" s="974"/>
      <c r="I11" s="978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79"/>
      <c r="F12" s="977">
        <f t="shared" si="0"/>
        <v>0</v>
      </c>
      <c r="G12" s="973"/>
      <c r="H12" s="974"/>
      <c r="I12" s="978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79"/>
      <c r="F13" s="977">
        <f t="shared" si="0"/>
        <v>0</v>
      </c>
      <c r="G13" s="973"/>
      <c r="H13" s="974"/>
      <c r="I13" s="978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81" t="s">
        <v>21</v>
      </c>
      <c r="E75" s="108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93" t="s">
        <v>96</v>
      </c>
      <c r="C5" s="400"/>
      <c r="D5" s="134"/>
      <c r="E5" s="209"/>
      <c r="F5" s="62"/>
      <c r="G5" s="5"/>
    </row>
    <row r="6" spans="1:9" x14ac:dyDescent="0.25">
      <c r="A6" s="413"/>
      <c r="B6" s="109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4" t="s">
        <v>11</v>
      </c>
      <c r="D83" s="10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100"/>
      <c r="B5" s="117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00"/>
      <c r="B6" s="1170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94" t="s">
        <v>11</v>
      </c>
      <c r="D60" s="10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0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110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110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81" t="s">
        <v>21</v>
      </c>
      <c r="E41" s="108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92" t="s">
        <v>273</v>
      </c>
      <c r="B1" s="1092"/>
      <c r="C1" s="1092"/>
      <c r="D1" s="1092"/>
      <c r="E1" s="1092"/>
      <c r="F1" s="1092"/>
      <c r="G1" s="1092"/>
      <c r="H1" s="11">
        <v>1</v>
      </c>
      <c r="K1" s="1096" t="s">
        <v>273</v>
      </c>
      <c r="L1" s="1096"/>
      <c r="M1" s="1096"/>
      <c r="N1" s="1096"/>
      <c r="O1" s="1096"/>
      <c r="P1" s="1096"/>
      <c r="Q1" s="1096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1" t="s">
        <v>52</v>
      </c>
      <c r="B4" s="495"/>
      <c r="C4" s="128"/>
      <c r="D4" s="135"/>
      <c r="E4" s="86">
        <v>58.59</v>
      </c>
      <c r="F4" s="73">
        <v>1</v>
      </c>
      <c r="G4" s="239"/>
      <c r="K4" s="1171" t="s">
        <v>52</v>
      </c>
      <c r="L4" s="495"/>
      <c r="M4" s="128"/>
      <c r="N4" s="135"/>
      <c r="O4" s="86">
        <v>142.04</v>
      </c>
      <c r="P4" s="73">
        <v>4</v>
      </c>
      <c r="Q4" s="910"/>
    </row>
    <row r="5" spans="1:19" ht="15" customHeight="1" x14ac:dyDescent="0.25">
      <c r="A5" s="1172"/>
      <c r="B5" s="1174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72"/>
      <c r="L5" s="1174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73"/>
      <c r="B6" s="1175"/>
      <c r="C6" s="564">
        <v>32</v>
      </c>
      <c r="D6" s="135">
        <v>44819</v>
      </c>
      <c r="E6" s="86">
        <v>1008.28</v>
      </c>
      <c r="F6" s="73">
        <v>35</v>
      </c>
      <c r="G6" s="73"/>
      <c r="K6" s="1173"/>
      <c r="L6" s="1175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5">
        <v>44816</v>
      </c>
      <c r="F10" s="339">
        <f t="shared" ref="F10:F20" si="0">D10</f>
        <v>173.86</v>
      </c>
      <c r="G10" s="718" t="s">
        <v>197</v>
      </c>
      <c r="H10" s="744">
        <v>42</v>
      </c>
      <c r="I10" s="132">
        <f>E6+E5+E4-F10+E7+E8</f>
        <v>1885.73</v>
      </c>
      <c r="K10" s="963" t="s">
        <v>479</v>
      </c>
      <c r="L10" s="236">
        <f>P4+P5+P6+P7+P8-M10</f>
        <v>99</v>
      </c>
      <c r="M10" s="964">
        <v>5</v>
      </c>
      <c r="N10" s="339">
        <v>142.13999999999999</v>
      </c>
      <c r="O10" s="745">
        <v>44844</v>
      </c>
      <c r="P10" s="339">
        <f t="shared" ref="P10:P57" si="1">N10</f>
        <v>142.13999999999999</v>
      </c>
      <c r="Q10" s="718" t="s">
        <v>461</v>
      </c>
      <c r="R10" s="744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5">
        <v>44817</v>
      </c>
      <c r="F11" s="339">
        <f t="shared" si="0"/>
        <v>61.46</v>
      </c>
      <c r="G11" s="718" t="s">
        <v>202</v>
      </c>
      <c r="H11" s="744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5">
        <v>44847</v>
      </c>
      <c r="P11" s="339">
        <f t="shared" si="1"/>
        <v>29.16</v>
      </c>
      <c r="Q11" s="718" t="s">
        <v>478</v>
      </c>
      <c r="R11" s="744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5">
        <v>44818</v>
      </c>
      <c r="F12" s="339">
        <f t="shared" si="0"/>
        <v>217.44</v>
      </c>
      <c r="G12" s="718" t="s">
        <v>204</v>
      </c>
      <c r="H12" s="744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5">
        <v>44847</v>
      </c>
      <c r="P12" s="339">
        <f t="shared" si="1"/>
        <v>273.66000000000003</v>
      </c>
      <c r="Q12" s="718" t="s">
        <v>485</v>
      </c>
      <c r="R12" s="744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5">
        <v>44819</v>
      </c>
      <c r="F13" s="339">
        <f t="shared" si="0"/>
        <v>296</v>
      </c>
      <c r="G13" s="718" t="s">
        <v>207</v>
      </c>
      <c r="H13" s="744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5">
        <v>44849</v>
      </c>
      <c r="P13" s="339">
        <f t="shared" si="1"/>
        <v>155.86000000000001</v>
      </c>
      <c r="Q13" s="718" t="s">
        <v>499</v>
      </c>
      <c r="R13" s="744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5">
        <v>44819</v>
      </c>
      <c r="F14" s="339">
        <f t="shared" si="0"/>
        <v>94.94</v>
      </c>
      <c r="G14" s="718" t="s">
        <v>209</v>
      </c>
      <c r="H14" s="744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5">
        <v>44853</v>
      </c>
      <c r="P14" s="339">
        <f t="shared" si="1"/>
        <v>29.67</v>
      </c>
      <c r="Q14" s="718" t="s">
        <v>516</v>
      </c>
      <c r="R14" s="744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5">
        <v>44819</v>
      </c>
      <c r="F15" s="339">
        <f t="shared" si="0"/>
        <v>31.82</v>
      </c>
      <c r="G15" s="718" t="s">
        <v>210</v>
      </c>
      <c r="H15" s="744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5">
        <v>44854</v>
      </c>
      <c r="P15" s="339">
        <f t="shared" si="1"/>
        <v>28.68</v>
      </c>
      <c r="Q15" s="718" t="s">
        <v>524</v>
      </c>
      <c r="R15" s="744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5">
        <v>44824</v>
      </c>
      <c r="F16" s="339">
        <f t="shared" si="0"/>
        <v>55.34</v>
      </c>
      <c r="G16" s="718" t="s">
        <v>229</v>
      </c>
      <c r="H16" s="744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5">
        <v>44854</v>
      </c>
      <c r="P16" s="339">
        <f t="shared" si="1"/>
        <v>90.38</v>
      </c>
      <c r="Q16" s="718" t="s">
        <v>528</v>
      </c>
      <c r="R16" s="744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5">
        <v>44827</v>
      </c>
      <c r="F17" s="339">
        <f t="shared" si="0"/>
        <v>207.68</v>
      </c>
      <c r="G17" s="718" t="s">
        <v>235</v>
      </c>
      <c r="H17" s="744">
        <v>45</v>
      </c>
      <c r="I17" s="132">
        <f t="shared" si="6"/>
        <v>921.05</v>
      </c>
      <c r="L17" s="354">
        <f t="shared" si="4"/>
        <v>77</v>
      </c>
      <c r="M17" s="338">
        <v>1</v>
      </c>
      <c r="N17" s="339">
        <v>30.55</v>
      </c>
      <c r="O17" s="745">
        <v>44855</v>
      </c>
      <c r="P17" s="339">
        <f t="shared" si="1"/>
        <v>30.55</v>
      </c>
      <c r="Q17" s="718" t="s">
        <v>533</v>
      </c>
      <c r="R17" s="744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5">
        <v>44828</v>
      </c>
      <c r="F18" s="339">
        <f t="shared" si="0"/>
        <v>201.21</v>
      </c>
      <c r="G18" s="718" t="s">
        <v>240</v>
      </c>
      <c r="H18" s="744">
        <v>45</v>
      </c>
      <c r="I18" s="132">
        <f t="shared" si="6"/>
        <v>719.83999999999992</v>
      </c>
      <c r="L18" s="354">
        <f t="shared" si="4"/>
        <v>76</v>
      </c>
      <c r="M18" s="338">
        <v>1</v>
      </c>
      <c r="N18" s="339">
        <v>30.65</v>
      </c>
      <c r="O18" s="745">
        <v>44856</v>
      </c>
      <c r="P18" s="339">
        <f t="shared" si="1"/>
        <v>30.65</v>
      </c>
      <c r="Q18" s="718" t="s">
        <v>539</v>
      </c>
      <c r="R18" s="744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5">
        <v>44833</v>
      </c>
      <c r="F19" s="339">
        <f t="shared" si="0"/>
        <v>56.79</v>
      </c>
      <c r="G19" s="718" t="s">
        <v>249</v>
      </c>
      <c r="H19" s="744">
        <v>45</v>
      </c>
      <c r="I19" s="132">
        <f t="shared" si="6"/>
        <v>663.05</v>
      </c>
      <c r="L19" s="354">
        <f t="shared" si="4"/>
        <v>70</v>
      </c>
      <c r="M19" s="338">
        <v>6</v>
      </c>
      <c r="N19" s="339">
        <v>178.63</v>
      </c>
      <c r="O19" s="745">
        <v>44856</v>
      </c>
      <c r="P19" s="339">
        <f t="shared" si="1"/>
        <v>178.63</v>
      </c>
      <c r="Q19" s="718" t="s">
        <v>542</v>
      </c>
      <c r="R19" s="744">
        <v>30</v>
      </c>
      <c r="S19" s="132">
        <f t="shared" si="7"/>
        <v>2190.81</v>
      </c>
    </row>
    <row r="20" spans="2:19" x14ac:dyDescent="0.25">
      <c r="B20" s="997">
        <f t="shared" si="2"/>
        <v>15</v>
      </c>
      <c r="C20" s="338">
        <v>7</v>
      </c>
      <c r="D20" s="339">
        <v>204.64</v>
      </c>
      <c r="E20" s="745">
        <v>44833</v>
      </c>
      <c r="F20" s="339">
        <f t="shared" si="0"/>
        <v>204.64</v>
      </c>
      <c r="G20" s="718" t="s">
        <v>250</v>
      </c>
      <c r="H20" s="744">
        <v>45</v>
      </c>
      <c r="I20" s="988">
        <f t="shared" si="6"/>
        <v>458.40999999999997</v>
      </c>
      <c r="L20" s="354">
        <f t="shared" si="4"/>
        <v>68</v>
      </c>
      <c r="M20" s="338">
        <v>2</v>
      </c>
      <c r="N20" s="339">
        <v>61</v>
      </c>
      <c r="O20" s="745">
        <v>44858</v>
      </c>
      <c r="P20" s="339">
        <f t="shared" si="1"/>
        <v>61</v>
      </c>
      <c r="Q20" s="718" t="s">
        <v>545</v>
      </c>
      <c r="R20" s="744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422</v>
      </c>
      <c r="H21" s="594">
        <v>42</v>
      </c>
      <c r="I21" s="132">
        <f t="shared" si="6"/>
        <v>257.30999999999995</v>
      </c>
      <c r="L21" s="354">
        <f t="shared" si="4"/>
        <v>61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8" t="s">
        <v>549</v>
      </c>
      <c r="R21" s="744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427</v>
      </c>
      <c r="H22" s="594">
        <v>42</v>
      </c>
      <c r="I22" s="132">
        <f t="shared" si="6"/>
        <v>229.63999999999993</v>
      </c>
      <c r="L22" s="354">
        <f t="shared" si="4"/>
        <v>60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8" t="s">
        <v>556</v>
      </c>
      <c r="R22" s="744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444</v>
      </c>
      <c r="H23" s="594">
        <v>42</v>
      </c>
      <c r="I23" s="132">
        <f t="shared" si="6"/>
        <v>171.37999999999994</v>
      </c>
      <c r="L23" s="354">
        <f t="shared" si="4"/>
        <v>53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8" t="s">
        <v>558</v>
      </c>
      <c r="R23" s="744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459</v>
      </c>
      <c r="H24" s="594">
        <v>42</v>
      </c>
      <c r="I24" s="132">
        <f t="shared" si="6"/>
        <v>142.03999999999994</v>
      </c>
      <c r="L24" s="354">
        <f t="shared" si="4"/>
        <v>52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8" t="s">
        <v>578</v>
      </c>
      <c r="R24" s="744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58"/>
      <c r="H25" s="959"/>
      <c r="I25" s="960">
        <f t="shared" si="6"/>
        <v>142.03999999999994</v>
      </c>
      <c r="L25" s="354">
        <f t="shared" si="4"/>
        <v>45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8" t="s">
        <v>580</v>
      </c>
      <c r="R25" s="744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58"/>
      <c r="H26" s="959"/>
      <c r="I26" s="960">
        <f t="shared" si="6"/>
        <v>142.03999999999994</v>
      </c>
      <c r="L26" s="354">
        <f t="shared" si="4"/>
        <v>45</v>
      </c>
      <c r="M26" s="338"/>
      <c r="N26" s="339"/>
      <c r="O26" s="356"/>
      <c r="P26" s="339">
        <f t="shared" si="1"/>
        <v>0</v>
      </c>
      <c r="Q26" s="718"/>
      <c r="R26" s="744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58"/>
      <c r="H27" s="959"/>
      <c r="I27" s="960">
        <f t="shared" si="6"/>
        <v>0</v>
      </c>
      <c r="L27" s="354">
        <f t="shared" si="4"/>
        <v>45</v>
      </c>
      <c r="M27" s="338"/>
      <c r="N27" s="339"/>
      <c r="O27" s="356"/>
      <c r="P27" s="339">
        <f t="shared" si="1"/>
        <v>0</v>
      </c>
      <c r="Q27" s="718"/>
      <c r="R27" s="744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58"/>
      <c r="H28" s="959"/>
      <c r="I28" s="960">
        <f t="shared" si="6"/>
        <v>0</v>
      </c>
      <c r="L28" s="354">
        <f t="shared" si="4"/>
        <v>45</v>
      </c>
      <c r="M28" s="338"/>
      <c r="N28" s="339"/>
      <c r="O28" s="356"/>
      <c r="P28" s="339">
        <f t="shared" si="1"/>
        <v>0</v>
      </c>
      <c r="Q28" s="718"/>
      <c r="R28" s="744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45</v>
      </c>
      <c r="M29" s="338"/>
      <c r="N29" s="339"/>
      <c r="O29" s="356"/>
      <c r="P29" s="339">
        <f t="shared" si="1"/>
        <v>0</v>
      </c>
      <c r="Q29" s="718"/>
      <c r="R29" s="744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45</v>
      </c>
      <c r="M30" s="338"/>
      <c r="N30" s="339"/>
      <c r="O30" s="356"/>
      <c r="P30" s="339">
        <f t="shared" si="1"/>
        <v>0</v>
      </c>
      <c r="Q30" s="718"/>
      <c r="R30" s="744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3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45</v>
      </c>
      <c r="M31" s="338"/>
      <c r="N31" s="339"/>
      <c r="O31" s="745"/>
      <c r="P31" s="339">
        <f t="shared" si="1"/>
        <v>0</v>
      </c>
      <c r="Q31" s="718"/>
      <c r="R31" s="744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3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45</v>
      </c>
      <c r="M32" s="338"/>
      <c r="N32" s="339"/>
      <c r="O32" s="745"/>
      <c r="P32" s="339">
        <f t="shared" si="1"/>
        <v>0</v>
      </c>
      <c r="Q32" s="718"/>
      <c r="R32" s="744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3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45</v>
      </c>
      <c r="M33" s="338"/>
      <c r="N33" s="339"/>
      <c r="O33" s="745"/>
      <c r="P33" s="339">
        <f t="shared" si="1"/>
        <v>0</v>
      </c>
      <c r="Q33" s="718"/>
      <c r="R33" s="744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3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45</v>
      </c>
      <c r="M34" s="338"/>
      <c r="N34" s="339"/>
      <c r="O34" s="745"/>
      <c r="P34" s="339">
        <f t="shared" si="1"/>
        <v>0</v>
      </c>
      <c r="Q34" s="718"/>
      <c r="R34" s="744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3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45</v>
      </c>
      <c r="M35" s="338"/>
      <c r="N35" s="339"/>
      <c r="O35" s="745"/>
      <c r="P35" s="339">
        <f t="shared" si="1"/>
        <v>0</v>
      </c>
      <c r="Q35" s="718"/>
      <c r="R35" s="744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3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45</v>
      </c>
      <c r="M36" s="338"/>
      <c r="N36" s="339"/>
      <c r="O36" s="745"/>
      <c r="P36" s="339">
        <f t="shared" si="1"/>
        <v>0</v>
      </c>
      <c r="Q36" s="718"/>
      <c r="R36" s="744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3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45</v>
      </c>
      <c r="M37" s="338"/>
      <c r="N37" s="339"/>
      <c r="O37" s="745"/>
      <c r="P37" s="339">
        <f t="shared" si="1"/>
        <v>0</v>
      </c>
      <c r="Q37" s="718"/>
      <c r="R37" s="744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3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45</v>
      </c>
      <c r="M38" s="338"/>
      <c r="N38" s="339"/>
      <c r="O38" s="745"/>
      <c r="P38" s="339">
        <f t="shared" si="1"/>
        <v>0</v>
      </c>
      <c r="Q38" s="718"/>
      <c r="R38" s="744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3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45</v>
      </c>
      <c r="M39" s="338"/>
      <c r="N39" s="339"/>
      <c r="O39" s="745"/>
      <c r="P39" s="339">
        <f t="shared" si="1"/>
        <v>0</v>
      </c>
      <c r="Q39" s="718"/>
      <c r="R39" s="744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3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45</v>
      </c>
      <c r="M40" s="338"/>
      <c r="N40" s="339"/>
      <c r="O40" s="745"/>
      <c r="P40" s="339">
        <f t="shared" si="1"/>
        <v>0</v>
      </c>
      <c r="Q40" s="718"/>
      <c r="R40" s="744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3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45</v>
      </c>
      <c r="M41" s="338"/>
      <c r="N41" s="339"/>
      <c r="O41" s="745"/>
      <c r="P41" s="339">
        <f t="shared" si="1"/>
        <v>0</v>
      </c>
      <c r="Q41" s="718"/>
      <c r="R41" s="744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3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45</v>
      </c>
      <c r="M42" s="338"/>
      <c r="N42" s="339"/>
      <c r="O42" s="745"/>
      <c r="P42" s="339">
        <f t="shared" si="1"/>
        <v>0</v>
      </c>
      <c r="Q42" s="718"/>
      <c r="R42" s="744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3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45</v>
      </c>
      <c r="M43" s="338"/>
      <c r="N43" s="339"/>
      <c r="O43" s="745"/>
      <c r="P43" s="339">
        <f t="shared" si="1"/>
        <v>0</v>
      </c>
      <c r="Q43" s="718"/>
      <c r="R43" s="744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3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45</v>
      </c>
      <c r="M44" s="338"/>
      <c r="N44" s="339"/>
      <c r="O44" s="745"/>
      <c r="P44" s="339">
        <f t="shared" si="1"/>
        <v>0</v>
      </c>
      <c r="Q44" s="718"/>
      <c r="R44" s="744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3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45</v>
      </c>
      <c r="M45" s="338"/>
      <c r="N45" s="339"/>
      <c r="O45" s="745"/>
      <c r="P45" s="339">
        <f t="shared" si="1"/>
        <v>0</v>
      </c>
      <c r="Q45" s="718"/>
      <c r="R45" s="744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3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45</v>
      </c>
      <c r="M46" s="338"/>
      <c r="N46" s="339"/>
      <c r="O46" s="745"/>
      <c r="P46" s="339">
        <f t="shared" si="1"/>
        <v>0</v>
      </c>
      <c r="Q46" s="718"/>
      <c r="R46" s="744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3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45</v>
      </c>
      <c r="M47" s="338"/>
      <c r="N47" s="339"/>
      <c r="O47" s="745"/>
      <c r="P47" s="339">
        <f t="shared" si="1"/>
        <v>0</v>
      </c>
      <c r="Q47" s="718"/>
      <c r="R47" s="744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3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45</v>
      </c>
      <c r="M48" s="338"/>
      <c r="N48" s="339"/>
      <c r="O48" s="745"/>
      <c r="P48" s="339">
        <f t="shared" si="1"/>
        <v>0</v>
      </c>
      <c r="Q48" s="718"/>
      <c r="R48" s="744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3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45</v>
      </c>
      <c r="M49" s="338"/>
      <c r="N49" s="339"/>
      <c r="O49" s="745"/>
      <c r="P49" s="339">
        <f t="shared" si="1"/>
        <v>0</v>
      </c>
      <c r="Q49" s="718"/>
      <c r="R49" s="744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5"/>
      <c r="F50" s="339">
        <f t="shared" si="8"/>
        <v>0</v>
      </c>
      <c r="G50" s="718"/>
      <c r="H50" s="744"/>
      <c r="I50" s="132">
        <f t="shared" si="6"/>
        <v>0</v>
      </c>
      <c r="L50" s="354">
        <f t="shared" si="4"/>
        <v>45</v>
      </c>
      <c r="M50" s="338"/>
      <c r="N50" s="339"/>
      <c r="O50" s="745"/>
      <c r="P50" s="339">
        <f t="shared" si="1"/>
        <v>0</v>
      </c>
      <c r="Q50" s="718"/>
      <c r="R50" s="744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5"/>
      <c r="F51" s="339">
        <f t="shared" si="8"/>
        <v>0</v>
      </c>
      <c r="G51" s="718"/>
      <c r="H51" s="744"/>
      <c r="I51" s="132">
        <f t="shared" si="6"/>
        <v>0</v>
      </c>
      <c r="L51" s="354">
        <f t="shared" si="4"/>
        <v>45</v>
      </c>
      <c r="M51" s="338"/>
      <c r="N51" s="339"/>
      <c r="O51" s="745"/>
      <c r="P51" s="339">
        <f t="shared" si="1"/>
        <v>0</v>
      </c>
      <c r="Q51" s="718"/>
      <c r="R51" s="744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5"/>
      <c r="F52" s="339">
        <f t="shared" si="8"/>
        <v>0</v>
      </c>
      <c r="G52" s="718"/>
      <c r="H52" s="744"/>
      <c r="I52" s="132">
        <f t="shared" si="6"/>
        <v>0</v>
      </c>
      <c r="L52" s="354">
        <f t="shared" si="4"/>
        <v>45</v>
      </c>
      <c r="M52" s="338"/>
      <c r="N52" s="339"/>
      <c r="O52" s="745"/>
      <c r="P52" s="339">
        <f t="shared" si="1"/>
        <v>0</v>
      </c>
      <c r="Q52" s="718"/>
      <c r="R52" s="744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5"/>
      <c r="F53" s="339">
        <f t="shared" si="8"/>
        <v>0</v>
      </c>
      <c r="G53" s="718"/>
      <c r="H53" s="744"/>
      <c r="I53" s="132">
        <f t="shared" si="6"/>
        <v>0</v>
      </c>
      <c r="L53" s="354">
        <f t="shared" si="4"/>
        <v>45</v>
      </c>
      <c r="M53" s="338"/>
      <c r="N53" s="339"/>
      <c r="O53" s="745"/>
      <c r="P53" s="339">
        <f t="shared" si="1"/>
        <v>0</v>
      </c>
      <c r="Q53" s="718"/>
      <c r="R53" s="744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5"/>
      <c r="F54" s="339">
        <f t="shared" si="8"/>
        <v>0</v>
      </c>
      <c r="G54" s="718"/>
      <c r="H54" s="744"/>
      <c r="I54" s="132">
        <f t="shared" si="6"/>
        <v>0</v>
      </c>
      <c r="L54" s="354">
        <f t="shared" si="4"/>
        <v>45</v>
      </c>
      <c r="M54" s="338"/>
      <c r="N54" s="339"/>
      <c r="O54" s="745"/>
      <c r="P54" s="339">
        <f t="shared" si="1"/>
        <v>0</v>
      </c>
      <c r="Q54" s="718"/>
      <c r="R54" s="744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5"/>
      <c r="F55" s="339">
        <f t="shared" si="8"/>
        <v>0</v>
      </c>
      <c r="G55" s="718"/>
      <c r="H55" s="744"/>
      <c r="I55" s="132">
        <f t="shared" si="6"/>
        <v>0</v>
      </c>
      <c r="L55" s="354">
        <f t="shared" si="4"/>
        <v>45</v>
      </c>
      <c r="M55" s="338"/>
      <c r="N55" s="339"/>
      <c r="O55" s="745"/>
      <c r="P55" s="339">
        <f t="shared" si="1"/>
        <v>0</v>
      </c>
      <c r="Q55" s="718"/>
      <c r="R55" s="744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5"/>
      <c r="F56" s="339">
        <f t="shared" si="8"/>
        <v>0</v>
      </c>
      <c r="G56" s="718"/>
      <c r="H56" s="744"/>
      <c r="I56" s="132">
        <f t="shared" si="6"/>
        <v>0</v>
      </c>
      <c r="L56" s="354">
        <f t="shared" si="4"/>
        <v>45</v>
      </c>
      <c r="M56" s="338"/>
      <c r="N56" s="339"/>
      <c r="O56" s="745"/>
      <c r="P56" s="339">
        <f t="shared" si="1"/>
        <v>0</v>
      </c>
      <c r="Q56" s="718"/>
      <c r="R56" s="744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5"/>
      <c r="F57" s="339">
        <f t="shared" si="8"/>
        <v>0</v>
      </c>
      <c r="G57" s="718"/>
      <c r="H57" s="744"/>
      <c r="I57" s="132">
        <f t="shared" si="6"/>
        <v>0</v>
      </c>
      <c r="L57" s="354">
        <f t="shared" si="4"/>
        <v>45</v>
      </c>
      <c r="M57" s="338"/>
      <c r="N57" s="339"/>
      <c r="O57" s="745"/>
      <c r="P57" s="339">
        <f t="shared" si="1"/>
        <v>0</v>
      </c>
      <c r="Q57" s="718"/>
      <c r="R57" s="744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8"/>
      <c r="H58" s="744"/>
      <c r="I58" s="132">
        <f t="shared" si="6"/>
        <v>0</v>
      </c>
      <c r="L58" s="354">
        <f t="shared" si="4"/>
        <v>45</v>
      </c>
      <c r="M58" s="338"/>
      <c r="N58" s="339"/>
      <c r="O58" s="499"/>
      <c r="P58" s="339"/>
      <c r="Q58" s="718"/>
      <c r="R58" s="744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6"/>
      <c r="H59" s="499"/>
      <c r="I59" s="132"/>
      <c r="L59" s="354"/>
      <c r="M59" s="338"/>
      <c r="N59" s="339"/>
      <c r="O59" s="499"/>
      <c r="P59" s="339"/>
      <c r="Q59" s="746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6"/>
      <c r="H60" s="499"/>
      <c r="I60" s="132"/>
      <c r="L60" s="354"/>
      <c r="M60" s="338"/>
      <c r="N60" s="339"/>
      <c r="O60" s="499"/>
      <c r="P60" s="339"/>
      <c r="Q60" s="746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59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69"/>
      <c r="D63" s="768"/>
      <c r="E63" s="768"/>
      <c r="F63" s="770"/>
      <c r="G63" s="75"/>
      <c r="H63" s="75"/>
      <c r="K63" s="75"/>
      <c r="L63" s="75"/>
      <c r="M63" s="769"/>
      <c r="N63" s="768"/>
      <c r="O63" s="768"/>
      <c r="P63" s="770"/>
      <c r="Q63" s="75"/>
      <c r="R63" s="75"/>
    </row>
    <row r="64" spans="1:19" ht="15.75" thickBot="1" x14ac:dyDescent="0.3">
      <c r="A64" s="75"/>
      <c r="B64" s="75"/>
      <c r="C64" s="769"/>
      <c r="D64" s="768"/>
      <c r="E64" s="768"/>
      <c r="F64" s="768"/>
      <c r="G64" s="75"/>
      <c r="H64" s="75"/>
      <c r="K64" s="75"/>
      <c r="L64" s="75"/>
      <c r="M64" s="769"/>
      <c r="N64" s="768"/>
      <c r="O64" s="768"/>
      <c r="P64" s="768"/>
      <c r="Q64" s="75"/>
      <c r="R64" s="75"/>
    </row>
    <row r="65" spans="1:18" ht="29.25" customHeight="1" x14ac:dyDescent="0.25">
      <c r="A65" s="75"/>
      <c r="B65" s="75"/>
      <c r="C65" s="75"/>
      <c r="D65" s="771" t="s">
        <v>21</v>
      </c>
      <c r="E65" s="772"/>
      <c r="F65" s="773">
        <f>E4+E5+E6+E7+E8-F62</f>
        <v>0</v>
      </c>
      <c r="G65" s="75"/>
      <c r="H65" s="75"/>
      <c r="K65" s="75"/>
      <c r="L65" s="75"/>
      <c r="M65" s="75"/>
      <c r="N65" s="771" t="s">
        <v>21</v>
      </c>
      <c r="O65" s="772"/>
      <c r="P65" s="773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4" t="s">
        <v>4</v>
      </c>
      <c r="E66" s="775"/>
      <c r="F66" s="776">
        <f>F4+F5+F6+F7+F8-C62</f>
        <v>0</v>
      </c>
      <c r="G66" s="75"/>
      <c r="H66" s="75"/>
      <c r="K66" s="75"/>
      <c r="L66" s="75"/>
      <c r="M66" s="75"/>
      <c r="N66" s="774" t="s">
        <v>4</v>
      </c>
      <c r="O66" s="775"/>
      <c r="P66" s="776">
        <f>P4+P5+P6+P7+P8-M62</f>
        <v>45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92" t="s">
        <v>156</v>
      </c>
      <c r="B1" s="1092"/>
      <c r="C1" s="1092"/>
      <c r="D1" s="1092"/>
      <c r="E1" s="1092"/>
      <c r="F1" s="1092"/>
      <c r="G1" s="1092"/>
      <c r="H1" s="11">
        <v>1</v>
      </c>
      <c r="K1" s="1092" t="s">
        <v>271</v>
      </c>
      <c r="L1" s="1092"/>
      <c r="M1" s="1092"/>
      <c r="N1" s="1092"/>
      <c r="O1" s="1092"/>
      <c r="P1" s="1092"/>
      <c r="Q1" s="1092"/>
      <c r="R1" s="11">
        <v>2</v>
      </c>
      <c r="U1" s="1096" t="s">
        <v>260</v>
      </c>
      <c r="V1" s="1096"/>
      <c r="W1" s="1096"/>
      <c r="X1" s="1096"/>
      <c r="Y1" s="1096"/>
      <c r="Z1" s="1096"/>
      <c r="AA1" s="109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76" t="s">
        <v>127</v>
      </c>
      <c r="C4" s="102"/>
      <c r="D4" s="135"/>
      <c r="E4" s="86"/>
      <c r="F4" s="73"/>
      <c r="G4" s="239"/>
      <c r="L4" s="1176" t="s">
        <v>127</v>
      </c>
      <c r="M4" s="102"/>
      <c r="N4" s="135"/>
      <c r="O4" s="86"/>
      <c r="P4" s="73"/>
      <c r="Q4" s="239"/>
      <c r="V4" s="1176" t="s">
        <v>127</v>
      </c>
      <c r="W4" s="102"/>
      <c r="X4" s="135"/>
      <c r="Y4" s="86"/>
      <c r="Z4" s="73"/>
      <c r="AA4" s="910"/>
    </row>
    <row r="5" spans="1:29" x14ac:dyDescent="0.25">
      <c r="A5" s="75" t="s">
        <v>52</v>
      </c>
      <c r="B5" s="117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77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77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4" t="s">
        <v>7</v>
      </c>
      <c r="C7" s="675" t="s">
        <v>8</v>
      </c>
      <c r="D7" s="676" t="s">
        <v>17</v>
      </c>
      <c r="E7" s="677" t="s">
        <v>2</v>
      </c>
      <c r="F7" s="678" t="s">
        <v>18</v>
      </c>
      <c r="G7" s="679" t="s">
        <v>15</v>
      </c>
      <c r="H7" s="24"/>
      <c r="L7" s="674" t="s">
        <v>7</v>
      </c>
      <c r="M7" s="675" t="s">
        <v>8</v>
      </c>
      <c r="N7" s="676" t="s">
        <v>17</v>
      </c>
      <c r="O7" s="677" t="s">
        <v>2</v>
      </c>
      <c r="P7" s="678" t="s">
        <v>18</v>
      </c>
      <c r="Q7" s="679" t="s">
        <v>15</v>
      </c>
      <c r="R7" s="24"/>
      <c r="V7" s="674" t="s">
        <v>7</v>
      </c>
      <c r="W7" s="675" t="s">
        <v>8</v>
      </c>
      <c r="X7" s="676" t="s">
        <v>17</v>
      </c>
      <c r="Y7" s="677" t="s">
        <v>2</v>
      </c>
      <c r="Z7" s="678" t="s">
        <v>18</v>
      </c>
      <c r="AA7" s="679" t="s">
        <v>15</v>
      </c>
      <c r="AB7" s="24"/>
    </row>
    <row r="8" spans="1:29" ht="15.75" thickTop="1" x14ac:dyDescent="0.25">
      <c r="A8" s="55"/>
      <c r="B8" s="425">
        <f>F4+F5+F6-C8</f>
        <v>28</v>
      </c>
      <c r="C8" s="650">
        <v>6</v>
      </c>
      <c r="D8" s="656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0">
        <v>36</v>
      </c>
      <c r="N8" s="656">
        <v>1018.38</v>
      </c>
      <c r="O8" s="739">
        <v>44862</v>
      </c>
      <c r="P8" s="529">
        <f>N8</f>
        <v>1018.38</v>
      </c>
      <c r="Q8" s="530" t="s">
        <v>574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0"/>
      <c r="X8" s="656"/>
      <c r="Y8" s="739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1">
        <v>7</v>
      </c>
      <c r="D9" s="734">
        <v>208.57</v>
      </c>
      <c r="E9" s="735">
        <v>44818</v>
      </c>
      <c r="F9" s="736">
        <f>D9</f>
        <v>208.57</v>
      </c>
      <c r="G9" s="737" t="s">
        <v>206</v>
      </c>
      <c r="H9" s="738">
        <v>119</v>
      </c>
      <c r="I9" s="132">
        <f>I8-F9</f>
        <v>584.52</v>
      </c>
      <c r="K9" s="75"/>
      <c r="L9" s="425">
        <f>L8-M9</f>
        <v>28</v>
      </c>
      <c r="M9" s="651">
        <v>6</v>
      </c>
      <c r="N9" s="551">
        <v>170.13</v>
      </c>
      <c r="O9" s="739">
        <v>44863</v>
      </c>
      <c r="P9" s="529">
        <f>N9</f>
        <v>170.13</v>
      </c>
      <c r="Q9" s="556" t="s">
        <v>584</v>
      </c>
      <c r="R9" s="740">
        <v>92</v>
      </c>
      <c r="S9" s="132">
        <f>S8-P9</f>
        <v>811.01</v>
      </c>
      <c r="U9" s="75"/>
      <c r="V9" s="425">
        <f>V8-W9</f>
        <v>70</v>
      </c>
      <c r="W9" s="651"/>
      <c r="X9" s="551"/>
      <c r="Y9" s="739"/>
      <c r="Z9" s="529">
        <f>X9</f>
        <v>0</v>
      </c>
      <c r="AA9" s="556"/>
      <c r="AB9" s="740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1">
        <v>1</v>
      </c>
      <c r="D10" s="820">
        <v>27.18</v>
      </c>
      <c r="E10" s="821">
        <v>44847</v>
      </c>
      <c r="F10" s="822">
        <f t="shared" ref="F10:F28" si="1">D10</f>
        <v>27.18</v>
      </c>
      <c r="G10" s="823" t="s">
        <v>481</v>
      </c>
      <c r="H10" s="824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1"/>
      <c r="N10" s="551"/>
      <c r="O10" s="739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1"/>
      <c r="X10" s="551"/>
      <c r="Y10" s="739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1">
        <v>2</v>
      </c>
      <c r="D11" s="820">
        <v>58.64</v>
      </c>
      <c r="E11" s="821">
        <v>44847</v>
      </c>
      <c r="F11" s="822">
        <f t="shared" si="1"/>
        <v>58.64</v>
      </c>
      <c r="G11" s="823" t="s">
        <v>481</v>
      </c>
      <c r="H11" s="824">
        <v>119</v>
      </c>
      <c r="I11" s="132">
        <f t="shared" si="2"/>
        <v>498.70000000000005</v>
      </c>
      <c r="K11" s="55"/>
      <c r="L11" s="425">
        <f t="shared" si="3"/>
        <v>28</v>
      </c>
      <c r="M11" s="651"/>
      <c r="N11" s="551"/>
      <c r="O11" s="739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1"/>
      <c r="X11" s="551"/>
      <c r="Y11" s="739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1">
        <v>18</v>
      </c>
      <c r="D12" s="820">
        <v>498.71</v>
      </c>
      <c r="E12" s="821">
        <v>44848</v>
      </c>
      <c r="F12" s="822">
        <f t="shared" si="1"/>
        <v>498.71</v>
      </c>
      <c r="G12" s="823" t="s">
        <v>494</v>
      </c>
      <c r="H12" s="824">
        <v>119</v>
      </c>
      <c r="I12" s="132">
        <f t="shared" si="2"/>
        <v>-9.9999999999340616E-3</v>
      </c>
      <c r="K12" s="75"/>
      <c r="L12" s="425">
        <f t="shared" si="3"/>
        <v>28</v>
      </c>
      <c r="M12" s="651"/>
      <c r="N12" s="551"/>
      <c r="O12" s="739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1"/>
      <c r="X12" s="551"/>
      <c r="Y12" s="739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1"/>
      <c r="D13" s="820"/>
      <c r="E13" s="821"/>
      <c r="F13" s="967">
        <f t="shared" si="1"/>
        <v>0</v>
      </c>
      <c r="G13" s="968"/>
      <c r="H13" s="969"/>
      <c r="I13" s="960">
        <f t="shared" si="2"/>
        <v>-9.9999999999340616E-3</v>
      </c>
      <c r="K13" s="75"/>
      <c r="L13" s="425">
        <f t="shared" si="3"/>
        <v>28</v>
      </c>
      <c r="M13" s="651"/>
      <c r="N13" s="551"/>
      <c r="O13" s="739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1"/>
      <c r="X13" s="551"/>
      <c r="Y13" s="739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1"/>
      <c r="D14" s="820"/>
      <c r="E14" s="821"/>
      <c r="F14" s="967">
        <f t="shared" si="1"/>
        <v>0</v>
      </c>
      <c r="G14" s="968"/>
      <c r="H14" s="969"/>
      <c r="I14" s="960">
        <f t="shared" si="2"/>
        <v>-9.9999999999340616E-3</v>
      </c>
      <c r="L14" s="425">
        <f t="shared" si="3"/>
        <v>28</v>
      </c>
      <c r="M14" s="651"/>
      <c r="N14" s="551"/>
      <c r="O14" s="739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1"/>
      <c r="X14" s="551"/>
      <c r="Y14" s="739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1"/>
      <c r="D15" s="820"/>
      <c r="E15" s="821"/>
      <c r="F15" s="967">
        <f t="shared" si="1"/>
        <v>0</v>
      </c>
      <c r="G15" s="968"/>
      <c r="H15" s="969"/>
      <c r="I15" s="960">
        <f t="shared" si="2"/>
        <v>-9.9999999999340616E-3</v>
      </c>
      <c r="L15" s="425">
        <f t="shared" si="3"/>
        <v>28</v>
      </c>
      <c r="M15" s="651"/>
      <c r="N15" s="551"/>
      <c r="O15" s="739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1"/>
      <c r="X15" s="551"/>
      <c r="Y15" s="739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1"/>
      <c r="D16" s="820"/>
      <c r="E16" s="821"/>
      <c r="F16" s="967">
        <f t="shared" si="1"/>
        <v>0</v>
      </c>
      <c r="G16" s="968"/>
      <c r="H16" s="969"/>
      <c r="I16" s="960">
        <f t="shared" si="2"/>
        <v>-9.9999999999340616E-3</v>
      </c>
      <c r="L16" s="425">
        <f t="shared" si="3"/>
        <v>28</v>
      </c>
      <c r="M16" s="651"/>
      <c r="N16" s="551"/>
      <c r="O16" s="739"/>
      <c r="P16" s="529">
        <f t="shared" si="4"/>
        <v>0</v>
      </c>
      <c r="Q16" s="556"/>
      <c r="R16" s="740"/>
      <c r="S16" s="132">
        <f t="shared" si="5"/>
        <v>811.01</v>
      </c>
      <c r="V16" s="425">
        <f t="shared" si="6"/>
        <v>70</v>
      </c>
      <c r="W16" s="651"/>
      <c r="X16" s="551"/>
      <c r="Y16" s="739"/>
      <c r="Z16" s="529">
        <f t="shared" si="7"/>
        <v>0</v>
      </c>
      <c r="AA16" s="556"/>
      <c r="AB16" s="740"/>
      <c r="AC16" s="132">
        <f t="shared" si="8"/>
        <v>2025.36</v>
      </c>
    </row>
    <row r="17" spans="1:29" x14ac:dyDescent="0.25">
      <c r="B17" s="425">
        <f t="shared" si="0"/>
        <v>0</v>
      </c>
      <c r="C17" s="651"/>
      <c r="D17" s="820"/>
      <c r="E17" s="821"/>
      <c r="F17" s="967">
        <f t="shared" si="1"/>
        <v>0</v>
      </c>
      <c r="G17" s="968"/>
      <c r="H17" s="969"/>
      <c r="I17" s="960">
        <f t="shared" si="2"/>
        <v>-9.9999999999340616E-3</v>
      </c>
      <c r="L17" s="425">
        <f t="shared" si="3"/>
        <v>28</v>
      </c>
      <c r="M17" s="651"/>
      <c r="N17" s="551"/>
      <c r="O17" s="739"/>
      <c r="P17" s="529">
        <f t="shared" si="4"/>
        <v>0</v>
      </c>
      <c r="Q17" s="556"/>
      <c r="R17" s="740"/>
      <c r="S17" s="132">
        <f t="shared" si="5"/>
        <v>811.01</v>
      </c>
      <c r="V17" s="425">
        <f t="shared" si="6"/>
        <v>70</v>
      </c>
      <c r="W17" s="651"/>
      <c r="X17" s="551"/>
      <c r="Y17" s="739"/>
      <c r="Z17" s="529">
        <f t="shared" si="7"/>
        <v>0</v>
      </c>
      <c r="AA17" s="556"/>
      <c r="AB17" s="740"/>
      <c r="AC17" s="132">
        <f t="shared" si="8"/>
        <v>2025.36</v>
      </c>
    </row>
    <row r="18" spans="1:29" x14ac:dyDescent="0.25">
      <c r="B18" s="425">
        <f t="shared" si="0"/>
        <v>0</v>
      </c>
      <c r="C18" s="651"/>
      <c r="D18" s="820"/>
      <c r="E18" s="821"/>
      <c r="F18" s="822">
        <f t="shared" si="1"/>
        <v>0</v>
      </c>
      <c r="G18" s="823"/>
      <c r="H18" s="825"/>
      <c r="I18" s="132">
        <f t="shared" si="2"/>
        <v>-9.9999999999340616E-3</v>
      </c>
      <c r="L18" s="425">
        <f t="shared" si="3"/>
        <v>28</v>
      </c>
      <c r="M18" s="651"/>
      <c r="N18" s="551"/>
      <c r="O18" s="739"/>
      <c r="P18" s="529">
        <f t="shared" si="4"/>
        <v>0</v>
      </c>
      <c r="Q18" s="556"/>
      <c r="R18" s="740"/>
      <c r="S18" s="132">
        <f t="shared" si="5"/>
        <v>811.01</v>
      </c>
      <c r="V18" s="425">
        <f t="shared" si="6"/>
        <v>70</v>
      </c>
      <c r="W18" s="651"/>
      <c r="X18" s="551"/>
      <c r="Y18" s="739"/>
      <c r="Z18" s="529">
        <f t="shared" si="7"/>
        <v>0</v>
      </c>
      <c r="AA18" s="556"/>
      <c r="AB18" s="740"/>
      <c r="AC18" s="132">
        <f t="shared" si="8"/>
        <v>2025.36</v>
      </c>
    </row>
    <row r="19" spans="1:29" x14ac:dyDescent="0.25">
      <c r="B19" s="425">
        <f t="shared" si="0"/>
        <v>0</v>
      </c>
      <c r="C19" s="651"/>
      <c r="D19" s="820"/>
      <c r="E19" s="821"/>
      <c r="F19" s="822">
        <f t="shared" si="1"/>
        <v>0</v>
      </c>
      <c r="G19" s="823"/>
      <c r="H19" s="825"/>
      <c r="I19" s="132">
        <f t="shared" si="2"/>
        <v>-9.9999999999340616E-3</v>
      </c>
      <c r="L19" s="425">
        <f t="shared" si="3"/>
        <v>28</v>
      </c>
      <c r="M19" s="651"/>
      <c r="N19" s="551"/>
      <c r="O19" s="739"/>
      <c r="P19" s="529">
        <f t="shared" si="4"/>
        <v>0</v>
      </c>
      <c r="Q19" s="556"/>
      <c r="R19" s="740"/>
      <c r="S19" s="132">
        <f t="shared" si="5"/>
        <v>811.01</v>
      </c>
      <c r="V19" s="425">
        <f t="shared" si="6"/>
        <v>70</v>
      </c>
      <c r="W19" s="651"/>
      <c r="X19" s="551"/>
      <c r="Y19" s="739"/>
      <c r="Z19" s="529">
        <f t="shared" si="7"/>
        <v>0</v>
      </c>
      <c r="AA19" s="556"/>
      <c r="AB19" s="740"/>
      <c r="AC19" s="132">
        <f t="shared" si="8"/>
        <v>2025.36</v>
      </c>
    </row>
    <row r="20" spans="1:29" x14ac:dyDescent="0.25">
      <c r="B20" s="425">
        <f t="shared" si="0"/>
        <v>0</v>
      </c>
      <c r="C20" s="651"/>
      <c r="D20" s="820"/>
      <c r="E20" s="821"/>
      <c r="F20" s="822">
        <f t="shared" si="1"/>
        <v>0</v>
      </c>
      <c r="G20" s="823"/>
      <c r="H20" s="825"/>
      <c r="I20" s="132">
        <f t="shared" si="2"/>
        <v>-9.9999999999340616E-3</v>
      </c>
      <c r="L20" s="425">
        <f t="shared" si="3"/>
        <v>28</v>
      </c>
      <c r="M20" s="651"/>
      <c r="N20" s="551"/>
      <c r="O20" s="739"/>
      <c r="P20" s="529">
        <f t="shared" si="4"/>
        <v>0</v>
      </c>
      <c r="Q20" s="556"/>
      <c r="R20" s="740"/>
      <c r="S20" s="132">
        <f t="shared" si="5"/>
        <v>811.01</v>
      </c>
      <c r="V20" s="425">
        <f t="shared" si="6"/>
        <v>70</v>
      </c>
      <c r="W20" s="651"/>
      <c r="X20" s="551"/>
      <c r="Y20" s="739"/>
      <c r="Z20" s="529">
        <f t="shared" si="7"/>
        <v>0</v>
      </c>
      <c r="AA20" s="556"/>
      <c r="AB20" s="740"/>
      <c r="AC20" s="132">
        <f t="shared" si="8"/>
        <v>2025.36</v>
      </c>
    </row>
    <row r="21" spans="1:29" x14ac:dyDescent="0.25">
      <c r="B21" s="425">
        <f t="shared" si="0"/>
        <v>0</v>
      </c>
      <c r="C21" s="651"/>
      <c r="D21" s="820"/>
      <c r="E21" s="821"/>
      <c r="F21" s="822">
        <f t="shared" si="1"/>
        <v>0</v>
      </c>
      <c r="G21" s="823"/>
      <c r="H21" s="826"/>
      <c r="I21" s="132">
        <f t="shared" si="2"/>
        <v>-9.9999999999340616E-3</v>
      </c>
      <c r="L21" s="425">
        <f t="shared" si="3"/>
        <v>28</v>
      </c>
      <c r="M21" s="651"/>
      <c r="N21" s="551"/>
      <c r="O21" s="739"/>
      <c r="P21" s="529">
        <f t="shared" si="4"/>
        <v>0</v>
      </c>
      <c r="Q21" s="556"/>
      <c r="R21" s="827"/>
      <c r="S21" s="132">
        <f t="shared" si="5"/>
        <v>811.01</v>
      </c>
      <c r="V21" s="425">
        <f t="shared" si="6"/>
        <v>70</v>
      </c>
      <c r="W21" s="651"/>
      <c r="X21" s="551"/>
      <c r="Y21" s="739"/>
      <c r="Z21" s="529">
        <f t="shared" si="7"/>
        <v>0</v>
      </c>
      <c r="AA21" s="556"/>
      <c r="AB21" s="827"/>
      <c r="AC21" s="132">
        <f t="shared" si="8"/>
        <v>2025.36</v>
      </c>
    </row>
    <row r="22" spans="1:29" x14ac:dyDescent="0.25">
      <c r="B22" s="425">
        <f t="shared" si="0"/>
        <v>0</v>
      </c>
      <c r="C22" s="651"/>
      <c r="D22" s="820"/>
      <c r="E22" s="821"/>
      <c r="F22" s="822">
        <f t="shared" si="1"/>
        <v>0</v>
      </c>
      <c r="G22" s="823"/>
      <c r="H22" s="826"/>
      <c r="I22" s="132">
        <f t="shared" si="2"/>
        <v>-9.9999999999340616E-3</v>
      </c>
      <c r="L22" s="425">
        <f t="shared" si="3"/>
        <v>28</v>
      </c>
      <c r="M22" s="651"/>
      <c r="N22" s="551"/>
      <c r="O22" s="739"/>
      <c r="P22" s="529">
        <f t="shared" si="4"/>
        <v>0</v>
      </c>
      <c r="Q22" s="556"/>
      <c r="R22" s="827"/>
      <c r="S22" s="132">
        <f t="shared" si="5"/>
        <v>811.01</v>
      </c>
      <c r="V22" s="425">
        <f t="shared" si="6"/>
        <v>70</v>
      </c>
      <c r="W22" s="651"/>
      <c r="X22" s="551"/>
      <c r="Y22" s="739"/>
      <c r="Z22" s="529">
        <f t="shared" si="7"/>
        <v>0</v>
      </c>
      <c r="AA22" s="556"/>
      <c r="AB22" s="827"/>
      <c r="AC22" s="132">
        <f t="shared" si="8"/>
        <v>2025.36</v>
      </c>
    </row>
    <row r="23" spans="1:29" x14ac:dyDescent="0.25">
      <c r="B23" s="425">
        <f t="shared" si="0"/>
        <v>0</v>
      </c>
      <c r="C23" s="651"/>
      <c r="D23" s="820"/>
      <c r="E23" s="821"/>
      <c r="F23" s="822">
        <f t="shared" si="1"/>
        <v>0</v>
      </c>
      <c r="G23" s="823"/>
      <c r="H23" s="826"/>
      <c r="I23" s="132">
        <f t="shared" si="2"/>
        <v>-9.9999999999340616E-3</v>
      </c>
      <c r="L23" s="425">
        <f t="shared" si="3"/>
        <v>28</v>
      </c>
      <c r="M23" s="651"/>
      <c r="N23" s="551"/>
      <c r="O23" s="739"/>
      <c r="P23" s="529">
        <f t="shared" si="4"/>
        <v>0</v>
      </c>
      <c r="Q23" s="556"/>
      <c r="R23" s="827"/>
      <c r="S23" s="132">
        <f t="shared" si="5"/>
        <v>811.01</v>
      </c>
      <c r="V23" s="425">
        <f t="shared" si="6"/>
        <v>70</v>
      </c>
      <c r="W23" s="651"/>
      <c r="X23" s="551"/>
      <c r="Y23" s="739"/>
      <c r="Z23" s="529">
        <f t="shared" si="7"/>
        <v>0</v>
      </c>
      <c r="AA23" s="556"/>
      <c r="AB23" s="827"/>
      <c r="AC23" s="132">
        <f t="shared" si="8"/>
        <v>2025.36</v>
      </c>
    </row>
    <row r="24" spans="1:29" x14ac:dyDescent="0.25">
      <c r="B24" s="425">
        <f t="shared" si="0"/>
        <v>0</v>
      </c>
      <c r="C24" s="651"/>
      <c r="D24" s="820"/>
      <c r="E24" s="821"/>
      <c r="F24" s="822">
        <f t="shared" si="1"/>
        <v>0</v>
      </c>
      <c r="G24" s="823"/>
      <c r="H24" s="826"/>
      <c r="I24" s="132">
        <f t="shared" si="2"/>
        <v>-9.9999999999340616E-3</v>
      </c>
      <c r="L24" s="425">
        <f t="shared" si="3"/>
        <v>28</v>
      </c>
      <c r="M24" s="651"/>
      <c r="N24" s="551"/>
      <c r="O24" s="739"/>
      <c r="P24" s="529">
        <f t="shared" si="4"/>
        <v>0</v>
      </c>
      <c r="Q24" s="556"/>
      <c r="R24" s="827"/>
      <c r="S24" s="132">
        <f t="shared" si="5"/>
        <v>811.01</v>
      </c>
      <c r="V24" s="425">
        <f t="shared" si="6"/>
        <v>70</v>
      </c>
      <c r="W24" s="651"/>
      <c r="X24" s="551"/>
      <c r="Y24" s="739"/>
      <c r="Z24" s="529">
        <f t="shared" si="7"/>
        <v>0</v>
      </c>
      <c r="AA24" s="556"/>
      <c r="AB24" s="827"/>
      <c r="AC24" s="132">
        <f t="shared" si="8"/>
        <v>2025.36</v>
      </c>
    </row>
    <row r="25" spans="1:29" x14ac:dyDescent="0.25">
      <c r="B25" s="425">
        <f t="shared" si="0"/>
        <v>0</v>
      </c>
      <c r="C25" s="651"/>
      <c r="D25" s="820"/>
      <c r="E25" s="821"/>
      <c r="F25" s="822">
        <f t="shared" si="1"/>
        <v>0</v>
      </c>
      <c r="G25" s="823"/>
      <c r="H25" s="826"/>
      <c r="I25" s="132">
        <f t="shared" si="2"/>
        <v>-9.9999999999340616E-3</v>
      </c>
      <c r="L25" s="425">
        <f t="shared" si="3"/>
        <v>28</v>
      </c>
      <c r="M25" s="651"/>
      <c r="N25" s="551"/>
      <c r="O25" s="739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1"/>
      <c r="X25" s="551"/>
      <c r="Y25" s="739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1"/>
      <c r="D26" s="551"/>
      <c r="E26" s="739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1"/>
      <c r="N26" s="551"/>
      <c r="O26" s="739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1"/>
      <c r="X26" s="551"/>
      <c r="Y26" s="739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1"/>
      <c r="D27" s="741"/>
      <c r="E27" s="739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1"/>
      <c r="N27" s="741"/>
      <c r="O27" s="739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1"/>
      <c r="X27" s="741"/>
      <c r="Y27" s="739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1"/>
      <c r="D28" s="741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1"/>
      <c r="N28" s="741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1"/>
      <c r="X28" s="741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1"/>
      <c r="D29" s="742"/>
      <c r="E29" s="118"/>
      <c r="F29" s="14"/>
      <c r="G29" s="31"/>
      <c r="H29" s="17"/>
      <c r="L29" s="426"/>
      <c r="M29" s="651"/>
      <c r="N29" s="742"/>
      <c r="O29" s="118"/>
      <c r="P29" s="14"/>
      <c r="Q29" s="31"/>
      <c r="R29" s="17"/>
      <c r="V29" s="426"/>
      <c r="W29" s="651"/>
      <c r="X29" s="742"/>
      <c r="Y29" s="118"/>
      <c r="Z29" s="14"/>
      <c r="AA29" s="31"/>
      <c r="AB29" s="17"/>
    </row>
    <row r="30" spans="1:29" x14ac:dyDescent="0.25">
      <c r="B30" s="426"/>
      <c r="C30" s="651"/>
      <c r="D30" s="552"/>
      <c r="E30" s="118"/>
      <c r="F30" s="6"/>
      <c r="L30" s="426"/>
      <c r="M30" s="651"/>
      <c r="N30" s="552"/>
      <c r="O30" s="118"/>
      <c r="P30" s="6"/>
      <c r="V30" s="426"/>
      <c r="W30" s="651"/>
      <c r="X30" s="552"/>
      <c r="Y30" s="118"/>
      <c r="Z30" s="6"/>
    </row>
    <row r="31" spans="1:29" ht="15.75" thickBot="1" x14ac:dyDescent="0.3">
      <c r="B31" s="505"/>
      <c r="C31" s="652"/>
      <c r="D31" s="648"/>
      <c r="E31" s="4"/>
      <c r="F31" s="76"/>
      <c r="G31" s="24"/>
      <c r="L31" s="505"/>
      <c r="M31" s="652"/>
      <c r="N31" s="648"/>
      <c r="O31" s="4"/>
      <c r="P31" s="76"/>
      <c r="Q31" s="24"/>
      <c r="V31" s="505"/>
      <c r="W31" s="652"/>
      <c r="X31" s="648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06" t="s">
        <v>21</v>
      </c>
      <c r="Y33" s="907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08" t="s">
        <v>4</v>
      </c>
      <c r="Y34" s="909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 t="s">
        <v>267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6" t="s">
        <v>163</v>
      </c>
      <c r="C4" s="102"/>
      <c r="D4" s="135"/>
      <c r="E4" s="86"/>
      <c r="F4" s="73"/>
      <c r="G4" s="239"/>
    </row>
    <row r="5" spans="1:9" x14ac:dyDescent="0.25">
      <c r="A5" s="1106" t="s">
        <v>99</v>
      </c>
      <c r="B5" s="1177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0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239</v>
      </c>
      <c r="H8" s="71">
        <v>57</v>
      </c>
      <c r="I8" s="98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2">
        <v>13.61</v>
      </c>
      <c r="E9" s="618">
        <v>44840</v>
      </c>
      <c r="F9" s="812">
        <f t="shared" si="0"/>
        <v>13.61</v>
      </c>
      <c r="G9" s="828" t="s">
        <v>428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2">
        <v>27.22</v>
      </c>
      <c r="E10" s="618">
        <v>44846</v>
      </c>
      <c r="F10" s="812">
        <f t="shared" si="0"/>
        <v>27.22</v>
      </c>
      <c r="G10" s="829" t="s">
        <v>473</v>
      </c>
      <c r="H10" s="830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2"/>
      <c r="E11" s="618"/>
      <c r="F11" s="812">
        <f t="shared" si="0"/>
        <v>0</v>
      </c>
      <c r="G11" s="829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2"/>
      <c r="E12" s="618"/>
      <c r="F12" s="812">
        <f t="shared" si="0"/>
        <v>0</v>
      </c>
      <c r="G12" s="829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2"/>
      <c r="E13" s="618"/>
      <c r="F13" s="812">
        <f t="shared" si="0"/>
        <v>0</v>
      </c>
      <c r="G13" s="829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2"/>
      <c r="E14" s="618"/>
      <c r="F14" s="812">
        <f t="shared" si="0"/>
        <v>0</v>
      </c>
      <c r="G14" s="829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2"/>
      <c r="E15" s="618"/>
      <c r="F15" s="812">
        <f t="shared" si="0"/>
        <v>0</v>
      </c>
      <c r="G15" s="829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2"/>
      <c r="E16" s="618"/>
      <c r="F16" s="812">
        <f t="shared" si="0"/>
        <v>0</v>
      </c>
      <c r="G16" s="829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8"/>
      <c r="F17" s="812">
        <f t="shared" si="0"/>
        <v>0</v>
      </c>
      <c r="G17" s="829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2"/>
      <c r="E18" s="618"/>
      <c r="F18" s="812">
        <f t="shared" si="0"/>
        <v>0</v>
      </c>
      <c r="G18" s="829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2"/>
      <c r="E19" s="618"/>
      <c r="F19" s="812">
        <f t="shared" si="0"/>
        <v>0</v>
      </c>
      <c r="G19" s="829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2"/>
      <c r="E20" s="618"/>
      <c r="F20" s="812">
        <f t="shared" si="0"/>
        <v>0</v>
      </c>
      <c r="G20" s="829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2"/>
      <c r="E21" s="618"/>
      <c r="F21" s="812">
        <f t="shared" si="0"/>
        <v>0</v>
      </c>
      <c r="G21" s="829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2"/>
      <c r="E22" s="618"/>
      <c r="F22" s="812">
        <f t="shared" si="0"/>
        <v>0</v>
      </c>
      <c r="G22" s="829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2"/>
      <c r="E23" s="618"/>
      <c r="F23" s="812">
        <f t="shared" si="0"/>
        <v>0</v>
      </c>
      <c r="G23" s="829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2"/>
      <c r="E24" s="618"/>
      <c r="F24" s="812">
        <f t="shared" si="0"/>
        <v>0</v>
      </c>
      <c r="G24" s="828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2"/>
      <c r="E25" s="618"/>
      <c r="F25" s="812">
        <f t="shared" si="0"/>
        <v>0</v>
      </c>
      <c r="G25" s="828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61"/>
      <c r="F30" s="6"/>
    </row>
    <row r="31" spans="1:9" ht="15.75" thickBot="1" x14ac:dyDescent="0.3">
      <c r="B31" s="74"/>
      <c r="C31" s="87"/>
      <c r="D31" s="76"/>
      <c r="E31" s="962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85</v>
      </c>
      <c r="C4" s="102"/>
      <c r="D4" s="135"/>
      <c r="E4" s="86"/>
      <c r="F4" s="73"/>
      <c r="G4" s="239"/>
    </row>
    <row r="5" spans="1:9" x14ac:dyDescent="0.25">
      <c r="A5" s="75"/>
      <c r="B5" s="1179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6" t="s">
        <v>103</v>
      </c>
      <c r="C4" s="102"/>
      <c r="D4" s="135"/>
      <c r="E4" s="86"/>
      <c r="F4" s="73"/>
      <c r="G4" s="239"/>
    </row>
    <row r="5" spans="1:9" x14ac:dyDescent="0.25">
      <c r="A5" s="1100"/>
      <c r="B5" s="117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0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0" t="s">
        <v>104</v>
      </c>
      <c r="C4" s="102"/>
      <c r="D4" s="135"/>
      <c r="E4" s="86"/>
      <c r="F4" s="73"/>
      <c r="G4" s="239"/>
    </row>
    <row r="5" spans="1:9" x14ac:dyDescent="0.25">
      <c r="A5" s="1100"/>
      <c r="B5" s="118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0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7"/>
      <c r="E9" s="646"/>
      <c r="F9" s="647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7"/>
      <c r="E10" s="646"/>
      <c r="F10" s="647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7"/>
      <c r="E11" s="646"/>
      <c r="F11" s="647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7"/>
      <c r="E12" s="646"/>
      <c r="F12" s="647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2"/>
      <c r="E13" s="666"/>
      <c r="F13" s="672">
        <f t="shared" si="0"/>
        <v>0</v>
      </c>
      <c r="G13" s="680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2"/>
      <c r="E14" s="666"/>
      <c r="F14" s="672">
        <f t="shared" si="0"/>
        <v>0</v>
      </c>
      <c r="G14" s="680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2"/>
      <c r="E15" s="666"/>
      <c r="F15" s="672">
        <f t="shared" si="0"/>
        <v>0</v>
      </c>
      <c r="G15" s="680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2"/>
      <c r="E16" s="666"/>
      <c r="F16" s="672">
        <f t="shared" si="0"/>
        <v>0</v>
      </c>
      <c r="G16" s="680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3"/>
      <c r="E17" s="666"/>
      <c r="F17" s="672">
        <f t="shared" si="0"/>
        <v>0</v>
      </c>
      <c r="G17" s="680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2"/>
      <c r="E18" s="666"/>
      <c r="F18" s="672">
        <f t="shared" si="0"/>
        <v>0</v>
      </c>
      <c r="G18" s="680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2"/>
      <c r="E19" s="666"/>
      <c r="F19" s="672">
        <f t="shared" si="0"/>
        <v>0</v>
      </c>
      <c r="G19" s="680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2"/>
      <c r="E20" s="666"/>
      <c r="F20" s="672">
        <f t="shared" si="0"/>
        <v>0</v>
      </c>
      <c r="G20" s="680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2"/>
      <c r="E21" s="666"/>
      <c r="F21" s="672">
        <f t="shared" si="0"/>
        <v>0</v>
      </c>
      <c r="G21" s="680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1"/>
      <c r="E22" s="682"/>
      <c r="F22" s="672">
        <f t="shared" si="0"/>
        <v>0</v>
      </c>
      <c r="G22" s="680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96"/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97"/>
      <c r="C5" s="400"/>
      <c r="D5" s="134"/>
      <c r="E5" s="209"/>
      <c r="F5" s="62"/>
      <c r="G5" s="5"/>
    </row>
    <row r="6" spans="1:9" ht="20.25" x14ac:dyDescent="0.3">
      <c r="A6" s="605"/>
      <c r="B6" s="109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4" t="s">
        <v>11</v>
      </c>
      <c r="D83" s="10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2" t="s">
        <v>261</v>
      </c>
      <c r="B1" s="1092"/>
      <c r="C1" s="1092"/>
      <c r="D1" s="1092"/>
      <c r="E1" s="1092"/>
      <c r="F1" s="1092"/>
      <c r="G1" s="1092"/>
      <c r="H1" s="11">
        <v>1</v>
      </c>
      <c r="K1" s="1096" t="s">
        <v>260</v>
      </c>
      <c r="L1" s="1096"/>
      <c r="M1" s="1096"/>
      <c r="N1" s="1096"/>
      <c r="O1" s="1096"/>
      <c r="P1" s="1096"/>
      <c r="Q1" s="10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098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98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98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098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578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3">
        <v>119.52</v>
      </c>
      <c r="E16" s="664">
        <v>44807</v>
      </c>
      <c r="F16" s="663">
        <f t="shared" si="5"/>
        <v>119.52</v>
      </c>
      <c r="G16" s="665" t="s">
        <v>179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3">
        <v>60.06</v>
      </c>
      <c r="E17" s="664">
        <v>44807</v>
      </c>
      <c r="F17" s="663">
        <f t="shared" si="5"/>
        <v>60.06</v>
      </c>
      <c r="G17" s="665" t="s">
        <v>180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3">
        <v>97.67</v>
      </c>
      <c r="E18" s="664">
        <v>44817</v>
      </c>
      <c r="F18" s="663">
        <f t="shared" si="5"/>
        <v>97.67</v>
      </c>
      <c r="G18" s="665" t="s">
        <v>201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3">
        <v>12.3</v>
      </c>
      <c r="E19" s="664">
        <v>44817</v>
      </c>
      <c r="F19" s="663">
        <f t="shared" si="5"/>
        <v>12.3</v>
      </c>
      <c r="G19" s="665" t="s">
        <v>202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3">
        <v>11.81</v>
      </c>
      <c r="E20" s="664">
        <v>44820</v>
      </c>
      <c r="F20" s="663">
        <f t="shared" si="5"/>
        <v>11.81</v>
      </c>
      <c r="G20" s="665" t="s">
        <v>214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3">
        <v>60.29</v>
      </c>
      <c r="E21" s="664">
        <v>44821</v>
      </c>
      <c r="F21" s="663">
        <f t="shared" si="5"/>
        <v>60.29</v>
      </c>
      <c r="G21" s="665" t="s">
        <v>220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3">
        <v>119.71</v>
      </c>
      <c r="E22" s="664">
        <v>44823</v>
      </c>
      <c r="F22" s="663">
        <f t="shared" si="5"/>
        <v>119.71</v>
      </c>
      <c r="G22" s="665" t="s">
        <v>224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3">
        <v>12.16</v>
      </c>
      <c r="E23" s="664">
        <v>44827</v>
      </c>
      <c r="F23" s="663">
        <f t="shared" si="5"/>
        <v>12.16</v>
      </c>
      <c r="G23" s="665" t="s">
        <v>235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798">
        <v>44837</v>
      </c>
      <c r="F24" s="549">
        <f t="shared" si="5"/>
        <v>12.18</v>
      </c>
      <c r="G24" s="331" t="s">
        <v>411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798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798">
        <v>44839</v>
      </c>
      <c r="F26" s="549">
        <f t="shared" si="5"/>
        <v>11.51</v>
      </c>
      <c r="G26" s="331" t="s">
        <v>425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798">
        <v>44840</v>
      </c>
      <c r="F27" s="549">
        <f t="shared" si="5"/>
        <v>58.25</v>
      </c>
      <c r="G27" s="331" t="s">
        <v>424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798">
        <v>44844</v>
      </c>
      <c r="F28" s="549">
        <f t="shared" si="5"/>
        <v>116.75</v>
      </c>
      <c r="G28" s="331" t="s">
        <v>461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798">
        <v>44845</v>
      </c>
      <c r="F29" s="549">
        <f t="shared" si="5"/>
        <v>23.18</v>
      </c>
      <c r="G29" s="331" t="s">
        <v>463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798">
        <v>44851</v>
      </c>
      <c r="F30" s="549">
        <f t="shared" si="5"/>
        <v>82.47</v>
      </c>
      <c r="G30" s="331" t="s">
        <v>506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798">
        <v>44851</v>
      </c>
      <c r="F31" s="549">
        <f t="shared" si="5"/>
        <v>92.97</v>
      </c>
      <c r="G31" s="331" t="s">
        <v>507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798">
        <v>44859</v>
      </c>
      <c r="F32" s="549">
        <f t="shared" si="5"/>
        <v>11.43</v>
      </c>
      <c r="G32" s="331" t="s">
        <v>551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798">
        <v>44860</v>
      </c>
      <c r="F33" s="549">
        <f t="shared" si="5"/>
        <v>92.87</v>
      </c>
      <c r="G33" s="331" t="s">
        <v>558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798">
        <v>44861</v>
      </c>
      <c r="F34" s="549">
        <f t="shared" si="5"/>
        <v>57.77</v>
      </c>
      <c r="G34" s="331" t="s">
        <v>569</v>
      </c>
      <c r="H34" s="332">
        <v>98</v>
      </c>
      <c r="I34" s="966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798"/>
      <c r="F35" s="965">
        <f t="shared" si="5"/>
        <v>0</v>
      </c>
      <c r="G35" s="949"/>
      <c r="H35" s="950"/>
      <c r="I35" s="966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798"/>
      <c r="F36" s="965">
        <f t="shared" si="5"/>
        <v>0</v>
      </c>
      <c r="G36" s="949"/>
      <c r="H36" s="950"/>
      <c r="I36" s="966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798"/>
      <c r="F37" s="965">
        <v>11.81</v>
      </c>
      <c r="G37" s="949"/>
      <c r="H37" s="950"/>
      <c r="I37" s="966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798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798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798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798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798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94" t="s">
        <v>11</v>
      </c>
      <c r="D53" s="1095"/>
      <c r="E53" s="57">
        <f>E5+E6-F48+E7</f>
        <v>-0.24999999999977263</v>
      </c>
      <c r="F53" s="73"/>
      <c r="M53" s="1094" t="s">
        <v>11</v>
      </c>
      <c r="N53" s="1095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2" t="s">
        <v>262</v>
      </c>
      <c r="B1" s="1092"/>
      <c r="C1" s="1092"/>
      <c r="D1" s="1092"/>
      <c r="E1" s="1092"/>
      <c r="F1" s="1092"/>
      <c r="G1" s="1092"/>
      <c r="H1" s="11">
        <v>1</v>
      </c>
      <c r="K1" s="1096" t="s">
        <v>319</v>
      </c>
      <c r="L1" s="1096"/>
      <c r="M1" s="1096"/>
      <c r="N1" s="1096"/>
      <c r="O1" s="1096"/>
      <c r="P1" s="1096"/>
      <c r="Q1" s="10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99" t="s">
        <v>73</v>
      </c>
      <c r="C5" s="619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99" t="s">
        <v>73</v>
      </c>
      <c r="M5" s="619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99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099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242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549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798">
        <v>44837</v>
      </c>
      <c r="F10" s="965">
        <f>D10</f>
        <v>11.68</v>
      </c>
      <c r="G10" s="949" t="s">
        <v>412</v>
      </c>
      <c r="H10" s="950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580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798">
        <v>44844</v>
      </c>
      <c r="F11" s="549">
        <f>D11</f>
        <v>67.7</v>
      </c>
      <c r="G11" s="331" t="s">
        <v>461</v>
      </c>
      <c r="H11" s="332">
        <v>90</v>
      </c>
      <c r="I11" s="966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798"/>
      <c r="F12" s="965">
        <f t="shared" si="0"/>
        <v>0</v>
      </c>
      <c r="G12" s="949"/>
      <c r="H12" s="950"/>
      <c r="I12" s="966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798"/>
      <c r="F13" s="965">
        <f t="shared" si="0"/>
        <v>0</v>
      </c>
      <c r="G13" s="949"/>
      <c r="H13" s="950"/>
      <c r="I13" s="966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798"/>
      <c r="F14" s="965">
        <v>0</v>
      </c>
      <c r="G14" s="949"/>
      <c r="H14" s="950"/>
      <c r="I14" s="966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798"/>
      <c r="F15" s="965">
        <f t="shared" si="0"/>
        <v>0</v>
      </c>
      <c r="G15" s="949"/>
      <c r="H15" s="950"/>
      <c r="I15" s="966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798"/>
      <c r="F16" s="965">
        <f t="shared" si="0"/>
        <v>0</v>
      </c>
      <c r="G16" s="949"/>
      <c r="H16" s="950"/>
      <c r="I16" s="966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798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798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798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798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94" t="s">
        <v>11</v>
      </c>
      <c r="D47" s="1095"/>
      <c r="E47" s="57">
        <f>E5+E6-F42+E7</f>
        <v>-70.550000000000011</v>
      </c>
      <c r="F47" s="73"/>
      <c r="M47" s="1094" t="s">
        <v>11</v>
      </c>
      <c r="N47" s="1095"/>
      <c r="O47" s="57">
        <f>O5+O6-P42+O7</f>
        <v>338.7</v>
      </c>
      <c r="P47" s="73"/>
    </row>
    <row r="50" spans="1:17" x14ac:dyDescent="0.25">
      <c r="A50" s="227"/>
      <c r="B50" s="1100"/>
      <c r="C50" s="493"/>
      <c r="D50" s="233"/>
      <c r="E50" s="78"/>
      <c r="F50" s="62"/>
      <c r="G50" s="5"/>
      <c r="K50" s="227"/>
      <c r="L50" s="1100"/>
      <c r="M50" s="493"/>
      <c r="N50" s="233"/>
      <c r="O50" s="78"/>
      <c r="P50" s="62"/>
      <c r="Q50" s="5"/>
    </row>
    <row r="51" spans="1:17" x14ac:dyDescent="0.25">
      <c r="A51" s="227"/>
      <c r="B51" s="1100"/>
      <c r="C51" s="400"/>
      <c r="D51" s="134"/>
      <c r="E51" s="209"/>
      <c r="F51" s="62"/>
      <c r="G51" s="47"/>
      <c r="K51" s="227"/>
      <c r="L51" s="1100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2" t="s">
        <v>263</v>
      </c>
      <c r="B1" s="1092"/>
      <c r="C1" s="1092"/>
      <c r="D1" s="1092"/>
      <c r="E1" s="1092"/>
      <c r="F1" s="1092"/>
      <c r="G1" s="1092"/>
      <c r="H1" s="11">
        <v>1</v>
      </c>
      <c r="K1" s="1096" t="s">
        <v>260</v>
      </c>
      <c r="L1" s="1096"/>
      <c r="M1" s="1096"/>
      <c r="N1" s="1096"/>
      <c r="O1" s="1096"/>
      <c r="P1" s="1096"/>
      <c r="Q1" s="10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097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97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97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097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196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530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201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549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202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551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215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569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223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570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224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578</v>
      </c>
      <c r="R14" s="71">
        <v>101</v>
      </c>
      <c r="S14" s="105">
        <f t="shared" si="6"/>
        <v>665.04</v>
      </c>
    </row>
    <row r="15" spans="1:19" ht="15.75" customHeight="1" x14ac:dyDescent="0.25">
      <c r="A15" s="1101" t="s">
        <v>529</v>
      </c>
      <c r="B15" s="183">
        <f t="shared" si="3"/>
        <v>112</v>
      </c>
      <c r="C15" s="763">
        <v>10</v>
      </c>
      <c r="D15" s="653">
        <v>112.97</v>
      </c>
      <c r="E15" s="654">
        <v>44826</v>
      </c>
      <c r="F15" s="653">
        <f t="shared" si="0"/>
        <v>112.97</v>
      </c>
      <c r="G15" s="655" t="s">
        <v>234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0"/>
      <c r="N15" s="767"/>
      <c r="O15" s="799"/>
      <c r="P15" s="767">
        <f t="shared" si="2"/>
        <v>0</v>
      </c>
      <c r="Q15" s="765"/>
      <c r="R15" s="71"/>
      <c r="S15" s="105">
        <f t="shared" si="6"/>
        <v>665.04</v>
      </c>
    </row>
    <row r="16" spans="1:19" ht="15.75" thickBot="1" x14ac:dyDescent="0.3">
      <c r="A16" s="1102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235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236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250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255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259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798">
        <v>44837</v>
      </c>
      <c r="F21" s="549">
        <f t="shared" si="0"/>
        <v>12.49</v>
      </c>
      <c r="G21" s="331" t="s">
        <v>412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798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798">
        <v>44838</v>
      </c>
      <c r="F22" s="549">
        <f t="shared" si="0"/>
        <v>124.17</v>
      </c>
      <c r="G22" s="331" t="s">
        <v>421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798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798">
        <v>44840</v>
      </c>
      <c r="F23" s="549">
        <f t="shared" si="0"/>
        <v>125.51</v>
      </c>
      <c r="G23" s="331" t="s">
        <v>430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798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798">
        <v>44844</v>
      </c>
      <c r="F24" s="549">
        <f t="shared" si="0"/>
        <v>116.67</v>
      </c>
      <c r="G24" s="331" t="s">
        <v>446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798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798">
        <v>44844</v>
      </c>
      <c r="F25" s="549">
        <f t="shared" si="0"/>
        <v>119.55</v>
      </c>
      <c r="G25" s="331" t="s">
        <v>461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798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798">
        <v>44846</v>
      </c>
      <c r="F26" s="549">
        <f t="shared" si="0"/>
        <v>116.47</v>
      </c>
      <c r="G26" s="331" t="s">
        <v>474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798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798">
        <v>44851</v>
      </c>
      <c r="F27" s="549">
        <f t="shared" si="0"/>
        <v>60.77</v>
      </c>
      <c r="G27" s="331" t="s">
        <v>506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798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798">
        <v>44854</v>
      </c>
      <c r="F28" s="549">
        <f t="shared" si="0"/>
        <v>11.51</v>
      </c>
      <c r="G28" s="331" t="s">
        <v>524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798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798">
        <v>44854</v>
      </c>
      <c r="F29" s="549">
        <f t="shared" si="0"/>
        <v>146.65</v>
      </c>
      <c r="G29" s="331" t="s">
        <v>528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798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798"/>
      <c r="F30" s="965">
        <f t="shared" si="0"/>
        <v>0</v>
      </c>
      <c r="G30" s="949"/>
      <c r="H30" s="950"/>
      <c r="I30" s="966">
        <f t="shared" si="4"/>
        <v>24.350000000000222</v>
      </c>
      <c r="K30" s="122"/>
      <c r="L30" s="183">
        <f t="shared" si="5"/>
        <v>55</v>
      </c>
      <c r="M30" s="15"/>
      <c r="N30" s="549"/>
      <c r="O30" s="798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798"/>
      <c r="F31" s="965">
        <f t="shared" si="0"/>
        <v>0</v>
      </c>
      <c r="G31" s="949"/>
      <c r="H31" s="950"/>
      <c r="I31" s="966">
        <f t="shared" si="4"/>
        <v>24.350000000000222</v>
      </c>
      <c r="K31" s="122"/>
      <c r="L31" s="183">
        <f t="shared" si="5"/>
        <v>55</v>
      </c>
      <c r="M31" s="15"/>
      <c r="N31" s="549"/>
      <c r="O31" s="798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798"/>
      <c r="F32" s="965">
        <v>24.35</v>
      </c>
      <c r="G32" s="949"/>
      <c r="H32" s="950"/>
      <c r="I32" s="966">
        <f t="shared" si="4"/>
        <v>2.2026824808563106E-13</v>
      </c>
      <c r="K32" s="122"/>
      <c r="L32" s="183">
        <f t="shared" si="5"/>
        <v>55</v>
      </c>
      <c r="M32" s="15"/>
      <c r="N32" s="549"/>
      <c r="O32" s="798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798"/>
      <c r="F33" s="965">
        <f t="shared" si="0"/>
        <v>0</v>
      </c>
      <c r="G33" s="949"/>
      <c r="H33" s="950"/>
      <c r="I33" s="966">
        <f t="shared" si="4"/>
        <v>2.2026824808563106E-13</v>
      </c>
      <c r="K33" s="122"/>
      <c r="L33" s="183">
        <f t="shared" si="5"/>
        <v>55</v>
      </c>
      <c r="M33" s="15"/>
      <c r="N33" s="549"/>
      <c r="O33" s="798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798"/>
      <c r="F34" s="965">
        <f t="shared" si="0"/>
        <v>0</v>
      </c>
      <c r="G34" s="949"/>
      <c r="H34" s="950"/>
      <c r="I34" s="966">
        <f t="shared" si="4"/>
        <v>2.2026824808563106E-13</v>
      </c>
      <c r="K34" s="122"/>
      <c r="L34" s="183">
        <f t="shared" si="5"/>
        <v>55</v>
      </c>
      <c r="M34" s="15"/>
      <c r="N34" s="549"/>
      <c r="O34" s="798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798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798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798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798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798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798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798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798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798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798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798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798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798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798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798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798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798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798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798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798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798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798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798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798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798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798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94" t="s">
        <v>11</v>
      </c>
      <c r="D83" s="1095"/>
      <c r="E83" s="57">
        <f>E5+E6-F78+E7</f>
        <v>-82.529999999999973</v>
      </c>
      <c r="F83" s="73"/>
      <c r="M83" s="1094" t="s">
        <v>11</v>
      </c>
      <c r="N83" s="1095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92" t="s">
        <v>262</v>
      </c>
      <c r="B1" s="1092"/>
      <c r="C1" s="1092"/>
      <c r="D1" s="1092"/>
      <c r="E1" s="1092"/>
      <c r="F1" s="1092"/>
      <c r="G1" s="1092"/>
      <c r="H1" s="11">
        <v>1</v>
      </c>
      <c r="L1" s="1096" t="s">
        <v>260</v>
      </c>
      <c r="M1" s="1096"/>
      <c r="N1" s="1096"/>
      <c r="O1" s="1096"/>
      <c r="P1" s="1096"/>
      <c r="Q1" s="1096"/>
      <c r="R1" s="109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103" t="s">
        <v>74</v>
      </c>
      <c r="C4" s="245"/>
      <c r="D4" s="134"/>
      <c r="E4" s="487"/>
      <c r="F4" s="73"/>
      <c r="G4" s="155"/>
      <c r="H4" s="155"/>
      <c r="L4" s="458"/>
      <c r="M4" s="1103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105" t="s">
        <v>167</v>
      </c>
      <c r="B5" s="1104"/>
      <c r="C5" s="245"/>
      <c r="D5" s="134">
        <v>44826</v>
      </c>
      <c r="E5" s="487">
        <v>15231.71</v>
      </c>
      <c r="F5" s="73">
        <v>490</v>
      </c>
      <c r="G5" s="5"/>
      <c r="L5" s="1105" t="s">
        <v>99</v>
      </c>
      <c r="M5" s="1104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105"/>
      <c r="B6" s="1104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105"/>
      <c r="M6" s="1104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48"/>
      <c r="B7" s="1104"/>
      <c r="C7" s="235"/>
      <c r="D7" s="233"/>
      <c r="E7" s="487"/>
      <c r="F7" s="73"/>
      <c r="L7" s="931"/>
      <c r="M7" s="1104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87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236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580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237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86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586</v>
      </c>
      <c r="S11" s="71">
        <v>137</v>
      </c>
      <c r="T11" s="983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238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242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247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250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250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253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84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256</v>
      </c>
      <c r="H18" s="71">
        <v>137</v>
      </c>
      <c r="I18" s="983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798">
        <v>44837</v>
      </c>
      <c r="F19" s="549">
        <f t="shared" ref="F19:F57" si="9">D19</f>
        <v>32.659999999999997</v>
      </c>
      <c r="G19" s="331" t="s">
        <v>411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798">
        <v>44837</v>
      </c>
      <c r="F20" s="549">
        <f t="shared" si="9"/>
        <v>99.12</v>
      </c>
      <c r="G20" s="331" t="s">
        <v>412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798">
        <v>44837</v>
      </c>
      <c r="F21" s="549">
        <f t="shared" si="9"/>
        <v>927.05</v>
      </c>
      <c r="G21" s="331" t="s">
        <v>413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798">
        <v>44837</v>
      </c>
      <c r="F22" s="549">
        <f t="shared" si="9"/>
        <v>155.63</v>
      </c>
      <c r="G22" s="331" t="s">
        <v>413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798">
        <v>44838</v>
      </c>
      <c r="F23" s="549">
        <f t="shared" si="9"/>
        <v>156.62</v>
      </c>
      <c r="G23" s="331" t="s">
        <v>421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798">
        <v>44840</v>
      </c>
      <c r="F24" s="549">
        <f t="shared" si="9"/>
        <v>153.32</v>
      </c>
      <c r="G24" s="331" t="s">
        <v>424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798">
        <v>44840</v>
      </c>
      <c r="F25" s="549">
        <f t="shared" si="9"/>
        <v>928.79</v>
      </c>
      <c r="G25" s="331" t="s">
        <v>430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798">
        <v>44841</v>
      </c>
      <c r="F26" s="549">
        <f t="shared" si="9"/>
        <v>291.93</v>
      </c>
      <c r="G26" s="331" t="s">
        <v>433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798">
        <v>44841</v>
      </c>
      <c r="F27" s="549">
        <f t="shared" si="9"/>
        <v>57.38</v>
      </c>
      <c r="G27" s="331" t="s">
        <v>442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798">
        <v>44844</v>
      </c>
      <c r="F28" s="549">
        <f t="shared" si="9"/>
        <v>916.35</v>
      </c>
      <c r="G28" s="331" t="s">
        <v>461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798">
        <v>44845</v>
      </c>
      <c r="F29" s="549">
        <f t="shared" si="9"/>
        <v>142.01</v>
      </c>
      <c r="G29" s="331" t="s">
        <v>466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798">
        <v>44845</v>
      </c>
      <c r="F30" s="549">
        <f t="shared" si="9"/>
        <v>30.71</v>
      </c>
      <c r="G30" s="331" t="s">
        <v>435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798">
        <v>44846</v>
      </c>
      <c r="F31" s="549">
        <f t="shared" si="9"/>
        <v>289.92</v>
      </c>
      <c r="G31" s="331" t="s">
        <v>474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798">
        <v>44846</v>
      </c>
      <c r="F32" s="549">
        <f t="shared" si="9"/>
        <v>977.71</v>
      </c>
      <c r="G32" s="331" t="s">
        <v>476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798">
        <v>44847</v>
      </c>
      <c r="F33" s="549">
        <f t="shared" si="9"/>
        <v>27.85</v>
      </c>
      <c r="G33" s="331" t="s">
        <v>478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798">
        <v>44848</v>
      </c>
      <c r="F34" s="549">
        <f t="shared" si="9"/>
        <v>156.31</v>
      </c>
      <c r="G34" s="331" t="s">
        <v>493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798">
        <v>44848</v>
      </c>
      <c r="F35" s="549">
        <f t="shared" si="9"/>
        <v>27.4</v>
      </c>
      <c r="G35" s="331" t="s">
        <v>493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798">
        <v>44849</v>
      </c>
      <c r="F36" s="549">
        <f t="shared" si="9"/>
        <v>30.39</v>
      </c>
      <c r="G36" s="331" t="s">
        <v>498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798">
        <v>44849</v>
      </c>
      <c r="F37" s="549">
        <f t="shared" si="9"/>
        <v>964.07</v>
      </c>
      <c r="G37" s="331" t="s">
        <v>505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798">
        <v>44851</v>
      </c>
      <c r="F38" s="549">
        <f t="shared" si="9"/>
        <v>299.69</v>
      </c>
      <c r="G38" s="331" t="s">
        <v>506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798">
        <v>44852</v>
      </c>
      <c r="F39" s="549">
        <f t="shared" si="9"/>
        <v>939.13</v>
      </c>
      <c r="G39" s="331" t="s">
        <v>511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798">
        <v>44853</v>
      </c>
      <c r="F40" s="549">
        <f t="shared" si="9"/>
        <v>22.82</v>
      </c>
      <c r="G40" s="331" t="s">
        <v>515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798">
        <v>44853</v>
      </c>
      <c r="F41" s="549">
        <f t="shared" si="9"/>
        <v>286.45</v>
      </c>
      <c r="G41" s="331" t="s">
        <v>516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798">
        <v>44855</v>
      </c>
      <c r="F42" s="549">
        <f t="shared" si="9"/>
        <v>29.48</v>
      </c>
      <c r="G42" s="331" t="s">
        <v>535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798">
        <v>44855</v>
      </c>
      <c r="F43" s="549">
        <f t="shared" si="9"/>
        <v>153.26</v>
      </c>
      <c r="G43" s="331" t="s">
        <v>535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798">
        <v>44856</v>
      </c>
      <c r="F44" s="549">
        <f t="shared" si="9"/>
        <v>31.84</v>
      </c>
      <c r="G44" s="331" t="s">
        <v>539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798">
        <v>44856</v>
      </c>
      <c r="F45" s="549">
        <f t="shared" si="9"/>
        <v>932.98</v>
      </c>
      <c r="G45" s="331" t="s">
        <v>541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798">
        <v>44858</v>
      </c>
      <c r="F46" s="549">
        <f t="shared" si="9"/>
        <v>996.94</v>
      </c>
      <c r="G46" s="331" t="s">
        <v>549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798">
        <v>44859</v>
      </c>
      <c r="F47" s="549">
        <f t="shared" si="9"/>
        <v>156.21</v>
      </c>
      <c r="G47" s="331" t="s">
        <v>550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798">
        <v>44860</v>
      </c>
      <c r="F48" s="549">
        <f t="shared" si="9"/>
        <v>313.26</v>
      </c>
      <c r="G48" s="331" t="s">
        <v>556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798">
        <v>44860</v>
      </c>
      <c r="F49" s="549">
        <f t="shared" si="9"/>
        <v>31.71</v>
      </c>
      <c r="G49" s="331" t="s">
        <v>560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798">
        <v>44860</v>
      </c>
      <c r="F50" s="549">
        <f t="shared" si="9"/>
        <v>904.72</v>
      </c>
      <c r="G50" s="331" t="s">
        <v>566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798">
        <v>44861</v>
      </c>
      <c r="F51" s="549">
        <f t="shared" si="9"/>
        <v>36.700000000000003</v>
      </c>
      <c r="G51" s="331" t="s">
        <v>571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798">
        <v>44862</v>
      </c>
      <c r="F52" s="549">
        <f t="shared" si="9"/>
        <v>145.65</v>
      </c>
      <c r="G52" s="331" t="s">
        <v>572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798"/>
      <c r="F53" s="965">
        <f t="shared" si="9"/>
        <v>0</v>
      </c>
      <c r="G53" s="949"/>
      <c r="H53" s="950"/>
      <c r="I53" s="966">
        <f t="shared" si="6"/>
        <v>439.0600000000012</v>
      </c>
      <c r="J53" s="972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798"/>
      <c r="F54" s="965">
        <f t="shared" si="9"/>
        <v>0</v>
      </c>
      <c r="G54" s="949"/>
      <c r="H54" s="950"/>
      <c r="I54" s="966">
        <f t="shared" si="6"/>
        <v>439.0600000000012</v>
      </c>
      <c r="J54" s="972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798"/>
      <c r="F55" s="965">
        <v>439.06</v>
      </c>
      <c r="G55" s="949"/>
      <c r="H55" s="950"/>
      <c r="I55" s="966">
        <f t="shared" si="6"/>
        <v>1.1937117960769683E-12</v>
      </c>
      <c r="J55" s="972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798"/>
      <c r="F56" s="965">
        <f t="shared" si="9"/>
        <v>0</v>
      </c>
      <c r="G56" s="949"/>
      <c r="H56" s="950"/>
      <c r="I56" s="966">
        <f t="shared" si="6"/>
        <v>1.1937117960769683E-12</v>
      </c>
      <c r="J56" s="972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798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798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798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798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798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94" t="s">
        <v>11</v>
      </c>
      <c r="D84" s="1095"/>
      <c r="E84" s="57">
        <f>E5+E6-F79+E7</f>
        <v>1.8189894035458565E-12</v>
      </c>
      <c r="F84" s="73"/>
      <c r="N84" s="1094" t="s">
        <v>11</v>
      </c>
      <c r="O84" s="1095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2022-12-03T19:07:44Z</dcterms:modified>
</cp:coreProperties>
</file>