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195" yWindow="915" windowWidth="16905" windowHeight="10110" firstSheet="20" activeTab="22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   O C T U B R E     2 0 2 2   " sheetId="19" r:id="rId19"/>
    <sheet name=" COMPRAS  OCTUBRE   2022     " sheetId="20" r:id="rId20"/>
    <sheet name="   N O V I E M  B R E    2022  " sheetId="21" r:id="rId21"/>
    <sheet name="COMPRAS NOVIEMBRE 2022" sheetId="22" r:id="rId22"/>
    <sheet name="  D I C I E M B R E    2 0 2 2 " sheetId="23" r:id="rId23"/>
    <sheet name=" COMPRAS DICIEMBRE  20222 " sheetId="24" r:id="rId24"/>
    <sheet name="Hoja2" sheetId="25" r:id="rId2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9" i="24" l="1"/>
  <c r="J11" i="24"/>
  <c r="F4" i="24"/>
  <c r="F5" i="24" s="1"/>
  <c r="F6" i="24" s="1"/>
  <c r="F7" i="24" s="1"/>
  <c r="F8" i="24" s="1"/>
  <c r="F9" i="24" s="1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F3" i="24"/>
  <c r="K57" i="23"/>
  <c r="L51" i="23"/>
  <c r="I51" i="23"/>
  <c r="F51" i="23"/>
  <c r="C51" i="23"/>
  <c r="R40" i="23"/>
  <c r="N40" i="23"/>
  <c r="P39" i="23"/>
  <c r="Q39" i="23" s="1"/>
  <c r="P38" i="23"/>
  <c r="Q38" i="23" s="1"/>
  <c r="P37" i="23"/>
  <c r="Q37" i="23" s="1"/>
  <c r="P36" i="23"/>
  <c r="Q36" i="23" s="1"/>
  <c r="P35" i="23"/>
  <c r="Q35" i="23" s="1"/>
  <c r="P34" i="23"/>
  <c r="Q34" i="23" s="1"/>
  <c r="P33" i="23"/>
  <c r="Q33" i="23" s="1"/>
  <c r="P32" i="23"/>
  <c r="Q32" i="23" s="1"/>
  <c r="P31" i="23"/>
  <c r="Q31" i="23" s="1"/>
  <c r="P30" i="23"/>
  <c r="Q30" i="23" s="1"/>
  <c r="P29" i="23"/>
  <c r="Q29" i="23" s="1"/>
  <c r="P28" i="23"/>
  <c r="Q28" i="23" s="1"/>
  <c r="P27" i="23"/>
  <c r="Q27" i="23" s="1"/>
  <c r="P26" i="23"/>
  <c r="Q26" i="23" s="1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P14" i="23"/>
  <c r="Q14" i="23" s="1"/>
  <c r="P13" i="23"/>
  <c r="Q13" i="23" s="1"/>
  <c r="P12" i="23"/>
  <c r="Q12" i="23" s="1"/>
  <c r="P11" i="23"/>
  <c r="P10" i="23"/>
  <c r="Q10" i="23" s="1"/>
  <c r="P9" i="23"/>
  <c r="Q9" i="23" s="1"/>
  <c r="P8" i="23"/>
  <c r="P7" i="23"/>
  <c r="Q7" i="23" s="1"/>
  <c r="P6" i="23"/>
  <c r="P5" i="23"/>
  <c r="Q5" i="23" s="1"/>
  <c r="E79" i="24" l="1"/>
  <c r="K53" i="23"/>
  <c r="F54" i="23" s="1"/>
  <c r="F57" i="23" s="1"/>
  <c r="K55" i="23" s="1"/>
  <c r="K59" i="23" s="1"/>
  <c r="Q40" i="23"/>
  <c r="M40" i="23"/>
  <c r="E21" i="22"/>
  <c r="E25" i="18"/>
  <c r="M53" i="23" l="1"/>
  <c r="P40" i="23"/>
  <c r="M32" i="21"/>
  <c r="M31" i="21"/>
  <c r="M30" i="21"/>
  <c r="M29" i="21" l="1"/>
  <c r="M28" i="21"/>
  <c r="M27" i="21" l="1"/>
  <c r="M26" i="21"/>
  <c r="M25" i="21" l="1"/>
  <c r="M24" i="21"/>
  <c r="M23" i="21"/>
  <c r="M22" i="21"/>
  <c r="M20" i="21"/>
  <c r="M19" i="21" l="1"/>
  <c r="M18" i="21"/>
  <c r="M17" i="21"/>
  <c r="M16" i="21"/>
  <c r="M15" i="21"/>
  <c r="M14" i="21"/>
  <c r="M13" i="21"/>
  <c r="M12" i="21"/>
  <c r="M11" i="21"/>
  <c r="M10" i="21" l="1"/>
  <c r="M9" i="21"/>
  <c r="M8" i="21"/>
  <c r="Q33" i="21"/>
  <c r="Q39" i="21"/>
  <c r="M6" i="21"/>
  <c r="Q5" i="21" l="1"/>
  <c r="M5" i="21" l="1"/>
  <c r="E79" i="22" l="1"/>
  <c r="C79" i="22"/>
  <c r="J11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K57" i="21"/>
  <c r="L51" i="21"/>
  <c r="I51" i="21"/>
  <c r="F51" i="21"/>
  <c r="C51" i="21"/>
  <c r="R40" i="21"/>
  <c r="N40" i="21"/>
  <c r="P39" i="21"/>
  <c r="P38" i="21"/>
  <c r="Q38" i="21" s="1"/>
  <c r="P37" i="21"/>
  <c r="Q37" i="21" s="1"/>
  <c r="P36" i="21"/>
  <c r="Q36" i="21" s="1"/>
  <c r="P35" i="21"/>
  <c r="Q35" i="21" s="1"/>
  <c r="P34" i="21"/>
  <c r="Q34" i="21" s="1"/>
  <c r="P33" i="21"/>
  <c r="P32" i="21"/>
  <c r="Q32" i="21" s="1"/>
  <c r="P31" i="21"/>
  <c r="Q31" i="21" s="1"/>
  <c r="P30" i="21"/>
  <c r="Q30" i="21" s="1"/>
  <c r="P29" i="21"/>
  <c r="Q29" i="21" s="1"/>
  <c r="P28" i="21"/>
  <c r="Q28" i="21" s="1"/>
  <c r="P27" i="21"/>
  <c r="Q27" i="21" s="1"/>
  <c r="P26" i="21"/>
  <c r="Q26" i="21" s="1"/>
  <c r="P25" i="21"/>
  <c r="Q25" i="21" s="1"/>
  <c r="P24" i="21"/>
  <c r="Q24" i="21" s="1"/>
  <c r="P23" i="21"/>
  <c r="Q23" i="21" s="1"/>
  <c r="P22" i="21"/>
  <c r="Q22" i="21" s="1"/>
  <c r="P21" i="21"/>
  <c r="Q21" i="21" s="1"/>
  <c r="P20" i="21"/>
  <c r="Q20" i="21" s="1"/>
  <c r="P19" i="21"/>
  <c r="Q19" i="21" s="1"/>
  <c r="P18" i="21"/>
  <c r="Q18" i="21" s="1"/>
  <c r="P17" i="21"/>
  <c r="Q17" i="21" s="1"/>
  <c r="P16" i="21"/>
  <c r="Q16" i="21" s="1"/>
  <c r="P15" i="21"/>
  <c r="P14" i="21"/>
  <c r="Q14" i="21" s="1"/>
  <c r="P13" i="21"/>
  <c r="Q13" i="21" s="1"/>
  <c r="P12" i="21"/>
  <c r="Q12" i="21" s="1"/>
  <c r="P11" i="21"/>
  <c r="P10" i="21"/>
  <c r="Q10" i="21" s="1"/>
  <c r="P9" i="21"/>
  <c r="Q9" i="21" s="1"/>
  <c r="P8" i="21"/>
  <c r="P7" i="21"/>
  <c r="Q7" i="21" s="1"/>
  <c r="P6" i="21"/>
  <c r="M40" i="21"/>
  <c r="K53" i="21" l="1"/>
  <c r="F54" i="21" s="1"/>
  <c r="F57" i="21" s="1"/>
  <c r="K55" i="21" s="1"/>
  <c r="K59" i="21" s="1"/>
  <c r="M53" i="21"/>
  <c r="P5" i="21"/>
  <c r="Q40" i="21" s="1"/>
  <c r="P40" i="21"/>
  <c r="M32" i="19" l="1"/>
  <c r="M31" i="19"/>
  <c r="M30" i="19"/>
  <c r="M29" i="19"/>
  <c r="M28" i="19"/>
  <c r="M27" i="19"/>
  <c r="M26" i="19"/>
  <c r="M25" i="19" l="1"/>
  <c r="M24" i="19"/>
  <c r="M23" i="19"/>
  <c r="M22" i="19"/>
  <c r="M20" i="19" l="1"/>
  <c r="M19" i="19" l="1"/>
  <c r="M18" i="19" l="1"/>
  <c r="M17" i="19" l="1"/>
  <c r="M16" i="19"/>
  <c r="Q15" i="19"/>
  <c r="M15" i="19" l="1"/>
  <c r="M13" i="19" l="1"/>
  <c r="M12" i="19" l="1"/>
  <c r="M11" i="19"/>
  <c r="M10" i="19"/>
  <c r="M9" i="19"/>
  <c r="M8" i="19" l="1"/>
  <c r="M7" i="19"/>
  <c r="Q5" i="19"/>
  <c r="P6" i="19"/>
  <c r="M6" i="19"/>
  <c r="M5" i="19"/>
  <c r="E79" i="20" l="1"/>
  <c r="C79" i="20"/>
  <c r="J11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K57" i="19"/>
  <c r="I51" i="19"/>
  <c r="F51" i="19"/>
  <c r="C51" i="19"/>
  <c r="R40" i="19"/>
  <c r="N40" i="19"/>
  <c r="P39" i="19"/>
  <c r="Q39" i="19" s="1"/>
  <c r="P38" i="19"/>
  <c r="Q38" i="19" s="1"/>
  <c r="P37" i="19"/>
  <c r="Q37" i="19" s="1"/>
  <c r="P36" i="19"/>
  <c r="Q36" i="19" s="1"/>
  <c r="P35" i="19"/>
  <c r="Q35" i="19" s="1"/>
  <c r="P34" i="19"/>
  <c r="Q34" i="19" s="1"/>
  <c r="P33" i="19"/>
  <c r="Q33" i="19" s="1"/>
  <c r="P32" i="19"/>
  <c r="Q32" i="19" s="1"/>
  <c r="P31" i="19"/>
  <c r="Q31" i="19" s="1"/>
  <c r="P30" i="19"/>
  <c r="Q30" i="19" s="1"/>
  <c r="P29" i="19"/>
  <c r="Q29" i="19" s="1"/>
  <c r="P28" i="19"/>
  <c r="Q28" i="19" s="1"/>
  <c r="P27" i="19"/>
  <c r="Q27" i="19" s="1"/>
  <c r="P26" i="19"/>
  <c r="Q26" i="19" s="1"/>
  <c r="P25" i="19"/>
  <c r="Q25" i="19" s="1"/>
  <c r="P24" i="19"/>
  <c r="Q24" i="19" s="1"/>
  <c r="P23" i="19"/>
  <c r="Q23" i="19" s="1"/>
  <c r="P22" i="19"/>
  <c r="Q22" i="19" s="1"/>
  <c r="P21" i="19"/>
  <c r="Q21" i="19" s="1"/>
  <c r="P20" i="19"/>
  <c r="Q20" i="19" s="1"/>
  <c r="P19" i="19"/>
  <c r="Q19" i="19" s="1"/>
  <c r="P18" i="19"/>
  <c r="Q18" i="19" s="1"/>
  <c r="P17" i="19"/>
  <c r="P16" i="19"/>
  <c r="Q16" i="19" s="1"/>
  <c r="P15" i="19"/>
  <c r="P14" i="19"/>
  <c r="Q14" i="19" s="1"/>
  <c r="P13" i="19"/>
  <c r="Q13" i="19" s="1"/>
  <c r="P12" i="19"/>
  <c r="Q12" i="19" s="1"/>
  <c r="P11" i="19"/>
  <c r="P10" i="19"/>
  <c r="L51" i="19"/>
  <c r="P9" i="19"/>
  <c r="P8" i="19"/>
  <c r="P7" i="19"/>
  <c r="P5" i="19"/>
  <c r="M40" i="19"/>
  <c r="Q40" i="19" l="1"/>
  <c r="M53" i="19"/>
  <c r="K53" i="19"/>
  <c r="F54" i="19" s="1"/>
  <c r="F57" i="19" s="1"/>
  <c r="K55" i="19" s="1"/>
  <c r="K59" i="19" s="1"/>
  <c r="P40" i="19"/>
  <c r="M39" i="17"/>
  <c r="M38" i="17" l="1"/>
  <c r="M37" i="17"/>
  <c r="M36" i="17" l="1"/>
  <c r="M35" i="17"/>
  <c r="P34" i="17" l="1"/>
  <c r="P35" i="17"/>
  <c r="P36" i="17"/>
  <c r="P37" i="17"/>
  <c r="P38" i="17"/>
  <c r="P39" i="17"/>
  <c r="M34" i="17"/>
  <c r="M33" i="17" l="1"/>
  <c r="M32" i="17"/>
  <c r="M31" i="17" l="1"/>
  <c r="M30" i="17"/>
  <c r="M29" i="17"/>
  <c r="M28" i="17" l="1"/>
  <c r="M27" i="17"/>
  <c r="M26" i="17"/>
  <c r="M25" i="17"/>
  <c r="M24" i="17" l="1"/>
  <c r="M23" i="17"/>
  <c r="M22" i="17"/>
  <c r="M21" i="17" l="1"/>
  <c r="M20" i="17"/>
  <c r="M19" i="17"/>
  <c r="M18" i="17"/>
  <c r="M17" i="17" l="1"/>
  <c r="M16" i="17"/>
  <c r="M15" i="17"/>
  <c r="M13" i="17"/>
  <c r="M12" i="17"/>
  <c r="M11" i="17"/>
  <c r="M10" i="17"/>
  <c r="M9" i="17"/>
  <c r="M8" i="17" l="1"/>
  <c r="M7" i="17"/>
  <c r="M6" i="17"/>
  <c r="M5" i="17"/>
  <c r="L10" i="17" l="1"/>
  <c r="L51" i="17" s="1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Q39" i="17"/>
  <c r="Q38" i="17"/>
  <c r="Q37" i="17"/>
  <c r="P33" i="17"/>
  <c r="Q33" i="17" s="1"/>
  <c r="P32" i="17"/>
  <c r="Q32" i="17" s="1"/>
  <c r="P31" i="17"/>
  <c r="Q31" i="17" s="1"/>
  <c r="P30" i="17"/>
  <c r="Q30" i="17" s="1"/>
  <c r="P29" i="17"/>
  <c r="Q29" i="17" s="1"/>
  <c r="P28" i="17"/>
  <c r="Q28" i="17" s="1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9" i="17"/>
  <c r="P8" i="17"/>
  <c r="P7" i="17"/>
  <c r="Q7" i="17" s="1"/>
  <c r="M40" i="17"/>
  <c r="P5" i="17"/>
  <c r="P10" i="17" l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<sst xmlns="http://schemas.openxmlformats.org/spreadsheetml/2006/main" count="1170" uniqueCount="590">
  <si>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</si>
  <si>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</si>
  <si>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</si>
  <si>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</si>
  <si>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</si>
  <si>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</si>
  <si>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</si>
  <si>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</si>
  <si>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</si>
  <si>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</si>
  <si>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</si>
  <si>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</si>
  <si>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</si>
  <si>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</si>
  <si>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</si>
  <si>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</si>
  <si>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</si>
  <si>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</si>
  <si>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</si>
  <si>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</si>
  <si>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</si>
  <si>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</si>
  <si>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</si>
  <si>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</si>
  <si>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</si>
  <si>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</si>
  <si>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</si>
  <si>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</si>
  <si>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</si>
  <si>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</si>
  <si>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</si>
  <si>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</si>
  <si>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</si>
  <si>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</si>
  <si>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</si>
  <si>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</si>
  <si>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</si>
  <si>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</si>
  <si>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</si>
  <si>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</si>
  <si>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</si>
  <si>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</si>
  <si>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</si>
  <si>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</si>
  <si>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</si>
  <si>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</si>
  <si>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</si>
  <si>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</si>
  <si>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</si>
  <si>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</si>
  <si>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</si>
  <si>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</si>
  <si>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</si>
  <si>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</si>
  <si>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</si>
  <si>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</si>
  <si>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</si>
  <si>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</si>
  <si>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</si>
  <si>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</si>
  <si>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</si>
  <si>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</si>
  <si>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</si>
  <si>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</si>
  <si>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</si>
  <si>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</si>
  <si>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</si>
  <si>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</si>
  <si>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</si>
  <si>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</si>
  <si>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</si>
  <si>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</si>
  <si>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</si>
  <si>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</si>
  <si>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</si>
  <si>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</si>
  <si>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</si>
  <si>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</si>
  <si>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</si>
  <si>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</si>
  <si>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</si>
  <si>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</si>
  <si>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</si>
  <si>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</si>
  <si>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</si>
  <si>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</si>
  <si>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</si>
  <si>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</si>
  <si>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</si>
  <si>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</si>
  <si>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</si>
  <si>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</si>
  <si>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</si>
  <si>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</si>
  <si>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</si>
  <si>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</si>
  <si>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</si>
  <si>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</si>
  <si>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</si>
  <si>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</si>
  <si>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</si>
  <si>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</si>
  <si>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</si>
  <si>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</si>
  <si>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</si>
  <si>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</si>
  <si>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</si>
  <si>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</si>
  <si>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</si>
  <si>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</si>
  <si>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</si>
  <si>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</si>
  <si>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</si>
  <si>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</si>
  <si>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</si>
  <si>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</si>
  <si>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</si>
  <si>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</si>
  <si>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</si>
  <si>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</si>
  <si>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</si>
  <si>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</si>
  <si>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</si>
  <si>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</si>
  <si>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</si>
  <si>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</si>
  <si>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</si>
  <si>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</si>
  <si>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</si>
  <si>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</si>
  <si>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</si>
  <si>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</si>
  <si>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</si>
  <si>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</si>
  <si>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</si>
  <si>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</si>
  <si>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</si>
  <si>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</si>
  <si>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</si>
  <si>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</si>
  <si>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</si>
  <si>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</si>
  <si>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</si>
  <si>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</si>
  <si>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</si>
  <si>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</si>
  <si>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</si>
  <si>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</si>
  <si>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</si>
  <si>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</si>
  <si>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</si>
  <si>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</si>
  <si>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</si>
  <si>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</si>
  <si>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</si>
  <si>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</si>
  <si>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</si>
  <si>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</si>
  <si>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</si>
  <si>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</si>
  <si>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</si>
  <si>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</si>
  <si>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</si>
  <si>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</si>
  <si>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</si>
  <si>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</si>
  <si>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</si>
  <si>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</si>
  <si>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</si>
  <si>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</si>
  <si>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</si>
  <si>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</si>
  <si>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</si>
  <si>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</si>
  <si>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</si>
  <si>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</si>
  <si>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</si>
  <si>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</si>
  <si>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</si>
  <si>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</si>
  <si>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</si>
  <si>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</si>
  <si>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</si>
  <si>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</si>
  <si>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</si>
  <si>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</si>
  <si>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</si>
  <si>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</si>
  <si>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</si>
  <si>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</si>
  <si>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</si>
  <si>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</si>
  <si>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</si>
  <si>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</si>
  <si>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</si>
  <si>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</si>
  <si>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</si>
  <si>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</si>
  <si>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</si>
  <si>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</si>
  <si>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</si>
  <si>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</si>
  <si>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</si>
  <si>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</si>
  <si>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</si>
  <si>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</si>
  <si>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</si>
  <si>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</si>
  <si>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</si>
  <si>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</si>
  <si>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</si>
  <si>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</si>
  <si>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</si>
  <si>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</si>
  <si>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</si>
  <si>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</si>
  <si>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</si>
  <si>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</si>
  <si>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</si>
  <si>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</si>
  <si>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</si>
  <si>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</si>
  <si>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</si>
  <si>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</si>
  <si>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</si>
  <si>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</si>
  <si>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</si>
  <si>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</si>
  <si>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</si>
  <si>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</si>
  <si>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</si>
  <si>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</si>
  <si>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</si>
  <si>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</si>
  <si>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</si>
  <si>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</si>
  <si>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</si>
  <si>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</si>
  <si>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</si>
  <si>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</si>
  <si>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</si>
  <si>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</si>
  <si>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</si>
  <si>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</si>
  <si>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</si>
  <si>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</si>
  <si>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</si>
  <si>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</si>
  <si>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</si>
  <si>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</si>
  <si>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</si>
  <si>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</si>
  <si>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</si>
  <si>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</si>
  <si>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</si>
  <si>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</si>
  <si>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</si>
  <si>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</si>
  <si>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</si>
  <si>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</si>
  <si>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</si>
  <si>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</si>
  <si>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</si>
  <si>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</si>
  <si>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</si>
  <si>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</si>
  <si>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</si>
  <si>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</si>
  <si>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</si>
  <si>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</si>
  <si>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</si>
  <si>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</si>
  <si>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</si>
  <si>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</si>
  <si>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</si>
  <si>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</si>
  <si>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</si>
  <si>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</si>
  <si>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</si>
  <si>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</si>
  <si>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</si>
  <si>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</si>
  <si>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</si>
  <si>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</si>
  <si>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</si>
  <si>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</si>
  <si>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</si>
  <si>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</si>
  <si>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</si>
  <si>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</si>
  <si>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</si>
  <si>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</si>
  <si>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</si>
  <si>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</si>
  <si>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</si>
  <si>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</si>
  <si>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</si>
  <si>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</si>
  <si>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</si>
  <si>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</si>
  <si>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</si>
  <si>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</si>
  <si>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</si>
  <si>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</si>
  <si>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</si>
  <si>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</si>
  <si>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</si>
  <si>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</si>
  <si>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</si>
  <si>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</si>
  <si>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</si>
  <si>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</si>
  <si>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</si>
  <si>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</si>
  <si>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</si>
  <si>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</si>
  <si>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</si>
  <si>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</si>
  <si>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</si>
  <si>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</si>
  <si>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</si>
  <si>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</si>
  <si>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</si>
  <si>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</si>
  <si>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</si>
  <si>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</si>
  <si>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</si>
  <si>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</si>
  <si>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</si>
  <si>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</si>
  <si>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</si>
  <si>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</si>
  <si>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</si>
  <si>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</si>
  <si>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</si>
  <si>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</si>
  <si>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</si>
  <si>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</si>
  <si>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</si>
  <si>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</si>
  <si>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</si>
  <si>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</si>
  <si>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</si>
  <si>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</si>
  <si>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</si>
  <si>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</si>
  <si>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</si>
  <si>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</si>
  <si>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</si>
  <si>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</si>
  <si>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</si>
  <si>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</si>
  <si>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</si>
  <si>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</si>
  <si>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</si>
  <si>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</si>
  <si>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</si>
  <si>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</si>
  <si>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</si>
  <si>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</si>
  <si>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</si>
  <si>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</si>
  <si>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</si>
  <si>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</si>
  <si>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</si>
  <si>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</si>
  <si>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</si>
  <si>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</si>
  <si>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</si>
  <si>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</si>
  <si>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</si>
  <si>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</si>
  <si>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</si>
  <si>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</si>
  <si>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</si>
  <si>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</si>
  <si>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</si>
  <si>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</si>
  <si>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</si>
  <si>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</si>
  <si>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</si>
  <si>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</si>
  <si>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</si>
  <si>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</si>
  <si>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</si>
  <si>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</si>
  <si>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</si>
  <si>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</si>
  <si>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</si>
  <si>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</si>
  <si>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</si>
  <si>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</si>
  <si>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</si>
  <si>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</si>
  <si>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</si>
  <si>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</si>
  <si>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</si>
  <si>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</si>
  <si>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</si>
  <si>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</si>
  <si>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</si>
  <si>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</si>
  <si>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</si>
  <si>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</si>
  <si>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</si>
  <si>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</si>
  <si>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</si>
  <si>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</si>
  <si>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</si>
  <si>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</si>
  <si>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</si>
  <si>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</si>
  <si>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</si>
  <si>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</si>
  <si>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</si>
  <si>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</si>
  <si>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</si>
  <si>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</si>
  <si>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</si>
  <si>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</si>
  <si>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</si>
  <si>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</si>
  <si>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</si>
  <si>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</si>
  <si>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</si>
  <si>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</si>
  <si>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</si>
  <si>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</si>
  <si>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</si>
  <si>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</si>
  <si>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</si>
  <si>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</si>
  <si>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</si>
  <si>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</si>
  <si>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</si>
  <si>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</si>
  <si>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</si>
  <si>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</si>
  <si>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</si>
  <si>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</si>
  <si>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</si>
  <si>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</si>
  <si>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</si>
  <si>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</si>
  <si>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</si>
  <si>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</si>
  <si>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</si>
  <si>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</si>
  <si>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</si>
  <si>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</si>
  <si>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</si>
  <si>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</si>
  <si>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</si>
  <si>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</si>
  <si>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</si>
  <si>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</si>
  <si>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</si>
  <si>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</si>
  <si>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</si>
  <si>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</si>
  <si>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</si>
  <si>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</si>
  <si>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</si>
  <si>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</si>
  <si>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</si>
  <si>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</si>
  <si>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>NOMINA Y VAC</t>
  </si>
  <si>
    <t>NOMINA   # 37</t>
  </si>
  <si>
    <t>NOMINA # 38 Y VAC</t>
  </si>
  <si>
    <t>Longaniza-chorizo</t>
  </si>
  <si>
    <t xml:space="preserve">NOMINA # 39  </t>
  </si>
  <si>
    <t xml:space="preserve">  </t>
  </si>
  <si>
    <t>NOMINA # 40</t>
  </si>
  <si>
    <t xml:space="preserve">                                                                                                                                                    </t>
  </si>
  <si>
    <t>D-08694</t>
  </si>
  <si>
    <t>D-08916</t>
  </si>
  <si>
    <t>D-08970</t>
  </si>
  <si>
    <t>D-08974</t>
  </si>
  <si>
    <t>D-08990</t>
  </si>
  <si>
    <t>D-09060</t>
  </si>
  <si>
    <t>D-09144</t>
  </si>
  <si>
    <t>D-09210</t>
  </si>
  <si>
    <t>D-09326</t>
  </si>
  <si>
    <t>D-09397</t>
  </si>
  <si>
    <t>D-09591</t>
  </si>
  <si>
    <t>D-09594</t>
  </si>
  <si>
    <t>D-09762</t>
  </si>
  <si>
    <t>D-10037</t>
  </si>
  <si>
    <t>D-10038</t>
  </si>
  <si>
    <t>D-10125</t>
  </si>
  <si>
    <t>D-10198</t>
  </si>
  <si>
    <t>D-10378</t>
  </si>
  <si>
    <t>D-10511</t>
  </si>
  <si>
    <t>D-10686</t>
  </si>
  <si>
    <t>D-10761</t>
  </si>
  <si>
    <t>D-10868</t>
  </si>
  <si>
    <t>D-10873</t>
  </si>
  <si>
    <t>D-10946</t>
  </si>
  <si>
    <t>D-10956</t>
  </si>
  <si>
    <t>D-10999</t>
  </si>
  <si>
    <t>D-11062</t>
  </si>
  <si>
    <t>D-11231</t>
  </si>
  <si>
    <t>D-11277</t>
  </si>
  <si>
    <t>D-11509</t>
  </si>
  <si>
    <t>D-11570</t>
  </si>
  <si>
    <t>D-11626</t>
  </si>
  <si>
    <t>D-11797</t>
  </si>
  <si>
    <t>D11938</t>
  </si>
  <si>
    <t>D-12034</t>
  </si>
  <si>
    <t>D-12134</t>
  </si>
  <si>
    <t>D-12242</t>
  </si>
  <si>
    <t>D-12395</t>
  </si>
  <si>
    <t>BALANCE      ABASTO 4 CARNES    H E R R A D U R A    OCTUBRE     2 0 2 2</t>
  </si>
  <si>
    <t>NOMINA # 41</t>
  </si>
  <si>
    <t>NOMINA # 42</t>
  </si>
  <si>
    <t>NOMINA # 43</t>
  </si>
  <si>
    <t>PAPA</t>
  </si>
  <si>
    <t>LONGANIZA-CHORIZO-ARABE</t>
  </si>
  <si>
    <t>NOMINA # 44</t>
  </si>
  <si>
    <t>PAPA X CAJA</t>
  </si>
  <si>
    <t>D-12560--/*12561</t>
  </si>
  <si>
    <t>D-12698</t>
  </si>
  <si>
    <t>D-12883</t>
  </si>
  <si>
    <t>D-12955</t>
  </si>
  <si>
    <t>D-13040</t>
  </si>
  <si>
    <t>D-13176</t>
  </si>
  <si>
    <t>D-13346</t>
  </si>
  <si>
    <t>D-13348</t>
  </si>
  <si>
    <t>D-13350</t>
  </si>
  <si>
    <t>D-13511</t>
  </si>
  <si>
    <t>D-13562</t>
  </si>
  <si>
    <t>D-13671</t>
  </si>
  <si>
    <t>D-13769</t>
  </si>
  <si>
    <t>D-13931</t>
  </si>
  <si>
    <t>D-13933</t>
  </si>
  <si>
    <t>D-14072</t>
  </si>
  <si>
    <t>D-14172</t>
  </si>
  <si>
    <t>D-14321</t>
  </si>
  <si>
    <t>D-14406</t>
  </si>
  <si>
    <t>D-14493</t>
  </si>
  <si>
    <t>D-14545</t>
  </si>
  <si>
    <t>D-14659</t>
  </si>
  <si>
    <t>D-14861</t>
  </si>
  <si>
    <t>D-15093</t>
  </si>
  <si>
    <t>D-15247</t>
  </si>
  <si>
    <t>D-15466</t>
  </si>
  <si>
    <t>D-15532</t>
  </si>
  <si>
    <t>GUARDIA</t>
  </si>
  <si>
    <t>COMISION BANCO</t>
  </si>
  <si>
    <t>??????????</t>
  </si>
  <si>
    <t>BALANCE      ABASTO 4 CARNES    H E R R A D U R A    NOVIEMBRE    2 0 2 2</t>
  </si>
  <si>
    <t>NOMINA # 45</t>
  </si>
  <si>
    <t>LONGANIZA-CENTRAL</t>
  </si>
  <si>
    <t>NOMINA # 46</t>
  </si>
  <si>
    <t>NOMINA # 47</t>
  </si>
  <si>
    <t>NOMINA # 48</t>
  </si>
  <si>
    <t xml:space="preserve">    </t>
  </si>
  <si>
    <t>15-Sept-22--23-Sept-22</t>
  </si>
  <si>
    <t>15754 D</t>
  </si>
  <si>
    <t>15704 D</t>
  </si>
  <si>
    <t>15833 D</t>
  </si>
  <si>
    <t>15890 D</t>
  </si>
  <si>
    <t>15894 D</t>
  </si>
  <si>
    <t>16051 D</t>
  </si>
  <si>
    <t>16175 D</t>
  </si>
  <si>
    <t>16325 D</t>
  </si>
  <si>
    <t>16641 D</t>
  </si>
  <si>
    <t>16663 D</t>
  </si>
  <si>
    <t>16776 D</t>
  </si>
  <si>
    <t>16781 D</t>
  </si>
  <si>
    <t>16894 D</t>
  </si>
  <si>
    <t>16902 D</t>
  </si>
  <si>
    <t>17061 D</t>
  </si>
  <si>
    <t>17063 D</t>
  </si>
  <si>
    <t>17195 D</t>
  </si>
  <si>
    <t>17413 D</t>
  </si>
  <si>
    <t>17513 D</t>
  </si>
  <si>
    <t>17579 D</t>
  </si>
  <si>
    <t>17666 D</t>
  </si>
  <si>
    <t>17875 D</t>
  </si>
  <si>
    <t>18053 D</t>
  </si>
  <si>
    <t>18091 D</t>
  </si>
  <si>
    <t>18115 D</t>
  </si>
  <si>
    <t>18117 D</t>
  </si>
  <si>
    <t>18206 D</t>
  </si>
  <si>
    <t>19-Nov-22--26-Nov-22</t>
  </si>
  <si>
    <t>18324 d</t>
  </si>
  <si>
    <t>COMISION ???</t>
  </si>
  <si>
    <t>COMISIONES Bco</t>
  </si>
  <si>
    <t>BALANCE      ABASTO 4 CARNES    H E R R A D U R A    DICIEMBRE    2 0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</si>
</sst>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7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" fontId="19" fillId="0" borderId="0" xfId="0" applyNumberFormat="1" applyFont="1" applyAlignment="1">
      <alignment horizontal="center"/>
    </xf>
    <xf numFmtId="16" fontId="19" fillId="7" borderId="0" xfId="0" applyNumberFormat="1" applyFont="1" applyFill="1" applyAlignment="1">
      <alignment horizontal="center"/>
    </xf>
    <xf numFmtId="44" fontId="3" fillId="7" borderId="48" xfId="1" applyFont="1" applyFill="1" applyBorder="1"/>
    <xf numFmtId="16" fontId="19" fillId="0" borderId="25" xfId="0" applyNumberFormat="1" applyFont="1" applyBorder="1" applyAlignment="1">
      <alignment horizontal="left"/>
    </xf>
    <xf numFmtId="0" fontId="11" fillId="7" borderId="25" xfId="0" applyFont="1" applyFill="1" applyBorder="1" applyAlignment="1">
      <alignment horizontal="center"/>
    </xf>
    <xf numFmtId="16" fontId="19" fillId="0" borderId="0" xfId="0" applyNumberFormat="1" applyFont="1" applyBorder="1" applyAlignment="1">
      <alignment horizontal="left"/>
    </xf>
    <xf numFmtId="164" fontId="2" fillId="0" borderId="17" xfId="0" applyNumberFormat="1" applyFont="1" applyFill="1" applyBorder="1" applyAlignment="1">
      <alignment horizontal="center"/>
    </xf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21" xfId="0" applyNumberFormat="1" applyFont="1" applyFill="1" applyBorder="1"/>
    <xf numFmtId="0" fontId="19" fillId="0" borderId="0" xfId="0" applyFont="1" applyFill="1" applyAlignment="1">
      <alignment horizontal="center"/>
    </xf>
    <xf numFmtId="166" fontId="18" fillId="0" borderId="10" xfId="0" applyNumberFormat="1" applyFont="1" applyFill="1" applyBorder="1"/>
    <xf numFmtId="0" fontId="2" fillId="0" borderId="25" xfId="0" applyFont="1" applyFill="1" applyBorder="1" applyAlignment="1">
      <alignment horizontal="center"/>
    </xf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7" xfId="0" applyFont="1" applyFill="1" applyBorder="1" applyAlignment="1">
      <alignment horizontal="left"/>
    </xf>
    <xf numFmtId="0" fontId="53" fillId="0" borderId="25" xfId="0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0" fontId="19" fillId="0" borderId="25" xfId="0" applyFont="1" applyFill="1" applyBorder="1"/>
    <xf numFmtId="166" fontId="24" fillId="0" borderId="25" xfId="0" applyNumberFormat="1" applyFont="1" applyFill="1" applyBorder="1"/>
    <xf numFmtId="0" fontId="19" fillId="0" borderId="25" xfId="0" applyFont="1" applyFill="1" applyBorder="1" applyAlignment="1">
      <alignment horizontal="lef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0" fontId="11" fillId="0" borderId="0" xfId="0" applyFont="1" applyFill="1" applyAlignment="1">
      <alignment horizontal="left" wrapText="1"/>
    </xf>
    <xf numFmtId="166" fontId="11" fillId="0" borderId="25" xfId="0" applyNumberFormat="1" applyFont="1" applyFill="1" applyBorder="1"/>
    <xf numFmtId="0" fontId="13" fillId="0" borderId="25" xfId="0" applyFont="1" applyFill="1" applyBorder="1" applyAlignment="1">
      <alignment horizontal="center" wrapText="1"/>
    </xf>
    <xf numFmtId="0" fontId="24" fillId="0" borderId="25" xfId="0" applyFont="1" applyFill="1" applyBorder="1" applyAlignment="1">
      <alignment horizontal="left" vertical="center"/>
    </xf>
    <xf numFmtId="16" fontId="16" fillId="0" borderId="25" xfId="0" applyNumberFormat="1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left"/>
    </xf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11" fillId="0" borderId="25" xfId="0" applyFont="1" applyFill="1" applyBorder="1" applyAlignment="1">
      <alignment horizontal="center"/>
    </xf>
    <xf numFmtId="15" fontId="2" fillId="0" borderId="53" xfId="0" applyNumberFormat="1" applyFont="1" applyFill="1" applyBorder="1"/>
    <xf numFmtId="0" fontId="27" fillId="0" borderId="25" xfId="0" applyFont="1" applyFill="1" applyBorder="1" applyAlignment="1">
      <alignment horizontal="center"/>
    </xf>
    <xf numFmtId="0" fontId="0" fillId="0" borderId="25" xfId="0" applyFill="1" applyBorder="1"/>
    <xf numFmtId="15" fontId="2" fillId="0" borderId="25" xfId="0" applyNumberFormat="1" applyFont="1" applyFill="1" applyBorder="1"/>
    <xf numFmtId="16" fontId="19" fillId="0" borderId="0" xfId="0" applyNumberFormat="1" applyFont="1" applyFill="1" applyBorder="1" applyAlignment="1">
      <alignment horizontal="left"/>
    </xf>
    <xf numFmtId="16" fontId="19" fillId="0" borderId="0" xfId="0" applyNumberFormat="1" applyFont="1" applyFill="1" applyAlignment="1">
      <alignment horizontal="center"/>
    </xf>
    <xf numFmtId="44" fontId="2" fillId="12" borderId="0" xfId="1" applyFont="1" applyFill="1"/>
    <xf numFmtId="44" fontId="3" fillId="12" borderId="0" xfId="1" applyFont="1" applyFill="1"/>
    <xf numFmtId="49" fontId="3" fillId="0" borderId="63" xfId="0" applyNumberFormat="1" applyFont="1" applyBorder="1" applyAlignment="1">
      <alignment horizontal="center" wrapText="1"/>
    </xf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0" fontId="2" fillId="0" borderId="6" xfId="0" applyFont="1" applyBorder="1"/>
    <xf numFmtId="0" fontId="19" fillId="6" borderId="25" xfId="0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 wrapText="1"/>
    </xf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13" borderId="25" xfId="0" applyNumberFormat="1" applyFont="1" applyFill="1" applyBorder="1"/>
    <xf numFmtId="44" fontId="3" fillId="13" borderId="25" xfId="1" applyFont="1" applyFill="1" applyBorder="1"/>
    <xf numFmtId="44" fontId="57" fillId="0" borderId="63" xfId="1" applyFont="1" applyFill="1" applyBorder="1"/>
    <xf numFmtId="44" fontId="57" fillId="0" borderId="25" xfId="1" applyFont="1" applyFill="1" applyBorder="1"/>
    <xf numFmtId="164" fontId="57" fillId="0" borderId="63" xfId="0" applyNumberFormat="1" applyFont="1" applyBorder="1"/>
    <xf numFmtId="164" fontId="3" fillId="6" borderId="53" xfId="0" applyNumberFormat="1" applyFont="1" applyFill="1" applyBorder="1"/>
    <xf numFmtId="164" fontId="11" fillId="0" borderId="25" xfId="0" applyNumberFormat="1" applyFont="1" applyBorder="1"/>
    <xf numFmtId="164" fontId="3" fillId="0" borderId="2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56" fillId="0" borderId="25" xfId="0" applyNumberFormat="1" applyFont="1" applyBorder="1" applyAlignment="1">
      <alignment wrapText="1"/>
    </xf>
    <xf numFmtId="164" fontId="3" fillId="0" borderId="63" xfId="0" applyNumberFormat="1" applyFont="1" applyBorder="1"/>
    <xf numFmtId="164" fontId="51" fillId="0" borderId="63" xfId="0" applyNumberFormat="1" applyFont="1" applyBorder="1"/>
    <xf numFmtId="164" fontId="11" fillId="0" borderId="63" xfId="0" applyNumberFormat="1" applyFont="1" applyBorder="1"/>
    <xf numFmtId="164" fontId="3" fillId="0" borderId="25" xfId="0" applyNumberFormat="1" applyFont="1" applyBorder="1" applyAlignment="1">
      <alignment wrapText="1"/>
    </xf>
    <xf numFmtId="44" fontId="14" fillId="0" borderId="8" xfId="1" applyFont="1" applyBorder="1"/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  <xf numFmtId="44" fontId="2" fillId="14" borderId="18" xfId="1" applyFont="1" applyFill="1" applyBorder="1"/>
    <xf numFmtId="166" fontId="19" fillId="14" borderId="25" xfId="0" applyNumberFormat="1" applyFont="1" applyFill="1" applyBorder="1"/>
    <xf numFmtId="15" fontId="2" fillId="14" borderId="19" xfId="0" applyNumberFormat="1" applyFont="1" applyFill="1" applyBorder="1"/>
    <xf numFmtId="44" fontId="2" fillId="14" borderId="33" xfId="1" applyFont="1" applyFill="1" applyBorder="1"/>
    <xf numFmtId="0" fontId="0" fillId="14" borderId="0" xfId="0" applyFill="1"/>
    <xf numFmtId="15" fontId="2" fillId="14" borderId="21" xfId="0" applyNumberFormat="1" applyFont="1" applyFill="1" applyBorder="1"/>
    <xf numFmtId="44" fontId="2" fillId="14" borderId="22" xfId="1" applyFont="1" applyFill="1" applyBorder="1"/>
    <xf numFmtId="166" fontId="16" fillId="14" borderId="25" xfId="0" applyNumberFormat="1" applyFont="1" applyFill="1" applyBorder="1"/>
    <xf numFmtId="44" fontId="2" fillId="14" borderId="20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00FF99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6681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649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7822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4968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8488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8298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9630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6560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6775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8488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8298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9630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6560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6775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423"/>
      <c r="C1" s="425" t="s">
        <v>28</v>
      </c>
      <c r="D1" s="426"/>
      <c r="E1" s="426"/>
      <c r="F1" s="426"/>
      <c r="G1" s="426"/>
      <c r="H1" s="426"/>
      <c r="I1" s="426"/>
      <c r="J1" s="426"/>
      <c r="K1" s="426"/>
      <c r="L1" s="426"/>
      <c r="M1" s="426"/>
    </row>
    <row r="2" spans="1:18" ht="16.5" thickBot="1" x14ac:dyDescent="0.3">
      <c r="B2" s="424"/>
      <c r="C2" s="2"/>
      <c r="H2" s="4"/>
      <c r="I2" s="5"/>
      <c r="J2" s="6"/>
      <c r="L2" s="7"/>
      <c r="M2" s="5"/>
      <c r="N2" s="8"/>
    </row>
    <row r="3" spans="1:18" ht="21.75" thickBot="1" x14ac:dyDescent="0.35">
      <c r="B3" s="427" t="s">
        <v>0</v>
      </c>
      <c r="C3" s="428"/>
      <c r="D3" s="9"/>
      <c r="E3" s="10"/>
      <c r="F3" s="10"/>
      <c r="H3" s="429" t="s">
        <v>1</v>
      </c>
      <c r="I3" s="429"/>
      <c r="K3" s="12"/>
      <c r="L3" s="12"/>
      <c r="M3" s="4"/>
      <c r="R3" s="396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430" t="s">
        <v>3</v>
      </c>
      <c r="F4" s="431"/>
      <c r="H4" s="432" t="s">
        <v>4</v>
      </c>
      <c r="I4" s="433"/>
      <c r="J4" s="17"/>
      <c r="K4" s="18"/>
      <c r="L4" s="19"/>
      <c r="M4" s="20" t="s">
        <v>5</v>
      </c>
      <c r="N4" s="21" t="s">
        <v>6</v>
      </c>
      <c r="P4" s="403" t="s">
        <v>7</v>
      </c>
      <c r="Q4" s="404"/>
      <c r="R4" s="397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405">
        <f>SUM(M5:M39)</f>
        <v>1527030</v>
      </c>
      <c r="N40" s="407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406"/>
      <c r="N41" s="408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9" t="s">
        <v>12</v>
      </c>
      <c r="I53" s="410"/>
      <c r="J53" s="114"/>
      <c r="K53" s="411">
        <f>I51+L51</f>
        <v>50143.28</v>
      </c>
      <c r="L53" s="412"/>
      <c r="M53" s="413">
        <f>N40+M40</f>
        <v>1577043</v>
      </c>
      <c r="N53" s="414"/>
      <c r="P53" s="32"/>
      <c r="Q53" s="8"/>
    </row>
    <row r="54" spans="1:17" ht="15.75" x14ac:dyDescent="0.25">
      <c r="D54" s="415" t="s">
        <v>13</v>
      </c>
      <c r="E54" s="415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416" t="s">
        <v>14</v>
      </c>
      <c r="E55" s="416"/>
      <c r="F55" s="111">
        <v>-1419082.77</v>
      </c>
      <c r="I55" s="417" t="s">
        <v>15</v>
      </c>
      <c r="J55" s="418"/>
      <c r="K55" s="419">
        <f>F57+F58+F59</f>
        <v>296963.46999999997</v>
      </c>
      <c r="L55" s="420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421">
        <f>-C4</f>
        <v>-221059.7</v>
      </c>
      <c r="L57" s="422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398" t="s">
        <v>20</v>
      </c>
      <c r="E59" s="399"/>
      <c r="F59" s="129">
        <v>154314.51999999999</v>
      </c>
      <c r="I59" s="400" t="s">
        <v>168</v>
      </c>
      <c r="J59" s="401"/>
      <c r="K59" s="402">
        <f>K55+K57</f>
        <v>75903.76999999996</v>
      </c>
      <c r="L59" s="40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423"/>
      <c r="C1" s="425" t="s">
        <v>326</v>
      </c>
      <c r="D1" s="426"/>
      <c r="E1" s="426"/>
      <c r="F1" s="426"/>
      <c r="G1" s="426"/>
      <c r="H1" s="426"/>
      <c r="I1" s="426"/>
      <c r="J1" s="426"/>
      <c r="K1" s="426"/>
      <c r="L1" s="426"/>
      <c r="M1" s="426"/>
    </row>
    <row r="2" spans="1:21" ht="16.5" thickBot="1" x14ac:dyDescent="0.3">
      <c r="B2" s="424"/>
      <c r="C2" s="2"/>
      <c r="H2" s="4"/>
      <c r="I2" s="5"/>
      <c r="J2" s="6"/>
      <c r="L2" s="7"/>
      <c r="M2" s="5"/>
      <c r="N2" s="8"/>
    </row>
    <row r="3" spans="1:21" ht="21.75" thickBot="1" x14ac:dyDescent="0.35">
      <c r="B3" s="427" t="s">
        <v>0</v>
      </c>
      <c r="C3" s="428"/>
      <c r="D3" s="9"/>
      <c r="E3" s="10"/>
      <c r="F3" s="10"/>
      <c r="H3" s="429" t="s">
        <v>1</v>
      </c>
      <c r="I3" s="429"/>
      <c r="K3" s="12"/>
      <c r="L3" s="12"/>
      <c r="M3" s="4"/>
      <c r="R3" s="396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430" t="s">
        <v>3</v>
      </c>
      <c r="F4" s="431"/>
      <c r="H4" s="432" t="s">
        <v>4</v>
      </c>
      <c r="I4" s="433"/>
      <c r="J4" s="17"/>
      <c r="K4" s="18"/>
      <c r="L4" s="19"/>
      <c r="M4" s="20" t="s">
        <v>5</v>
      </c>
      <c r="N4" s="21" t="s">
        <v>6</v>
      </c>
      <c r="P4" s="403" t="s">
        <v>7</v>
      </c>
      <c r="Q4" s="404"/>
      <c r="R4" s="397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05">
        <f>SUM(M5:M39)</f>
        <v>2772689</v>
      </c>
      <c r="N40" s="407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406"/>
      <c r="N41" s="408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9" t="s">
        <v>12</v>
      </c>
      <c r="I53" s="410"/>
      <c r="J53" s="114"/>
      <c r="K53" s="411">
        <f>I51+L51</f>
        <v>60691.69</v>
      </c>
      <c r="L53" s="412"/>
      <c r="M53" s="413">
        <f>N40+M40</f>
        <v>2880043</v>
      </c>
      <c r="N53" s="414"/>
      <c r="P53" s="32"/>
      <c r="Q53" s="8"/>
    </row>
    <row r="54" spans="1:17" ht="15.75" x14ac:dyDescent="0.25">
      <c r="D54" s="415" t="s">
        <v>13</v>
      </c>
      <c r="E54" s="415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416" t="s">
        <v>14</v>
      </c>
      <c r="E55" s="416"/>
      <c r="F55" s="111">
        <v>-2875380.48</v>
      </c>
      <c r="I55" s="417" t="s">
        <v>15</v>
      </c>
      <c r="J55" s="418"/>
      <c r="K55" s="419">
        <f>F57+F58+F59</f>
        <v>247554.74000000008</v>
      </c>
      <c r="L55" s="420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421">
        <f>-C4</f>
        <v>-149938.81</v>
      </c>
      <c r="L57" s="422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398" t="s">
        <v>20</v>
      </c>
      <c r="E59" s="399"/>
      <c r="F59" s="129">
        <v>232165.91</v>
      </c>
      <c r="I59" s="400" t="s">
        <v>168</v>
      </c>
      <c r="J59" s="401"/>
      <c r="K59" s="402">
        <f>K55+K57</f>
        <v>97615.93000000008</v>
      </c>
      <c r="L59" s="40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423"/>
      <c r="C1" s="425" t="s">
        <v>380</v>
      </c>
      <c r="D1" s="426"/>
      <c r="E1" s="426"/>
      <c r="F1" s="426"/>
      <c r="G1" s="426"/>
      <c r="H1" s="426"/>
      <c r="I1" s="426"/>
      <c r="J1" s="426"/>
      <c r="K1" s="426"/>
      <c r="L1" s="426"/>
      <c r="M1" s="426"/>
    </row>
    <row r="2" spans="1:21" ht="16.5" thickBot="1" x14ac:dyDescent="0.3">
      <c r="B2" s="424"/>
      <c r="C2" s="2"/>
      <c r="H2" s="4"/>
      <c r="I2" s="5"/>
      <c r="J2" s="6"/>
      <c r="L2" s="7"/>
      <c r="M2" s="5"/>
      <c r="N2" s="8"/>
    </row>
    <row r="3" spans="1:21" ht="21.75" thickBot="1" x14ac:dyDescent="0.35">
      <c r="B3" s="427" t="s">
        <v>0</v>
      </c>
      <c r="C3" s="428"/>
      <c r="D3" s="9"/>
      <c r="E3" s="10"/>
      <c r="F3" s="10"/>
      <c r="H3" s="429" t="s">
        <v>1</v>
      </c>
      <c r="I3" s="429"/>
      <c r="K3" s="12"/>
      <c r="L3" s="12"/>
      <c r="M3" s="4"/>
      <c r="R3" s="396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430" t="s">
        <v>3</v>
      </c>
      <c r="F4" s="431"/>
      <c r="H4" s="432" t="s">
        <v>4</v>
      </c>
      <c r="I4" s="433"/>
      <c r="J4" s="17"/>
      <c r="K4" s="18"/>
      <c r="L4" s="19"/>
      <c r="M4" s="20" t="s">
        <v>5</v>
      </c>
      <c r="N4" s="21" t="s">
        <v>6</v>
      </c>
      <c r="P4" s="403" t="s">
        <v>7</v>
      </c>
      <c r="Q4" s="404"/>
      <c r="R4" s="397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05">
        <f>SUM(M5:M39)</f>
        <v>2373103</v>
      </c>
      <c r="N40" s="407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06"/>
      <c r="N41" s="408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9" t="s">
        <v>12</v>
      </c>
      <c r="I53" s="410"/>
      <c r="J53" s="114"/>
      <c r="K53" s="411">
        <f>I51+L51</f>
        <v>79649.720000000016</v>
      </c>
      <c r="L53" s="412"/>
      <c r="M53" s="413">
        <f>N40+M40</f>
        <v>2440411</v>
      </c>
      <c r="N53" s="414"/>
      <c r="P53" s="32"/>
      <c r="Q53" s="8"/>
    </row>
    <row r="54" spans="1:17" ht="15.75" x14ac:dyDescent="0.25">
      <c r="D54" s="415" t="s">
        <v>13</v>
      </c>
      <c r="E54" s="415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416" t="s">
        <v>14</v>
      </c>
      <c r="E55" s="416"/>
      <c r="F55" s="111">
        <v>-2471332.31</v>
      </c>
      <c r="I55" s="417" t="s">
        <v>15</v>
      </c>
      <c r="J55" s="418"/>
      <c r="K55" s="419">
        <f>F57+F58+F59</f>
        <v>214026.38999999972</v>
      </c>
      <c r="L55" s="420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421">
        <f>-C4</f>
        <v>-232165.91</v>
      </c>
      <c r="L57" s="422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398" t="s">
        <v>20</v>
      </c>
      <c r="E59" s="399"/>
      <c r="F59" s="129">
        <v>273736.42</v>
      </c>
      <c r="I59" s="400" t="s">
        <v>325</v>
      </c>
      <c r="J59" s="401"/>
      <c r="K59" s="402">
        <f>K55+K57</f>
        <v>-18139.520000000281</v>
      </c>
      <c r="L59" s="40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28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19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423"/>
      <c r="C1" s="425" t="s">
        <v>421</v>
      </c>
      <c r="D1" s="426"/>
      <c r="E1" s="426"/>
      <c r="F1" s="426"/>
      <c r="G1" s="426"/>
      <c r="H1" s="426"/>
      <c r="I1" s="426"/>
      <c r="J1" s="426"/>
      <c r="K1" s="426"/>
      <c r="L1" s="426"/>
      <c r="M1" s="426"/>
    </row>
    <row r="2" spans="1:21" ht="16.5" thickBot="1" x14ac:dyDescent="0.3">
      <c r="B2" s="424"/>
      <c r="C2" s="2"/>
      <c r="H2" s="4"/>
      <c r="I2" s="5"/>
      <c r="J2" s="6"/>
      <c r="L2" s="7"/>
      <c r="M2" s="5"/>
      <c r="N2" s="8"/>
    </row>
    <row r="3" spans="1:21" ht="21.75" thickBot="1" x14ac:dyDescent="0.35">
      <c r="B3" s="427" t="s">
        <v>0</v>
      </c>
      <c r="C3" s="428"/>
      <c r="D3" s="9"/>
      <c r="E3" s="10"/>
      <c r="F3" s="10"/>
      <c r="H3" s="429" t="s">
        <v>1</v>
      </c>
      <c r="I3" s="429"/>
      <c r="K3" s="12"/>
      <c r="L3" s="12"/>
      <c r="M3" s="4"/>
      <c r="R3" s="396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430" t="s">
        <v>3</v>
      </c>
      <c r="F4" s="431"/>
      <c r="H4" s="432" t="s">
        <v>4</v>
      </c>
      <c r="I4" s="433"/>
      <c r="J4" s="17"/>
      <c r="K4" s="18"/>
      <c r="L4" s="19"/>
      <c r="M4" s="20" t="s">
        <v>5</v>
      </c>
      <c r="N4" s="21" t="s">
        <v>6</v>
      </c>
      <c r="P4" s="403" t="s">
        <v>7</v>
      </c>
      <c r="Q4" s="404"/>
      <c r="R4" s="397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05">
        <f>SUM(M5:M39)</f>
        <v>2375259</v>
      </c>
      <c r="N40" s="407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06"/>
      <c r="N41" s="408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9" t="s">
        <v>12</v>
      </c>
      <c r="I53" s="410"/>
      <c r="J53" s="114"/>
      <c r="K53" s="411">
        <f>I51+L51</f>
        <v>52857.25</v>
      </c>
      <c r="L53" s="412"/>
      <c r="M53" s="413">
        <f>N40+M40</f>
        <v>2436376</v>
      </c>
      <c r="N53" s="414"/>
      <c r="P53" s="32"/>
      <c r="Q53" s="8"/>
    </row>
    <row r="54" spans="1:17" ht="15.75" x14ac:dyDescent="0.25">
      <c r="D54" s="415" t="s">
        <v>13</v>
      </c>
      <c r="E54" s="415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416" t="s">
        <v>14</v>
      </c>
      <c r="E55" s="416"/>
      <c r="F55" s="111">
        <v>-2401197.5699999998</v>
      </c>
      <c r="I55" s="417" t="s">
        <v>15</v>
      </c>
      <c r="J55" s="418"/>
      <c r="K55" s="419">
        <f>F57+F58+F59</f>
        <v>259241.77000000016</v>
      </c>
      <c r="L55" s="420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421">
        <f>-C4</f>
        <v>-273736.42</v>
      </c>
      <c r="L57" s="422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398" t="s">
        <v>20</v>
      </c>
      <c r="E59" s="399"/>
      <c r="F59" s="129">
        <v>236400.59</v>
      </c>
      <c r="I59" s="435" t="s">
        <v>325</v>
      </c>
      <c r="J59" s="436"/>
      <c r="K59" s="437">
        <f>K55+K57</f>
        <v>-14494.64999999982</v>
      </c>
      <c r="L59" s="43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18" workbookViewId="0">
      <selection activeCell="E37" sqref="E37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381">
        <v>44799</v>
      </c>
      <c r="E26" s="382">
        <v>135851.88</v>
      </c>
      <c r="F26" s="188">
        <f t="shared" si="0"/>
        <v>0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381">
        <v>44799</v>
      </c>
      <c r="E27" s="382">
        <v>68026.320000000007</v>
      </c>
      <c r="F27" s="188">
        <f t="shared" si="0"/>
        <v>0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381">
        <v>44799</v>
      </c>
      <c r="E28" s="382">
        <v>1920</v>
      </c>
      <c r="F28" s="188">
        <f t="shared" si="0"/>
        <v>0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381">
        <v>44799</v>
      </c>
      <c r="E29" s="382">
        <v>11649</v>
      </c>
      <c r="F29" s="188">
        <f t="shared" si="0"/>
        <v>0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381">
        <v>44799</v>
      </c>
      <c r="E30" s="382">
        <v>13548.8</v>
      </c>
      <c r="F30" s="188">
        <f t="shared" si="0"/>
        <v>0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381">
        <v>44799</v>
      </c>
      <c r="E31" s="382">
        <v>131246.78</v>
      </c>
      <c r="F31" s="188">
        <f t="shared" si="0"/>
        <v>0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381">
        <v>44799</v>
      </c>
      <c r="E32" s="382">
        <v>137590.51999999999</v>
      </c>
      <c r="F32" s="188">
        <f t="shared" si="0"/>
        <v>0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300">
        <v>44806</v>
      </c>
      <c r="E33" s="301">
        <v>42523.44</v>
      </c>
      <c r="F33" s="188">
        <f t="shared" si="0"/>
        <v>0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300">
        <v>44806</v>
      </c>
      <c r="E34" s="301">
        <v>175893.52</v>
      </c>
      <c r="F34" s="188">
        <f t="shared" si="0"/>
        <v>0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300">
        <v>44806</v>
      </c>
      <c r="E35" s="301">
        <v>507.4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2401197.5699999998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D33" sqref="D33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423"/>
      <c r="C1" s="425" t="s">
        <v>465</v>
      </c>
      <c r="D1" s="426"/>
      <c r="E1" s="426"/>
      <c r="F1" s="426"/>
      <c r="G1" s="426"/>
      <c r="H1" s="426"/>
      <c r="I1" s="426"/>
      <c r="J1" s="426"/>
      <c r="K1" s="426"/>
      <c r="L1" s="426"/>
      <c r="M1" s="426"/>
    </row>
    <row r="2" spans="1:21" ht="16.5" thickBot="1" x14ac:dyDescent="0.3">
      <c r="B2" s="424"/>
      <c r="C2" s="2"/>
      <c r="H2" s="4"/>
      <c r="I2" s="5"/>
      <c r="J2" s="6"/>
      <c r="L2" s="7"/>
      <c r="M2" s="5"/>
      <c r="N2" s="8"/>
    </row>
    <row r="3" spans="1:21" ht="21.75" thickBot="1" x14ac:dyDescent="0.35">
      <c r="B3" s="427" t="s">
        <v>0</v>
      </c>
      <c r="C3" s="428"/>
      <c r="D3" s="9"/>
      <c r="E3" s="10"/>
      <c r="F3" s="10"/>
      <c r="H3" s="429" t="s">
        <v>1</v>
      </c>
      <c r="I3" s="429"/>
      <c r="K3" s="12"/>
      <c r="L3" s="12"/>
      <c r="M3" s="4"/>
      <c r="R3" s="396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430" t="s">
        <v>3</v>
      </c>
      <c r="F4" s="431"/>
      <c r="H4" s="432" t="s">
        <v>4</v>
      </c>
      <c r="I4" s="433"/>
      <c r="J4" s="17"/>
      <c r="K4" s="18"/>
      <c r="L4" s="19"/>
      <c r="M4" s="20" t="s">
        <v>5</v>
      </c>
      <c r="N4" s="21" t="s">
        <v>6</v>
      </c>
      <c r="P4" s="403" t="s">
        <v>7</v>
      </c>
      <c r="Q4" s="404"/>
      <c r="R4" s="397"/>
    </row>
    <row r="5" spans="1:21" ht="18" thickBot="1" x14ac:dyDescent="0.35">
      <c r="A5" s="22" t="s">
        <v>8</v>
      </c>
      <c r="B5" s="23">
        <v>44802</v>
      </c>
      <c r="C5" s="305">
        <v>4560</v>
      </c>
      <c r="D5" s="306" t="s">
        <v>47</v>
      </c>
      <c r="E5" s="307">
        <v>44802</v>
      </c>
      <c r="F5" s="308">
        <v>47920</v>
      </c>
      <c r="G5" s="309"/>
      <c r="H5" s="310">
        <v>44802</v>
      </c>
      <c r="I5" s="311">
        <v>125</v>
      </c>
      <c r="J5" s="6"/>
      <c r="K5" s="174"/>
      <c r="L5" s="8"/>
      <c r="M5" s="30">
        <f>19000+26792.5</f>
        <v>45792.5</v>
      </c>
      <c r="N5" s="31">
        <v>0</v>
      </c>
      <c r="O5" s="314"/>
      <c r="P5" s="32">
        <f>N5+M5+L5+I5+C5</f>
        <v>50477.5</v>
      </c>
      <c r="Q5" s="12">
        <v>0</v>
      </c>
      <c r="R5" s="283">
        <v>2558</v>
      </c>
      <c r="S5" s="315">
        <v>44802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8">
        <v>61493</v>
      </c>
      <c r="H6" s="28">
        <v>44803</v>
      </c>
      <c r="I6" s="311">
        <v>88</v>
      </c>
      <c r="J6" s="36"/>
      <c r="K6" s="37"/>
      <c r="L6" s="38"/>
      <c r="M6" s="30">
        <f>30000+57998</f>
        <v>87998</v>
      </c>
      <c r="N6" s="31">
        <v>3567</v>
      </c>
      <c r="O6" s="314"/>
      <c r="P6" s="32">
        <f t="shared" ref="P6:P40" si="0">N6+M6+L6+I6+C6</f>
        <v>91653</v>
      </c>
      <c r="Q6" s="12">
        <v>0</v>
      </c>
      <c r="R6" s="283">
        <v>30160</v>
      </c>
      <c r="S6" s="315">
        <v>44803</v>
      </c>
    </row>
    <row r="7" spans="1:21" ht="18" thickBot="1" x14ac:dyDescent="0.35">
      <c r="A7" s="22"/>
      <c r="B7" s="23">
        <v>44804</v>
      </c>
      <c r="C7" s="305">
        <v>8</v>
      </c>
      <c r="D7" s="39" t="s">
        <v>34</v>
      </c>
      <c r="E7" s="26">
        <v>44804</v>
      </c>
      <c r="F7" s="312">
        <v>36876</v>
      </c>
      <c r="G7" s="309"/>
      <c r="H7" s="28">
        <v>44804</v>
      </c>
      <c r="I7" s="311">
        <v>188</v>
      </c>
      <c r="J7" s="36"/>
      <c r="K7" s="40"/>
      <c r="L7" s="38"/>
      <c r="M7" s="30">
        <f>26630+10000</f>
        <v>36630</v>
      </c>
      <c r="N7" s="31">
        <v>50</v>
      </c>
      <c r="O7" s="314"/>
      <c r="P7" s="32">
        <f>N7+M7+L7+I7+C7</f>
        <v>36876</v>
      </c>
      <c r="Q7" s="12">
        <f t="shared" ref="Q7:Q39" si="1">P7-F7</f>
        <v>0</v>
      </c>
      <c r="R7" s="12">
        <v>0</v>
      </c>
      <c r="S7" s="314">
        <v>44804</v>
      </c>
    </row>
    <row r="8" spans="1:21" ht="18" thickBot="1" x14ac:dyDescent="0.35">
      <c r="A8" s="22"/>
      <c r="B8" s="23">
        <v>44805</v>
      </c>
      <c r="C8" s="305">
        <v>22932</v>
      </c>
      <c r="D8" s="313" t="s">
        <v>49</v>
      </c>
      <c r="E8" s="307">
        <v>44805</v>
      </c>
      <c r="F8" s="308">
        <v>61899</v>
      </c>
      <c r="G8" s="309"/>
      <c r="H8" s="310">
        <v>44805</v>
      </c>
      <c r="I8" s="311">
        <v>63</v>
      </c>
      <c r="J8" s="42"/>
      <c r="K8" s="43"/>
      <c r="L8" s="38"/>
      <c r="M8" s="30">
        <f>20000+15422</f>
        <v>35422</v>
      </c>
      <c r="N8" s="31">
        <v>3482</v>
      </c>
      <c r="O8" s="314"/>
      <c r="P8" s="32">
        <f t="shared" si="0"/>
        <v>61899</v>
      </c>
      <c r="Q8" s="12">
        <f t="shared" si="1"/>
        <v>0</v>
      </c>
      <c r="R8" s="12">
        <v>0</v>
      </c>
      <c r="S8" s="314">
        <v>44805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8">
        <v>111381</v>
      </c>
      <c r="G9" s="309"/>
      <c r="H9" s="310">
        <v>44806</v>
      </c>
      <c r="I9" s="311">
        <v>65</v>
      </c>
      <c r="J9" s="36"/>
      <c r="K9" s="44"/>
      <c r="L9" s="38"/>
      <c r="M9" s="30">
        <f>65000+41977</f>
        <v>106977</v>
      </c>
      <c r="N9" s="31">
        <v>4339</v>
      </c>
      <c r="O9" s="314"/>
      <c r="P9" s="32">
        <f t="shared" si="0"/>
        <v>111381</v>
      </c>
      <c r="Q9" s="12">
        <f t="shared" si="1"/>
        <v>0</v>
      </c>
      <c r="R9" s="12">
        <v>0</v>
      </c>
      <c r="S9" s="314">
        <v>44806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466</v>
      </c>
      <c r="L10" s="46">
        <f>9500+3000</f>
        <v>12500</v>
      </c>
      <c r="M10" s="30">
        <f>50000+27706</f>
        <v>77706</v>
      </c>
      <c r="N10" s="31">
        <v>7615</v>
      </c>
      <c r="O10" s="314"/>
      <c r="P10" s="32">
        <f>N10+M10+L10+I10+C10</f>
        <v>97894</v>
      </c>
      <c r="Q10" s="12">
        <v>0</v>
      </c>
      <c r="R10" s="283">
        <v>4347</v>
      </c>
      <c r="S10" s="315">
        <v>44807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f>100000+25000+13263</f>
        <v>138263</v>
      </c>
      <c r="N11" s="31">
        <v>826</v>
      </c>
      <c r="O11" s="314"/>
      <c r="P11" s="32">
        <f>N11+M11+L11+I11+C11</f>
        <v>139225</v>
      </c>
      <c r="Q11" s="12">
        <v>0</v>
      </c>
      <c r="R11" s="283">
        <v>16320</v>
      </c>
      <c r="S11" s="314">
        <v>44808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f>26000+38248</f>
        <v>64248</v>
      </c>
      <c r="N12" s="31">
        <v>1704</v>
      </c>
      <c r="O12" s="314"/>
      <c r="P12" s="32">
        <f t="shared" si="0"/>
        <v>70174</v>
      </c>
      <c r="Q12" s="12">
        <f t="shared" si="1"/>
        <v>0</v>
      </c>
      <c r="R12" s="12">
        <v>0</v>
      </c>
      <c r="S12" s="314">
        <v>44809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f>47531+35000</f>
        <v>82531</v>
      </c>
      <c r="N13" s="31">
        <v>302</v>
      </c>
      <c r="O13" s="314"/>
      <c r="P13" s="32">
        <f t="shared" si="0"/>
        <v>82851</v>
      </c>
      <c r="Q13" s="12">
        <f t="shared" si="1"/>
        <v>0</v>
      </c>
      <c r="R13" s="12">
        <v>0</v>
      </c>
      <c r="S13" s="314">
        <v>44810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41978</v>
      </c>
      <c r="N14" s="31">
        <v>0</v>
      </c>
      <c r="O14" s="314"/>
      <c r="P14" s="32">
        <f t="shared" si="0"/>
        <v>42033</v>
      </c>
      <c r="Q14" s="12">
        <f t="shared" si="1"/>
        <v>0</v>
      </c>
      <c r="R14" s="12">
        <v>0</v>
      </c>
      <c r="S14" s="314">
        <v>44811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f>40000+36444</f>
        <v>76444</v>
      </c>
      <c r="N15" s="31">
        <v>3035</v>
      </c>
      <c r="O15" s="314"/>
      <c r="P15" s="32">
        <f t="shared" si="0"/>
        <v>79497</v>
      </c>
      <c r="Q15" s="12">
        <f t="shared" si="1"/>
        <v>0</v>
      </c>
      <c r="R15" s="12">
        <v>0</v>
      </c>
      <c r="S15" s="314">
        <v>44812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f>64104+50000</f>
        <v>114104</v>
      </c>
      <c r="N16" s="31">
        <v>722</v>
      </c>
      <c r="O16" s="314"/>
      <c r="P16" s="32">
        <f t="shared" si="0"/>
        <v>139439</v>
      </c>
      <c r="Q16" s="12">
        <f t="shared" si="1"/>
        <v>0</v>
      </c>
      <c r="R16" s="12">
        <v>0</v>
      </c>
      <c r="S16" s="314">
        <v>44813</v>
      </c>
    </row>
    <row r="17" spans="1:19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467</v>
      </c>
      <c r="L17" s="46">
        <v>8657</v>
      </c>
      <c r="M17" s="30">
        <f>40000+36427</f>
        <v>76427</v>
      </c>
      <c r="N17" s="31">
        <v>5318</v>
      </c>
      <c r="O17" s="314"/>
      <c r="P17" s="32">
        <f t="shared" si="0"/>
        <v>90718</v>
      </c>
      <c r="Q17" s="12">
        <f t="shared" si="1"/>
        <v>0</v>
      </c>
      <c r="R17" s="8">
        <v>0</v>
      </c>
      <c r="S17" s="314">
        <v>44814</v>
      </c>
    </row>
    <row r="18" spans="1:19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f>50000+65000+13519</f>
        <v>128519</v>
      </c>
      <c r="N18" s="31">
        <v>500</v>
      </c>
      <c r="O18" s="314"/>
      <c r="P18" s="32">
        <f t="shared" si="0"/>
        <v>129054</v>
      </c>
      <c r="Q18" s="12">
        <f t="shared" si="1"/>
        <v>0</v>
      </c>
      <c r="R18" s="8">
        <v>0</v>
      </c>
      <c r="S18" s="314">
        <v>44815</v>
      </c>
    </row>
    <row r="19" spans="1:19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f>52134+20000</f>
        <v>72134</v>
      </c>
      <c r="N19" s="31">
        <v>230</v>
      </c>
      <c r="O19" s="314"/>
      <c r="P19" s="32">
        <f t="shared" si="0"/>
        <v>77315</v>
      </c>
      <c r="Q19" s="12">
        <f t="shared" si="1"/>
        <v>0</v>
      </c>
      <c r="R19" s="8">
        <v>0</v>
      </c>
      <c r="S19" s="314">
        <v>44816</v>
      </c>
    </row>
    <row r="20" spans="1:19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f>62167+15000</f>
        <v>77167</v>
      </c>
      <c r="N20" s="31">
        <v>653</v>
      </c>
      <c r="O20" s="314"/>
      <c r="P20" s="32">
        <f t="shared" si="0"/>
        <v>77935</v>
      </c>
      <c r="Q20" s="12">
        <f t="shared" si="1"/>
        <v>0</v>
      </c>
      <c r="R20" s="8">
        <v>0</v>
      </c>
      <c r="S20" s="314">
        <v>44817</v>
      </c>
    </row>
    <row r="21" spans="1:19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f>65015+35000</f>
        <v>100015</v>
      </c>
      <c r="N21" s="31">
        <v>12446</v>
      </c>
      <c r="O21" s="314"/>
      <c r="P21" s="32">
        <f t="shared" si="0"/>
        <v>112539</v>
      </c>
      <c r="Q21" s="12">
        <f t="shared" si="1"/>
        <v>0</v>
      </c>
      <c r="R21" s="8">
        <v>0</v>
      </c>
      <c r="S21" s="314">
        <v>44818</v>
      </c>
    </row>
    <row r="22" spans="1:19" ht="18" thickBot="1" x14ac:dyDescent="0.35">
      <c r="A22" s="22"/>
      <c r="B22" s="23">
        <v>44819</v>
      </c>
      <c r="C22" s="24">
        <v>43</v>
      </c>
      <c r="D22" s="34" t="s">
        <v>34</v>
      </c>
      <c r="E22" s="26">
        <v>44819</v>
      </c>
      <c r="F22" s="27">
        <v>128781</v>
      </c>
      <c r="H22" s="28">
        <v>44819</v>
      </c>
      <c r="I22" s="29">
        <v>258</v>
      </c>
      <c r="J22" s="36"/>
      <c r="K22" s="43"/>
      <c r="L22" s="56"/>
      <c r="M22" s="30">
        <f>60000+67123</f>
        <v>127123</v>
      </c>
      <c r="N22" s="31">
        <v>1357</v>
      </c>
      <c r="O22" s="314"/>
      <c r="P22" s="32">
        <f t="shared" si="0"/>
        <v>128781</v>
      </c>
      <c r="Q22" s="12">
        <f t="shared" si="1"/>
        <v>0</v>
      </c>
      <c r="R22" s="8">
        <v>0</v>
      </c>
      <c r="S22" s="314">
        <v>44819</v>
      </c>
    </row>
    <row r="23" spans="1:19" ht="18" thickBot="1" x14ac:dyDescent="0.35">
      <c r="A23" s="22"/>
      <c r="B23" s="23">
        <v>44820</v>
      </c>
      <c r="C23" s="24">
        <v>26294</v>
      </c>
      <c r="D23" s="34" t="s">
        <v>49</v>
      </c>
      <c r="E23" s="26">
        <v>44820</v>
      </c>
      <c r="F23" s="27">
        <v>93698</v>
      </c>
      <c r="H23" s="28">
        <v>44820</v>
      </c>
      <c r="I23" s="29">
        <v>144</v>
      </c>
      <c r="J23" s="57"/>
      <c r="K23" s="58"/>
      <c r="L23" s="46"/>
      <c r="M23" s="30">
        <f>40000+26566</f>
        <v>66566</v>
      </c>
      <c r="N23" s="31">
        <v>694</v>
      </c>
      <c r="O23" s="314"/>
      <c r="P23" s="32">
        <f t="shared" si="0"/>
        <v>93698</v>
      </c>
      <c r="Q23" s="12">
        <f t="shared" si="1"/>
        <v>0</v>
      </c>
      <c r="R23" s="8">
        <v>0</v>
      </c>
      <c r="S23" s="314">
        <v>44820</v>
      </c>
    </row>
    <row r="24" spans="1:19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>
        <v>111198</v>
      </c>
      <c r="H24" s="28">
        <v>44821</v>
      </c>
      <c r="I24" s="29">
        <v>155</v>
      </c>
      <c r="J24" s="173"/>
      <c r="K24" s="60" t="s">
        <v>468</v>
      </c>
      <c r="L24" s="61">
        <v>14624</v>
      </c>
      <c r="M24" s="30">
        <f>50000+40990</f>
        <v>90990</v>
      </c>
      <c r="N24" s="31">
        <v>5429</v>
      </c>
      <c r="O24" s="314"/>
      <c r="P24" s="32">
        <f t="shared" si="0"/>
        <v>111198</v>
      </c>
      <c r="Q24" s="12">
        <f t="shared" si="1"/>
        <v>0</v>
      </c>
      <c r="R24" s="8">
        <v>0</v>
      </c>
      <c r="S24" s="314">
        <v>44821</v>
      </c>
    </row>
    <row r="25" spans="1:19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>
        <v>145703</v>
      </c>
      <c r="H25" s="28">
        <v>44822</v>
      </c>
      <c r="I25" s="29">
        <v>108</v>
      </c>
      <c r="J25" s="62"/>
      <c r="K25" s="280"/>
      <c r="L25" s="64"/>
      <c r="M25" s="30">
        <f>90000+40000+15305</f>
        <v>145305</v>
      </c>
      <c r="N25" s="31">
        <v>290</v>
      </c>
      <c r="O25" s="314"/>
      <c r="P25" s="32">
        <f t="shared" si="0"/>
        <v>145703</v>
      </c>
      <c r="Q25" s="12">
        <f t="shared" si="1"/>
        <v>0</v>
      </c>
      <c r="R25" s="8">
        <v>0</v>
      </c>
      <c r="S25" s="314">
        <v>44822</v>
      </c>
    </row>
    <row r="26" spans="1:19" ht="18" thickBot="1" x14ac:dyDescent="0.35">
      <c r="A26" s="22"/>
      <c r="B26" s="23">
        <v>44823</v>
      </c>
      <c r="C26" s="24">
        <v>4860</v>
      </c>
      <c r="D26" s="34" t="s">
        <v>469</v>
      </c>
      <c r="E26" s="26">
        <v>44823</v>
      </c>
      <c r="F26" s="27">
        <v>89271</v>
      </c>
      <c r="H26" s="28">
        <v>44823</v>
      </c>
      <c r="I26" s="29">
        <v>79</v>
      </c>
      <c r="J26" s="36"/>
      <c r="K26" s="60"/>
      <c r="L26" s="46"/>
      <c r="M26" s="30">
        <f>50000+33930</f>
        <v>83930</v>
      </c>
      <c r="N26" s="31">
        <v>402</v>
      </c>
      <c r="O26" s="314"/>
      <c r="P26" s="32">
        <f t="shared" si="0"/>
        <v>89271</v>
      </c>
      <c r="Q26" s="12">
        <f t="shared" si="1"/>
        <v>0</v>
      </c>
      <c r="R26" s="8">
        <v>0</v>
      </c>
      <c r="S26" s="314">
        <v>44823</v>
      </c>
    </row>
    <row r="27" spans="1:19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>
        <v>96379</v>
      </c>
      <c r="H27" s="28">
        <v>44824</v>
      </c>
      <c r="I27" s="29">
        <v>48</v>
      </c>
      <c r="J27" s="65"/>
      <c r="K27" s="66"/>
      <c r="L27" s="64"/>
      <c r="M27" s="30">
        <f>35000+61331</f>
        <v>96331</v>
      </c>
      <c r="N27" s="31">
        <v>0</v>
      </c>
      <c r="O27" s="314"/>
      <c r="P27" s="32">
        <f t="shared" si="0"/>
        <v>96379</v>
      </c>
      <c r="Q27" s="12">
        <f t="shared" si="1"/>
        <v>0</v>
      </c>
      <c r="R27" s="8">
        <v>0</v>
      </c>
      <c r="S27" s="314">
        <v>44824</v>
      </c>
    </row>
    <row r="28" spans="1:19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>
        <v>71070</v>
      </c>
      <c r="H28" s="28">
        <v>44825</v>
      </c>
      <c r="I28" s="29">
        <v>119</v>
      </c>
      <c r="J28" s="67"/>
      <c r="K28" s="68"/>
      <c r="L28" s="64"/>
      <c r="M28" s="30">
        <f>55951+15000</f>
        <v>70951</v>
      </c>
      <c r="N28" s="31">
        <v>0</v>
      </c>
      <c r="O28" s="314"/>
      <c r="P28" s="32">
        <f t="shared" si="0"/>
        <v>71070</v>
      </c>
      <c r="Q28" s="12">
        <f t="shared" si="1"/>
        <v>0</v>
      </c>
      <c r="R28" s="8">
        <v>0</v>
      </c>
      <c r="S28" s="314">
        <v>44825</v>
      </c>
    </row>
    <row r="29" spans="1:19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>
        <v>98470</v>
      </c>
      <c r="H29" s="28">
        <v>44826</v>
      </c>
      <c r="I29" s="29">
        <v>1367</v>
      </c>
      <c r="J29" s="65"/>
      <c r="K29" s="70"/>
      <c r="L29" s="64"/>
      <c r="M29" s="30">
        <f>67103+30000</f>
        <v>97103</v>
      </c>
      <c r="N29" s="31">
        <v>0</v>
      </c>
      <c r="O29" s="314"/>
      <c r="P29" s="32">
        <f t="shared" si="0"/>
        <v>98470</v>
      </c>
      <c r="Q29" s="12">
        <f t="shared" si="1"/>
        <v>0</v>
      </c>
      <c r="R29" s="8">
        <v>0</v>
      </c>
      <c r="S29" s="314">
        <v>44826</v>
      </c>
    </row>
    <row r="30" spans="1:19" ht="18" thickBot="1" x14ac:dyDescent="0.35">
      <c r="A30" s="22"/>
      <c r="B30" s="23">
        <v>44827</v>
      </c>
      <c r="C30" s="24">
        <v>7793</v>
      </c>
      <c r="D30" s="69" t="s">
        <v>49</v>
      </c>
      <c r="E30" s="26">
        <v>44827</v>
      </c>
      <c r="F30" s="27">
        <v>117536</v>
      </c>
      <c r="H30" s="28">
        <v>44827</v>
      </c>
      <c r="I30" s="29">
        <v>100</v>
      </c>
      <c r="J30" s="71"/>
      <c r="K30" s="72"/>
      <c r="L30" s="73"/>
      <c r="M30" s="30">
        <f>55000+34429+20000</f>
        <v>109429</v>
      </c>
      <c r="N30" s="31">
        <v>214</v>
      </c>
      <c r="O30" s="314"/>
      <c r="P30" s="32">
        <f t="shared" si="0"/>
        <v>117536</v>
      </c>
      <c r="Q30" s="12">
        <f t="shared" si="1"/>
        <v>0</v>
      </c>
      <c r="R30" s="8">
        <v>0</v>
      </c>
      <c r="S30" s="314">
        <v>44827</v>
      </c>
    </row>
    <row r="31" spans="1:19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>
        <v>106553</v>
      </c>
      <c r="H31" s="28">
        <v>44828</v>
      </c>
      <c r="I31" s="29">
        <v>86</v>
      </c>
      <c r="J31" s="71">
        <v>44828</v>
      </c>
      <c r="K31" s="74" t="s">
        <v>470</v>
      </c>
      <c r="L31" s="75">
        <v>10953</v>
      </c>
      <c r="M31" s="30">
        <f>52305+35000</f>
        <v>87305</v>
      </c>
      <c r="N31" s="31">
        <v>8209</v>
      </c>
      <c r="O31" s="314"/>
      <c r="P31" s="32">
        <f t="shared" si="0"/>
        <v>106553</v>
      </c>
      <c r="Q31" s="12">
        <f t="shared" si="1"/>
        <v>0</v>
      </c>
      <c r="R31" s="8">
        <v>0</v>
      </c>
      <c r="S31" s="314">
        <v>44828</v>
      </c>
    </row>
    <row r="32" spans="1:19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>
        <v>144028</v>
      </c>
      <c r="H32" s="28">
        <v>44829</v>
      </c>
      <c r="I32" s="29">
        <v>90</v>
      </c>
      <c r="J32" s="71"/>
      <c r="K32" s="72"/>
      <c r="L32" s="73"/>
      <c r="M32" s="30">
        <f>90000+40000+13302</f>
        <v>143302</v>
      </c>
      <c r="N32" s="31">
        <v>636</v>
      </c>
      <c r="O32" s="314"/>
      <c r="P32" s="32">
        <f t="shared" si="0"/>
        <v>144028</v>
      </c>
      <c r="Q32" s="12">
        <f t="shared" si="1"/>
        <v>0</v>
      </c>
      <c r="R32" s="8">
        <v>0</v>
      </c>
      <c r="S32" s="314">
        <v>44829</v>
      </c>
    </row>
    <row r="33" spans="1:19" ht="18" thickBot="1" x14ac:dyDescent="0.35">
      <c r="A33" s="22"/>
      <c r="B33" s="23">
        <v>44830</v>
      </c>
      <c r="C33" s="24">
        <v>5250</v>
      </c>
      <c r="D33" s="77" t="s">
        <v>469</v>
      </c>
      <c r="E33" s="26">
        <v>44830</v>
      </c>
      <c r="F33" s="27">
        <v>69263</v>
      </c>
      <c r="H33" s="28">
        <v>44830</v>
      </c>
      <c r="I33" s="29">
        <v>163</v>
      </c>
      <c r="J33" s="71"/>
      <c r="K33" s="74"/>
      <c r="L33" s="78"/>
      <c r="M33" s="30">
        <f>15000+48549</f>
        <v>63549</v>
      </c>
      <c r="N33" s="31">
        <v>301</v>
      </c>
      <c r="O33" s="314"/>
      <c r="P33" s="32">
        <f t="shared" si="0"/>
        <v>69263</v>
      </c>
      <c r="Q33" s="12">
        <f t="shared" si="1"/>
        <v>0</v>
      </c>
      <c r="R33" s="8">
        <v>0</v>
      </c>
      <c r="S33" s="314">
        <v>44830</v>
      </c>
    </row>
    <row r="34" spans="1:19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>
        <v>78606</v>
      </c>
      <c r="H34" s="28">
        <v>44831</v>
      </c>
      <c r="I34" s="29">
        <v>35</v>
      </c>
      <c r="J34" s="71"/>
      <c r="K34" s="79"/>
      <c r="L34" s="80"/>
      <c r="M34" s="30">
        <f>23071+50000+5000</f>
        <v>78071</v>
      </c>
      <c r="N34" s="31">
        <v>500</v>
      </c>
      <c r="O34" s="314"/>
      <c r="P34" s="32">
        <f t="shared" si="0"/>
        <v>78606</v>
      </c>
      <c r="Q34" s="12">
        <f t="shared" si="1"/>
        <v>0</v>
      </c>
      <c r="R34" s="8">
        <v>0</v>
      </c>
      <c r="S34" s="314">
        <v>44831</v>
      </c>
    </row>
    <row r="35" spans="1:19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>
        <v>55817</v>
      </c>
      <c r="H35" s="28">
        <v>44832</v>
      </c>
      <c r="I35" s="29">
        <v>143</v>
      </c>
      <c r="J35" s="71"/>
      <c r="K35" s="74"/>
      <c r="L35" s="78"/>
      <c r="M35" s="30">
        <f>5000+44735+5869</f>
        <v>55604</v>
      </c>
      <c r="N35" s="31">
        <v>70</v>
      </c>
      <c r="O35" s="314"/>
      <c r="P35" s="32">
        <f t="shared" si="0"/>
        <v>55817</v>
      </c>
      <c r="Q35" s="12">
        <f t="shared" si="1"/>
        <v>0</v>
      </c>
      <c r="R35" s="8">
        <v>0</v>
      </c>
      <c r="S35" s="314">
        <v>44832</v>
      </c>
    </row>
    <row r="36" spans="1:19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>
        <v>97461</v>
      </c>
      <c r="H36" s="28">
        <v>44833</v>
      </c>
      <c r="I36" s="29">
        <v>99</v>
      </c>
      <c r="J36" s="289"/>
      <c r="K36" s="291"/>
      <c r="L36" s="78"/>
      <c r="M36" s="30">
        <f>22362+50000+25000</f>
        <v>97362</v>
      </c>
      <c r="N36" s="31">
        <v>0</v>
      </c>
      <c r="O36" s="314"/>
      <c r="P36" s="32">
        <f t="shared" si="0"/>
        <v>97461</v>
      </c>
      <c r="Q36" s="12">
        <f t="shared" si="1"/>
        <v>0</v>
      </c>
      <c r="R36" s="8">
        <v>0</v>
      </c>
      <c r="S36" s="314">
        <v>44833</v>
      </c>
    </row>
    <row r="37" spans="1:19" ht="18" thickBot="1" x14ac:dyDescent="0.35">
      <c r="A37" s="22"/>
      <c r="B37" s="23">
        <v>44834</v>
      </c>
      <c r="C37" s="24">
        <v>26722</v>
      </c>
      <c r="D37" s="76" t="s">
        <v>49</v>
      </c>
      <c r="E37" s="26">
        <v>44834</v>
      </c>
      <c r="F37" s="27">
        <v>152679</v>
      </c>
      <c r="H37" s="28">
        <v>44834</v>
      </c>
      <c r="I37" s="29">
        <v>122</v>
      </c>
      <c r="J37" s="71"/>
      <c r="K37" s="290"/>
      <c r="L37" s="78"/>
      <c r="M37" s="30">
        <f>25000+70000+27665</f>
        <v>122665</v>
      </c>
      <c r="N37" s="31">
        <v>3170</v>
      </c>
      <c r="O37" s="314"/>
      <c r="P37" s="32">
        <f t="shared" si="0"/>
        <v>152679</v>
      </c>
      <c r="Q37" s="12">
        <f t="shared" si="1"/>
        <v>0</v>
      </c>
      <c r="R37" s="8">
        <v>0</v>
      </c>
      <c r="S37" s="314">
        <v>44834</v>
      </c>
    </row>
    <row r="38" spans="1:19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>
        <v>125202</v>
      </c>
      <c r="H38" s="28">
        <v>44835</v>
      </c>
      <c r="I38" s="29">
        <v>133</v>
      </c>
      <c r="J38" s="71">
        <v>44835</v>
      </c>
      <c r="K38" s="40" t="s">
        <v>472</v>
      </c>
      <c r="L38" s="78">
        <v>10470</v>
      </c>
      <c r="M38" s="30">
        <f>25000+65000+17912</f>
        <v>107912</v>
      </c>
      <c r="N38" s="31">
        <v>6687</v>
      </c>
      <c r="O38" s="314"/>
      <c r="P38" s="32">
        <f t="shared" si="0"/>
        <v>125202</v>
      </c>
      <c r="Q38" s="12">
        <f t="shared" si="1"/>
        <v>0</v>
      </c>
      <c r="R38" s="8">
        <v>0</v>
      </c>
      <c r="S38" s="314">
        <v>44835</v>
      </c>
    </row>
    <row r="39" spans="1:19" ht="18" thickBot="1" x14ac:dyDescent="0.35">
      <c r="A39" s="22"/>
      <c r="B39" s="23">
        <v>44836</v>
      </c>
      <c r="C39" s="24">
        <v>16</v>
      </c>
      <c r="D39" s="77" t="s">
        <v>34</v>
      </c>
      <c r="E39" s="26">
        <v>44836</v>
      </c>
      <c r="F39" s="83">
        <v>145363</v>
      </c>
      <c r="H39" s="28">
        <v>44836</v>
      </c>
      <c r="I39" s="29">
        <v>70</v>
      </c>
      <c r="J39" s="71"/>
      <c r="K39" s="266"/>
      <c r="L39" s="73"/>
      <c r="M39" s="30">
        <f>16456+85000+40000</f>
        <v>141456</v>
      </c>
      <c r="N39" s="31">
        <v>3821</v>
      </c>
      <c r="O39" s="314"/>
      <c r="P39" s="32">
        <f t="shared" si="0"/>
        <v>145363</v>
      </c>
      <c r="Q39" s="12">
        <f t="shared" si="1"/>
        <v>0</v>
      </c>
      <c r="R39" s="8">
        <v>0</v>
      </c>
      <c r="S39" s="314">
        <v>44836</v>
      </c>
    </row>
    <row r="40" spans="1:19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>
        <v>44804</v>
      </c>
      <c r="K40" s="317" t="s">
        <v>204</v>
      </c>
      <c r="L40" s="73">
        <v>927.48</v>
      </c>
      <c r="M40" s="405">
        <f>SUM(M5:M39)</f>
        <v>3147309.5</v>
      </c>
      <c r="N40" s="407">
        <f>SUM(N5:N39)</f>
        <v>76569</v>
      </c>
      <c r="P40" s="32">
        <f t="shared" si="0"/>
        <v>3224805.98</v>
      </c>
      <c r="Q40" s="284">
        <f>SUM(Q5:Q39)</f>
        <v>0</v>
      </c>
      <c r="R40" s="316">
        <f>SUM(R5:R39)</f>
        <v>53385</v>
      </c>
    </row>
    <row r="41" spans="1:19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44809</v>
      </c>
      <c r="K41" s="318" t="s">
        <v>190</v>
      </c>
      <c r="L41" s="73">
        <v>33312</v>
      </c>
      <c r="M41" s="406"/>
      <c r="N41" s="408"/>
      <c r="P41" s="32"/>
      <c r="Q41" s="8"/>
    </row>
    <row r="42" spans="1:19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 t="s">
        <v>471</v>
      </c>
      <c r="J42" s="71">
        <v>44814</v>
      </c>
      <c r="K42" s="235" t="s">
        <v>205</v>
      </c>
      <c r="L42" s="73">
        <v>1392</v>
      </c>
      <c r="M42" s="94"/>
      <c r="N42" s="95"/>
      <c r="P42" s="32"/>
      <c r="Q42" s="8"/>
    </row>
    <row r="43" spans="1:19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>
        <v>44824</v>
      </c>
      <c r="K43" s="74" t="s">
        <v>464</v>
      </c>
      <c r="L43" s="78">
        <v>549</v>
      </c>
      <c r="M43" s="94"/>
      <c r="N43" s="95"/>
      <c r="P43" s="32"/>
      <c r="Q43" s="8"/>
    </row>
    <row r="44" spans="1:19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 t="s">
        <v>473</v>
      </c>
      <c r="J44" s="71">
        <v>44830</v>
      </c>
      <c r="K44" s="319" t="s">
        <v>204</v>
      </c>
      <c r="L44" s="78">
        <v>979.68</v>
      </c>
      <c r="M44" s="94"/>
      <c r="N44" s="95"/>
      <c r="P44" s="32"/>
      <c r="Q44" s="8"/>
    </row>
    <row r="45" spans="1:19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>
        <v>44834</v>
      </c>
      <c r="K45" s="74" t="s">
        <v>378</v>
      </c>
      <c r="L45" s="78">
        <v>3257.71</v>
      </c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131704</v>
      </c>
      <c r="D51" s="103"/>
      <c r="E51" s="104" t="s">
        <v>9</v>
      </c>
      <c r="F51" s="105">
        <f>SUM(F5:F50)</f>
        <v>3364654</v>
      </c>
      <c r="G51" s="103"/>
      <c r="H51" s="106" t="s">
        <v>10</v>
      </c>
      <c r="I51" s="107">
        <f>SUM(I5:I50)</f>
        <v>5252</v>
      </c>
      <c r="J51" s="108"/>
      <c r="K51" s="109" t="s">
        <v>11</v>
      </c>
      <c r="L51" s="110">
        <f>SUM(L5:L50)</f>
        <v>97621.87000000001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9" t="s">
        <v>12</v>
      </c>
      <c r="I53" s="410"/>
      <c r="J53" s="114"/>
      <c r="K53" s="411">
        <f>I51+L51</f>
        <v>102873.87000000001</v>
      </c>
      <c r="L53" s="412"/>
      <c r="M53" s="413">
        <f>N40+M40</f>
        <v>3223878.5</v>
      </c>
      <c r="N53" s="414"/>
      <c r="P53" s="32"/>
      <c r="Q53" s="8"/>
    </row>
    <row r="54" spans="1:17" ht="15.75" x14ac:dyDescent="0.25">
      <c r="D54" s="415" t="s">
        <v>13</v>
      </c>
      <c r="E54" s="415"/>
      <c r="F54" s="115">
        <f>F51-K53-C51</f>
        <v>3130076.13</v>
      </c>
      <c r="I54" s="116"/>
      <c r="J54" s="117"/>
      <c r="P54" s="32"/>
      <c r="Q54" s="8"/>
    </row>
    <row r="55" spans="1:17" ht="18.75" x14ac:dyDescent="0.3">
      <c r="D55" s="416" t="s">
        <v>14</v>
      </c>
      <c r="E55" s="416"/>
      <c r="F55" s="111">
        <v>-3171951.31</v>
      </c>
      <c r="I55" s="417" t="s">
        <v>15</v>
      </c>
      <c r="J55" s="418"/>
      <c r="K55" s="419">
        <f>F57+F58+F59</f>
        <v>265314.0299999998</v>
      </c>
      <c r="L55" s="420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-41875.180000000168</v>
      </c>
      <c r="H57" s="22"/>
      <c r="I57" s="124" t="s">
        <v>17</v>
      </c>
      <c r="J57" s="125"/>
      <c r="K57" s="421">
        <f>-C4</f>
        <v>-236400.59</v>
      </c>
      <c r="L57" s="422"/>
    </row>
    <row r="58" spans="1:17" ht="16.5" thickBot="1" x14ac:dyDescent="0.3">
      <c r="D58" s="126" t="s">
        <v>18</v>
      </c>
      <c r="E58" s="33" t="s">
        <v>19</v>
      </c>
      <c r="F58" s="127">
        <v>64835</v>
      </c>
    </row>
    <row r="59" spans="1:17" ht="20.25" thickTop="1" thickBot="1" x14ac:dyDescent="0.35">
      <c r="C59" s="128">
        <v>44836</v>
      </c>
      <c r="D59" s="398" t="s">
        <v>20</v>
      </c>
      <c r="E59" s="399"/>
      <c r="F59" s="129">
        <v>242354.21</v>
      </c>
      <c r="I59" s="435" t="s">
        <v>325</v>
      </c>
      <c r="J59" s="436"/>
      <c r="K59" s="437">
        <f>K55+K57</f>
        <v>28913.439999999799</v>
      </c>
      <c r="L59" s="43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1:L45">
    <sortCondition ref="J41:J45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topLeftCell="A34" workbookViewId="0">
      <selection activeCell="D86" sqref="D86"/>
    </sheetView>
  </sheetViews>
  <sheetFormatPr baseColWidth="10" defaultRowHeight="15.7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44802</v>
      </c>
      <c r="B3" s="255" t="s">
        <v>474</v>
      </c>
      <c r="C3" s="256">
        <v>121359.44</v>
      </c>
      <c r="D3" s="385">
        <v>44806</v>
      </c>
      <c r="E3" s="383">
        <v>121359.44</v>
      </c>
      <c r="F3" s="152">
        <f>C3-E3</f>
        <v>0</v>
      </c>
      <c r="J3" s="127"/>
    </row>
    <row r="4" spans="1:10" x14ac:dyDescent="0.25">
      <c r="A4" s="257">
        <v>44804</v>
      </c>
      <c r="B4" s="258" t="s">
        <v>475</v>
      </c>
      <c r="C4" s="127">
        <v>70490.48</v>
      </c>
      <c r="D4" s="385">
        <v>44806</v>
      </c>
      <c r="E4" s="384">
        <v>70490.48</v>
      </c>
      <c r="F4" s="188">
        <f>C4-E4+F3</f>
        <v>0</v>
      </c>
      <c r="J4" s="256"/>
    </row>
    <row r="5" spans="1:10" x14ac:dyDescent="0.25">
      <c r="A5" s="257">
        <v>44805</v>
      </c>
      <c r="B5" s="258" t="s">
        <v>476</v>
      </c>
      <c r="C5" s="127">
        <v>9687.1</v>
      </c>
      <c r="D5" s="385">
        <v>44806</v>
      </c>
      <c r="E5" s="384">
        <v>9687.1</v>
      </c>
      <c r="F5" s="188">
        <f t="shared" ref="F5:F68" si="0">C5-E5+F4</f>
        <v>0</v>
      </c>
      <c r="J5" s="127"/>
    </row>
    <row r="6" spans="1:10" ht="18.75" x14ac:dyDescent="0.3">
      <c r="A6" s="257">
        <v>44805</v>
      </c>
      <c r="B6" s="258" t="s">
        <v>477</v>
      </c>
      <c r="C6" s="127">
        <v>1392.3</v>
      </c>
      <c r="D6" s="385">
        <v>44806</v>
      </c>
      <c r="E6" s="384">
        <v>1392.3</v>
      </c>
      <c r="F6" s="188">
        <f t="shared" si="0"/>
        <v>0</v>
      </c>
      <c r="G6" s="156"/>
      <c r="J6" s="127"/>
    </row>
    <row r="7" spans="1:10" x14ac:dyDescent="0.25">
      <c r="A7" s="257">
        <v>44805</v>
      </c>
      <c r="B7" s="258" t="s">
        <v>478</v>
      </c>
      <c r="C7" s="127">
        <v>63143.99</v>
      </c>
      <c r="D7" s="385">
        <v>44806</v>
      </c>
      <c r="E7" s="384">
        <v>63143.99</v>
      </c>
      <c r="F7" s="188">
        <f t="shared" si="0"/>
        <v>0</v>
      </c>
      <c r="J7" s="127"/>
    </row>
    <row r="8" spans="1:10" x14ac:dyDescent="0.25">
      <c r="A8" s="257">
        <v>44806</v>
      </c>
      <c r="B8" s="258" t="s">
        <v>479</v>
      </c>
      <c r="C8" s="127">
        <v>110657.18</v>
      </c>
      <c r="D8" s="385">
        <v>44806</v>
      </c>
      <c r="E8" s="384">
        <v>110657.18</v>
      </c>
      <c r="F8" s="188">
        <f t="shared" si="0"/>
        <v>0</v>
      </c>
      <c r="J8" s="127"/>
    </row>
    <row r="9" spans="1:10" x14ac:dyDescent="0.25">
      <c r="A9" s="257">
        <v>44806</v>
      </c>
      <c r="B9" s="258" t="s">
        <v>480</v>
      </c>
      <c r="C9" s="127">
        <v>20028.400000000001</v>
      </c>
      <c r="D9" s="387">
        <v>44814</v>
      </c>
      <c r="E9" s="277">
        <v>20028.400000000001</v>
      </c>
      <c r="F9" s="188">
        <f t="shared" si="0"/>
        <v>0</v>
      </c>
      <c r="J9" s="127"/>
    </row>
    <row r="10" spans="1:10" x14ac:dyDescent="0.25">
      <c r="A10" s="257">
        <v>44807</v>
      </c>
      <c r="B10" s="258" t="s">
        <v>481</v>
      </c>
      <c r="C10" s="127">
        <v>99866.84</v>
      </c>
      <c r="D10" s="387">
        <v>44814</v>
      </c>
      <c r="E10" s="277">
        <v>99866.84</v>
      </c>
      <c r="F10" s="188">
        <f t="shared" si="0"/>
        <v>0</v>
      </c>
      <c r="J10" s="33">
        <v>0</v>
      </c>
    </row>
    <row r="11" spans="1:10" x14ac:dyDescent="0.25">
      <c r="A11" s="257">
        <v>44808</v>
      </c>
      <c r="B11" s="258" t="s">
        <v>482</v>
      </c>
      <c r="C11" s="127">
        <v>4343</v>
      </c>
      <c r="D11" s="387">
        <v>44814</v>
      </c>
      <c r="E11" s="277">
        <v>4343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44809</v>
      </c>
      <c r="B12" s="258" t="s">
        <v>483</v>
      </c>
      <c r="C12" s="127">
        <v>162404.20000000001</v>
      </c>
      <c r="D12" s="387">
        <v>44814</v>
      </c>
      <c r="E12" s="277">
        <v>162404.20000000001</v>
      </c>
      <c r="F12" s="188">
        <f t="shared" si="0"/>
        <v>0</v>
      </c>
      <c r="G12" s="156"/>
    </row>
    <row r="13" spans="1:10" x14ac:dyDescent="0.25">
      <c r="A13" s="257">
        <v>44810</v>
      </c>
      <c r="B13" s="258" t="s">
        <v>484</v>
      </c>
      <c r="C13" s="127">
        <v>100681.72</v>
      </c>
      <c r="D13" s="387">
        <v>44814</v>
      </c>
      <c r="E13" s="277">
        <v>100681.72</v>
      </c>
      <c r="F13" s="188">
        <f t="shared" si="0"/>
        <v>0</v>
      </c>
    </row>
    <row r="14" spans="1:10" x14ac:dyDescent="0.25">
      <c r="A14" s="257">
        <v>44810</v>
      </c>
      <c r="B14" s="258" t="s">
        <v>485</v>
      </c>
      <c r="C14" s="127">
        <v>4737.7</v>
      </c>
      <c r="D14" s="387">
        <v>44814</v>
      </c>
      <c r="E14" s="277">
        <v>4737.7</v>
      </c>
      <c r="F14" s="188">
        <f t="shared" si="0"/>
        <v>0</v>
      </c>
    </row>
    <row r="15" spans="1:10" x14ac:dyDescent="0.25">
      <c r="A15" s="257">
        <v>44812</v>
      </c>
      <c r="B15" s="258" t="s">
        <v>486</v>
      </c>
      <c r="C15" s="127">
        <v>126371.9</v>
      </c>
      <c r="D15" s="387">
        <v>44814</v>
      </c>
      <c r="E15" s="277">
        <v>126371.9</v>
      </c>
      <c r="F15" s="188">
        <f t="shared" si="0"/>
        <v>0</v>
      </c>
    </row>
    <row r="16" spans="1:10" x14ac:dyDescent="0.25">
      <c r="A16" s="257">
        <v>44814</v>
      </c>
      <c r="B16" s="258" t="s">
        <v>487</v>
      </c>
      <c r="C16" s="127">
        <v>151423.09</v>
      </c>
      <c r="D16" s="300">
        <v>44819</v>
      </c>
      <c r="E16" s="301">
        <v>151423.09</v>
      </c>
      <c r="F16" s="188">
        <f t="shared" si="0"/>
        <v>0</v>
      </c>
    </row>
    <row r="17" spans="1:7" x14ac:dyDescent="0.25">
      <c r="A17" s="257">
        <v>44814</v>
      </c>
      <c r="B17" s="258" t="s">
        <v>488</v>
      </c>
      <c r="C17" s="127">
        <v>2880</v>
      </c>
      <c r="D17" s="300">
        <v>44819</v>
      </c>
      <c r="E17" s="301">
        <v>2880</v>
      </c>
      <c r="F17" s="188">
        <f t="shared" si="0"/>
        <v>0</v>
      </c>
    </row>
    <row r="18" spans="1:7" x14ac:dyDescent="0.25">
      <c r="A18" s="257">
        <v>44815</v>
      </c>
      <c r="B18" s="258" t="s">
        <v>489</v>
      </c>
      <c r="C18" s="127">
        <v>43875.1</v>
      </c>
      <c r="D18" s="300">
        <v>44819</v>
      </c>
      <c r="E18" s="301">
        <v>43875.1</v>
      </c>
      <c r="F18" s="188">
        <f t="shared" si="0"/>
        <v>0</v>
      </c>
    </row>
    <row r="19" spans="1:7" x14ac:dyDescent="0.25">
      <c r="A19" s="257">
        <v>44816</v>
      </c>
      <c r="B19" s="258" t="s">
        <v>490</v>
      </c>
      <c r="C19" s="127">
        <v>130202.7</v>
      </c>
      <c r="D19" s="300">
        <v>44819</v>
      </c>
      <c r="E19" s="301">
        <v>130202.7</v>
      </c>
      <c r="F19" s="188">
        <f t="shared" si="0"/>
        <v>0</v>
      </c>
    </row>
    <row r="20" spans="1:7" x14ac:dyDescent="0.25">
      <c r="A20" s="257">
        <v>44817</v>
      </c>
      <c r="B20" s="258" t="s">
        <v>491</v>
      </c>
      <c r="C20" s="127">
        <v>143921.60000000001</v>
      </c>
      <c r="D20" s="300">
        <v>44819</v>
      </c>
      <c r="E20" s="301">
        <v>143921.60000000001</v>
      </c>
      <c r="F20" s="188">
        <f t="shared" si="0"/>
        <v>0</v>
      </c>
    </row>
    <row r="21" spans="1:7" x14ac:dyDescent="0.25">
      <c r="A21" s="257">
        <v>44818</v>
      </c>
      <c r="B21" s="258" t="s">
        <v>492</v>
      </c>
      <c r="C21" s="127">
        <v>134490</v>
      </c>
      <c r="D21" s="300">
        <v>44819</v>
      </c>
      <c r="E21" s="301">
        <v>134490</v>
      </c>
      <c r="F21" s="188">
        <f t="shared" si="0"/>
        <v>0</v>
      </c>
    </row>
    <row r="22" spans="1:7" x14ac:dyDescent="0.25">
      <c r="A22" s="257">
        <v>44819</v>
      </c>
      <c r="B22" s="258" t="s">
        <v>493</v>
      </c>
      <c r="C22" s="127">
        <v>15710.72</v>
      </c>
      <c r="D22" s="300">
        <v>44819</v>
      </c>
      <c r="E22" s="301">
        <v>15710.72</v>
      </c>
      <c r="F22" s="188">
        <f t="shared" si="0"/>
        <v>0</v>
      </c>
    </row>
    <row r="23" spans="1:7" x14ac:dyDescent="0.25">
      <c r="A23" s="257">
        <v>44820</v>
      </c>
      <c r="B23" s="258" t="s">
        <v>494</v>
      </c>
      <c r="C23" s="127">
        <v>145559.48000000001</v>
      </c>
      <c r="D23" s="300">
        <v>44819</v>
      </c>
      <c r="E23" s="301">
        <v>145559.48000000001</v>
      </c>
      <c r="F23" s="188">
        <f t="shared" si="0"/>
        <v>0</v>
      </c>
    </row>
    <row r="24" spans="1:7" ht="18.75" x14ac:dyDescent="0.3">
      <c r="A24" s="257">
        <v>44821</v>
      </c>
      <c r="B24" s="258" t="s">
        <v>495</v>
      </c>
      <c r="C24" s="127">
        <v>43231.199999999997</v>
      </c>
      <c r="D24" s="300">
        <v>44819</v>
      </c>
      <c r="E24" s="301">
        <v>43231.199999999997</v>
      </c>
      <c r="F24" s="188">
        <f t="shared" si="0"/>
        <v>0</v>
      </c>
      <c r="G24" s="156"/>
    </row>
    <row r="25" spans="1:7" ht="31.5" x14ac:dyDescent="0.25">
      <c r="A25" s="257">
        <v>44821</v>
      </c>
      <c r="B25" s="258" t="s">
        <v>496</v>
      </c>
      <c r="C25" s="127">
        <v>74093.38</v>
      </c>
      <c r="D25" s="390" t="s">
        <v>557</v>
      </c>
      <c r="E25" s="274">
        <f>35520.66+38572.72</f>
        <v>74093.38</v>
      </c>
      <c r="F25" s="188">
        <f t="shared" si="0"/>
        <v>0</v>
      </c>
    </row>
    <row r="26" spans="1:7" x14ac:dyDescent="0.25">
      <c r="A26" s="257">
        <v>44821</v>
      </c>
      <c r="B26" s="258" t="s">
        <v>497</v>
      </c>
      <c r="C26" s="127">
        <v>1852.32</v>
      </c>
      <c r="D26" s="304">
        <v>44827</v>
      </c>
      <c r="E26" s="274">
        <v>1852.32</v>
      </c>
      <c r="F26" s="188">
        <f t="shared" si="0"/>
        <v>0</v>
      </c>
    </row>
    <row r="27" spans="1:7" ht="18.75" customHeight="1" x14ac:dyDescent="0.25">
      <c r="A27" s="257">
        <v>44821</v>
      </c>
      <c r="B27" s="258" t="s">
        <v>498</v>
      </c>
      <c r="C27" s="127">
        <v>15179.4</v>
      </c>
      <c r="D27" s="304">
        <v>44827</v>
      </c>
      <c r="E27" s="274">
        <v>15179.4</v>
      </c>
      <c r="F27" s="188">
        <f t="shared" si="0"/>
        <v>0</v>
      </c>
    </row>
    <row r="28" spans="1:7" ht="18.75" customHeight="1" x14ac:dyDescent="0.25">
      <c r="A28" s="257">
        <v>44822</v>
      </c>
      <c r="B28" s="258" t="s">
        <v>499</v>
      </c>
      <c r="C28" s="127">
        <v>78457.2</v>
      </c>
      <c r="D28" s="304">
        <v>44827</v>
      </c>
      <c r="E28" s="274">
        <v>78457.2</v>
      </c>
      <c r="F28" s="188">
        <f t="shared" si="0"/>
        <v>0</v>
      </c>
    </row>
    <row r="29" spans="1:7" ht="18.75" customHeight="1" x14ac:dyDescent="0.25">
      <c r="A29" s="257">
        <v>44823</v>
      </c>
      <c r="B29" s="258" t="s">
        <v>500</v>
      </c>
      <c r="C29" s="127">
        <v>72034.820000000007</v>
      </c>
      <c r="D29" s="304">
        <v>44827</v>
      </c>
      <c r="E29" s="274">
        <v>72034.820000000007</v>
      </c>
      <c r="F29" s="188">
        <f t="shared" si="0"/>
        <v>0</v>
      </c>
    </row>
    <row r="30" spans="1:7" ht="18.75" customHeight="1" x14ac:dyDescent="0.25">
      <c r="A30" s="257">
        <v>44824</v>
      </c>
      <c r="B30" s="258" t="s">
        <v>501</v>
      </c>
      <c r="C30" s="127">
        <v>150680.32000000001</v>
      </c>
      <c r="D30" s="304">
        <v>44827</v>
      </c>
      <c r="E30" s="274">
        <v>150680.32000000001</v>
      </c>
      <c r="F30" s="188">
        <f t="shared" si="0"/>
        <v>0</v>
      </c>
    </row>
    <row r="31" spans="1:7" ht="18.75" customHeight="1" x14ac:dyDescent="0.25">
      <c r="A31" s="257">
        <v>44825</v>
      </c>
      <c r="B31" s="258" t="s">
        <v>502</v>
      </c>
      <c r="C31" s="127">
        <v>168795.67</v>
      </c>
      <c r="D31" s="304">
        <v>44827</v>
      </c>
      <c r="E31" s="274">
        <v>168795.67</v>
      </c>
      <c r="F31" s="188">
        <f t="shared" si="0"/>
        <v>0</v>
      </c>
    </row>
    <row r="32" spans="1:7" ht="18.75" customHeight="1" x14ac:dyDescent="0.3">
      <c r="A32" s="257">
        <v>44827</v>
      </c>
      <c r="B32" s="258" t="s">
        <v>503</v>
      </c>
      <c r="C32" s="127">
        <v>167099.1</v>
      </c>
      <c r="D32" s="304">
        <v>44827</v>
      </c>
      <c r="E32" s="274">
        <v>167099.1</v>
      </c>
      <c r="F32" s="188">
        <f t="shared" si="0"/>
        <v>0</v>
      </c>
      <c r="G32" s="156"/>
    </row>
    <row r="33" spans="1:6" ht="18.75" customHeight="1" x14ac:dyDescent="0.25">
      <c r="A33" s="257">
        <v>44827</v>
      </c>
      <c r="B33" s="258" t="s">
        <v>504</v>
      </c>
      <c r="C33" s="127">
        <v>10374.799999999999</v>
      </c>
      <c r="D33" s="297">
        <v>44834</v>
      </c>
      <c r="E33" s="296">
        <v>10374.799999999999</v>
      </c>
      <c r="F33" s="188">
        <f t="shared" si="0"/>
        <v>0</v>
      </c>
    </row>
    <row r="34" spans="1:6" ht="18.75" customHeight="1" x14ac:dyDescent="0.25">
      <c r="A34" s="257">
        <v>44828</v>
      </c>
      <c r="B34" s="258" t="s">
        <v>505</v>
      </c>
      <c r="C34" s="127">
        <v>99260.84</v>
      </c>
      <c r="D34" s="297">
        <v>44834</v>
      </c>
      <c r="E34" s="296">
        <v>99260.84</v>
      </c>
      <c r="F34" s="188">
        <f t="shared" si="0"/>
        <v>0</v>
      </c>
    </row>
    <row r="35" spans="1:6" ht="18.75" customHeight="1" x14ac:dyDescent="0.25">
      <c r="A35" s="257">
        <v>44830</v>
      </c>
      <c r="B35" s="258" t="s">
        <v>506</v>
      </c>
      <c r="C35" s="127">
        <v>104477.42</v>
      </c>
      <c r="D35" s="297">
        <v>44834</v>
      </c>
      <c r="E35" s="296">
        <v>104477.42</v>
      </c>
      <c r="F35" s="188">
        <f t="shared" si="0"/>
        <v>0</v>
      </c>
    </row>
    <row r="36" spans="1:6" ht="18.75" customHeight="1" x14ac:dyDescent="0.25">
      <c r="A36" s="257">
        <v>44831</v>
      </c>
      <c r="B36" s="258" t="s">
        <v>507</v>
      </c>
      <c r="C36" s="127">
        <v>74115.039999999994</v>
      </c>
      <c r="D36" s="297">
        <v>44834</v>
      </c>
      <c r="E36" s="296">
        <v>74115.039999999994</v>
      </c>
      <c r="F36" s="188">
        <f t="shared" si="0"/>
        <v>0</v>
      </c>
    </row>
    <row r="37" spans="1:6" ht="18.75" customHeight="1" x14ac:dyDescent="0.25">
      <c r="A37" s="257">
        <v>44832</v>
      </c>
      <c r="B37" s="258" t="s">
        <v>508</v>
      </c>
      <c r="C37" s="127">
        <v>120675.35</v>
      </c>
      <c r="D37" s="297">
        <v>44834</v>
      </c>
      <c r="E37" s="296">
        <v>120675.35</v>
      </c>
      <c r="F37" s="188">
        <f t="shared" si="0"/>
        <v>0</v>
      </c>
    </row>
    <row r="38" spans="1:6" ht="18.75" customHeight="1" x14ac:dyDescent="0.25">
      <c r="A38" s="257">
        <v>44833</v>
      </c>
      <c r="B38" s="258" t="s">
        <v>509</v>
      </c>
      <c r="C38" s="127">
        <v>36344.76</v>
      </c>
      <c r="D38" s="297">
        <v>44834</v>
      </c>
      <c r="E38" s="296">
        <v>36344.76</v>
      </c>
      <c r="F38" s="188">
        <f t="shared" si="0"/>
        <v>0</v>
      </c>
    </row>
    <row r="39" spans="1:6" ht="18.75" customHeight="1" x14ac:dyDescent="0.25">
      <c r="A39" s="257">
        <v>44834</v>
      </c>
      <c r="B39" s="258" t="s">
        <v>510</v>
      </c>
      <c r="C39" s="127">
        <v>171098.38</v>
      </c>
      <c r="D39" s="297">
        <v>44834</v>
      </c>
      <c r="E39" s="296">
        <v>171098.38</v>
      </c>
      <c r="F39" s="188">
        <f t="shared" si="0"/>
        <v>0</v>
      </c>
    </row>
    <row r="40" spans="1:6" ht="18.75" customHeight="1" x14ac:dyDescent="0.25">
      <c r="A40" s="257">
        <v>44835</v>
      </c>
      <c r="B40" s="258" t="s">
        <v>511</v>
      </c>
      <c r="C40" s="127">
        <v>120954.27</v>
      </c>
      <c r="D40" s="257">
        <v>44841</v>
      </c>
      <c r="E40" s="84">
        <v>120954.27</v>
      </c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3171951.2099999995</v>
      </c>
      <c r="D79" s="191"/>
      <c r="E79" s="170">
        <f>SUM(E3:E78)</f>
        <v>3171951.2099999995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U81"/>
  <sheetViews>
    <sheetView workbookViewId="0">
      <pane xSplit="3" ySplit="4" topLeftCell="D26" activePane="bottomRight" state="frozen"/>
      <selection pane="topRight" activeCell="D1" sqref="D1"/>
      <selection pane="bottomLeft" activeCell="A5" sqref="A5"/>
      <selection pane="bottomRight" activeCell="J40" sqref="J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423"/>
      <c r="C1" s="425" t="s">
        <v>512</v>
      </c>
      <c r="D1" s="426"/>
      <c r="E1" s="426"/>
      <c r="F1" s="426"/>
      <c r="G1" s="426"/>
      <c r="H1" s="426"/>
      <c r="I1" s="426"/>
      <c r="J1" s="426"/>
      <c r="K1" s="426"/>
      <c r="L1" s="426"/>
      <c r="M1" s="426"/>
    </row>
    <row r="2" spans="1:21" ht="16.5" thickBot="1" x14ac:dyDescent="0.3">
      <c r="B2" s="424"/>
      <c r="C2" s="2"/>
      <c r="H2" s="4"/>
      <c r="I2" s="5"/>
      <c r="J2" s="6"/>
      <c r="L2" s="7"/>
      <c r="M2" s="5"/>
      <c r="N2" s="8"/>
    </row>
    <row r="3" spans="1:21" ht="21.75" thickBot="1" x14ac:dyDescent="0.35">
      <c r="B3" s="427" t="s">
        <v>0</v>
      </c>
      <c r="C3" s="428"/>
      <c r="D3" s="9"/>
      <c r="E3" s="10"/>
      <c r="F3" s="10"/>
      <c r="H3" s="429" t="s">
        <v>1</v>
      </c>
      <c r="I3" s="429"/>
      <c r="K3" s="12"/>
      <c r="L3" s="12"/>
      <c r="M3" s="4"/>
      <c r="R3" s="396" t="s">
        <v>38</v>
      </c>
    </row>
    <row r="4" spans="1:21" ht="20.25" thickTop="1" thickBot="1" x14ac:dyDescent="0.35">
      <c r="A4" s="13" t="s">
        <v>2</v>
      </c>
      <c r="B4" s="14"/>
      <c r="C4" s="15">
        <v>242354.21</v>
      </c>
      <c r="D4" s="16">
        <v>44836</v>
      </c>
      <c r="E4" s="430" t="s">
        <v>3</v>
      </c>
      <c r="F4" s="431"/>
      <c r="H4" s="432" t="s">
        <v>4</v>
      </c>
      <c r="I4" s="433"/>
      <c r="J4" s="17"/>
      <c r="K4" s="18"/>
      <c r="L4" s="19"/>
      <c r="M4" s="20" t="s">
        <v>5</v>
      </c>
      <c r="N4" s="21" t="s">
        <v>6</v>
      </c>
      <c r="P4" s="403" t="s">
        <v>7</v>
      </c>
      <c r="Q4" s="404"/>
      <c r="R4" s="397"/>
    </row>
    <row r="5" spans="1:21" ht="18" thickBot="1" x14ac:dyDescent="0.35">
      <c r="A5" s="22" t="s">
        <v>8</v>
      </c>
      <c r="B5" s="320">
        <v>44837</v>
      </c>
      <c r="C5" s="24"/>
      <c r="D5" s="321"/>
      <c r="E5" s="322">
        <v>44837</v>
      </c>
      <c r="F5" s="27">
        <v>65048</v>
      </c>
      <c r="G5" s="323"/>
      <c r="H5" s="324">
        <v>44837</v>
      </c>
      <c r="I5" s="29">
        <v>41</v>
      </c>
      <c r="J5" s="6"/>
      <c r="K5" s="325"/>
      <c r="L5" s="8"/>
      <c r="M5" s="30">
        <f>14700+50307</f>
        <v>65007</v>
      </c>
      <c r="N5" s="31">
        <v>0</v>
      </c>
      <c r="O5" s="314"/>
      <c r="P5" s="32">
        <f>N5+M5+L5+I5+C5</f>
        <v>65048</v>
      </c>
      <c r="Q5" s="12">
        <f t="shared" ref="Q5:Q39" si="0"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44838</v>
      </c>
      <c r="C6" s="24">
        <v>3900</v>
      </c>
      <c r="D6" s="326" t="s">
        <v>47</v>
      </c>
      <c r="E6" s="322">
        <v>44838</v>
      </c>
      <c r="F6" s="27">
        <v>50129</v>
      </c>
      <c r="G6" s="323"/>
      <c r="H6" s="324">
        <v>44838</v>
      </c>
      <c r="I6" s="29">
        <v>33</v>
      </c>
      <c r="J6" s="36"/>
      <c r="K6" s="327"/>
      <c r="L6" s="38"/>
      <c r="M6" s="30">
        <f>49399+20000</f>
        <v>69399</v>
      </c>
      <c r="N6" s="31">
        <v>3000</v>
      </c>
      <c r="O6" s="314"/>
      <c r="P6" s="32">
        <f>N6+M6+L6+I6+C6</f>
        <v>76332</v>
      </c>
      <c r="Q6" s="371">
        <v>0</v>
      </c>
      <c r="R6" s="283">
        <v>26258</v>
      </c>
      <c r="S6" s="369">
        <v>44838</v>
      </c>
      <c r="T6" s="370">
        <v>55</v>
      </c>
    </row>
    <row r="7" spans="1:21" ht="18" thickBot="1" x14ac:dyDescent="0.35">
      <c r="A7" s="22"/>
      <c r="B7" s="320">
        <v>44839</v>
      </c>
      <c r="C7" s="24">
        <v>1920</v>
      </c>
      <c r="D7" s="328" t="s">
        <v>195</v>
      </c>
      <c r="E7" s="322">
        <v>44839</v>
      </c>
      <c r="F7" s="8">
        <v>53115</v>
      </c>
      <c r="G7" s="323"/>
      <c r="H7" s="324">
        <v>44839</v>
      </c>
      <c r="I7" s="29">
        <v>71</v>
      </c>
      <c r="J7" s="36"/>
      <c r="K7" s="329"/>
      <c r="L7" s="38"/>
      <c r="M7" s="30">
        <f>1776+34844+20000</f>
        <v>56620</v>
      </c>
      <c r="N7" s="31">
        <v>0</v>
      </c>
      <c r="O7" s="314"/>
      <c r="P7" s="32">
        <f>N7+M7+L7+I7+C7</f>
        <v>58611</v>
      </c>
      <c r="Q7" s="12">
        <v>0</v>
      </c>
      <c r="R7" s="283">
        <v>5496</v>
      </c>
      <c r="S7" s="369">
        <v>44839</v>
      </c>
      <c r="T7" s="2" t="s">
        <v>131</v>
      </c>
    </row>
    <row r="8" spans="1:21" ht="18" thickBot="1" x14ac:dyDescent="0.35">
      <c r="A8" s="22"/>
      <c r="B8" s="320">
        <v>44840</v>
      </c>
      <c r="C8" s="24">
        <v>4835</v>
      </c>
      <c r="D8" s="328" t="s">
        <v>49</v>
      </c>
      <c r="E8" s="322">
        <v>44840</v>
      </c>
      <c r="F8" s="27">
        <v>100814</v>
      </c>
      <c r="G8" s="323"/>
      <c r="H8" s="324">
        <v>44840</v>
      </c>
      <c r="I8" s="29">
        <v>95</v>
      </c>
      <c r="J8" s="42"/>
      <c r="K8" s="330"/>
      <c r="L8" s="38"/>
      <c r="M8" s="30">
        <f>40000+59334</f>
        <v>99334</v>
      </c>
      <c r="N8" s="31">
        <v>200</v>
      </c>
      <c r="O8" s="314"/>
      <c r="P8" s="32">
        <f t="shared" ref="P8:P40" si="1">N8+M8+L8+I8+C8</f>
        <v>104464</v>
      </c>
      <c r="Q8" s="12">
        <v>0</v>
      </c>
      <c r="R8" s="283">
        <v>3650</v>
      </c>
      <c r="S8" s="369">
        <v>44840</v>
      </c>
    </row>
    <row r="9" spans="1:21" ht="18" thickBot="1" x14ac:dyDescent="0.35">
      <c r="A9" s="22"/>
      <c r="B9" s="320">
        <v>44841</v>
      </c>
      <c r="C9" s="24">
        <v>17118</v>
      </c>
      <c r="D9" s="328" t="s">
        <v>49</v>
      </c>
      <c r="E9" s="322">
        <v>44841</v>
      </c>
      <c r="F9" s="27">
        <v>89113</v>
      </c>
      <c r="G9" s="323"/>
      <c r="H9" s="324">
        <v>44841</v>
      </c>
      <c r="I9" s="29">
        <v>220</v>
      </c>
      <c r="J9" s="36"/>
      <c r="K9" s="331"/>
      <c r="L9" s="38"/>
      <c r="M9" s="30">
        <f>15000+57620</f>
        <v>72620</v>
      </c>
      <c r="N9" s="31">
        <v>4526</v>
      </c>
      <c r="O9" s="314"/>
      <c r="P9" s="32">
        <f t="shared" si="1"/>
        <v>94484</v>
      </c>
      <c r="Q9" s="12">
        <v>0</v>
      </c>
      <c r="R9" s="283">
        <v>5371</v>
      </c>
      <c r="S9" s="369">
        <v>44841</v>
      </c>
    </row>
    <row r="10" spans="1:21" ht="18" thickBot="1" x14ac:dyDescent="0.35">
      <c r="A10" s="22"/>
      <c r="B10" s="320">
        <v>44842</v>
      </c>
      <c r="C10" s="24">
        <v>0</v>
      </c>
      <c r="D10" s="326"/>
      <c r="E10" s="322">
        <v>44842</v>
      </c>
      <c r="F10" s="27">
        <v>95493</v>
      </c>
      <c r="G10" s="323"/>
      <c r="H10" s="324">
        <v>44842</v>
      </c>
      <c r="I10" s="29">
        <v>140</v>
      </c>
      <c r="J10" s="36">
        <v>44842</v>
      </c>
      <c r="K10" s="332" t="s">
        <v>513</v>
      </c>
      <c r="L10" s="46">
        <v>9841</v>
      </c>
      <c r="M10" s="30">
        <f>25000+52868</f>
        <v>77868</v>
      </c>
      <c r="N10" s="31">
        <v>11645</v>
      </c>
      <c r="O10" s="314"/>
      <c r="P10" s="32">
        <f>N10+M10+L10+I10+C10</f>
        <v>99494</v>
      </c>
      <c r="Q10" s="12">
        <v>0</v>
      </c>
      <c r="R10" s="283">
        <v>4000</v>
      </c>
      <c r="S10" s="369">
        <v>44842</v>
      </c>
      <c r="U10" t="s">
        <v>8</v>
      </c>
    </row>
    <row r="11" spans="1:21" ht="18" thickBot="1" x14ac:dyDescent="0.35">
      <c r="A11" s="22"/>
      <c r="B11" s="320">
        <v>44843</v>
      </c>
      <c r="C11" s="24">
        <v>0</v>
      </c>
      <c r="D11" s="326"/>
      <c r="E11" s="322">
        <v>44843</v>
      </c>
      <c r="F11" s="27">
        <v>120586</v>
      </c>
      <c r="G11" s="323"/>
      <c r="H11" s="324">
        <v>44843</v>
      </c>
      <c r="I11" s="29">
        <v>96</v>
      </c>
      <c r="J11" s="42"/>
      <c r="K11" s="333"/>
      <c r="L11" s="38"/>
      <c r="M11" s="30">
        <f>75000+50000+13500</f>
        <v>138500</v>
      </c>
      <c r="N11" s="31">
        <v>990</v>
      </c>
      <c r="O11" s="314"/>
      <c r="P11" s="32">
        <f>N11+M11+L11+I11+C11</f>
        <v>139586</v>
      </c>
      <c r="Q11" s="12">
        <v>0</v>
      </c>
      <c r="R11" s="283">
        <v>19000</v>
      </c>
      <c r="S11" s="369">
        <v>44843</v>
      </c>
    </row>
    <row r="12" spans="1:21" ht="18" thickBot="1" x14ac:dyDescent="0.35">
      <c r="A12" s="22"/>
      <c r="B12" s="320">
        <v>44844</v>
      </c>
      <c r="C12" s="24">
        <v>0</v>
      </c>
      <c r="D12" s="326"/>
      <c r="E12" s="322">
        <v>44844</v>
      </c>
      <c r="F12" s="27">
        <v>80401</v>
      </c>
      <c r="G12" s="323"/>
      <c r="H12" s="324">
        <v>44844</v>
      </c>
      <c r="I12" s="29">
        <v>143</v>
      </c>
      <c r="J12" s="36"/>
      <c r="K12" s="334"/>
      <c r="L12" s="38"/>
      <c r="M12" s="30">
        <f>10000+70258</f>
        <v>80258</v>
      </c>
      <c r="N12" s="31">
        <v>0</v>
      </c>
      <c r="O12" s="314"/>
      <c r="P12" s="32">
        <f t="shared" si="1"/>
        <v>80401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44845</v>
      </c>
      <c r="C13" s="24">
        <v>0</v>
      </c>
      <c r="D13" s="328"/>
      <c r="E13" s="322">
        <v>44845</v>
      </c>
      <c r="F13" s="27">
        <v>97391</v>
      </c>
      <c r="G13" s="323"/>
      <c r="H13" s="324">
        <v>44845</v>
      </c>
      <c r="I13" s="29">
        <v>68</v>
      </c>
      <c r="J13" s="36"/>
      <c r="K13" s="327"/>
      <c r="L13" s="38"/>
      <c r="M13" s="30">
        <f>15000+60000+22090</f>
        <v>97090</v>
      </c>
      <c r="N13" s="31">
        <v>233</v>
      </c>
      <c r="O13" s="314"/>
      <c r="P13" s="32">
        <f t="shared" si="1"/>
        <v>97391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44846</v>
      </c>
      <c r="C14" s="24">
        <v>0</v>
      </c>
      <c r="D14" s="335"/>
      <c r="E14" s="322">
        <v>44846</v>
      </c>
      <c r="F14" s="27">
        <v>57382</v>
      </c>
      <c r="G14" s="323"/>
      <c r="H14" s="324">
        <v>44846</v>
      </c>
      <c r="I14" s="29">
        <v>166</v>
      </c>
      <c r="J14" s="36"/>
      <c r="K14" s="330"/>
      <c r="L14" s="38"/>
      <c r="M14" s="30">
        <v>56283</v>
      </c>
      <c r="N14" s="31">
        <v>933</v>
      </c>
      <c r="O14" s="314"/>
      <c r="P14" s="32">
        <f t="shared" si="1"/>
        <v>57382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44847</v>
      </c>
      <c r="C15" s="24">
        <v>20305.2</v>
      </c>
      <c r="D15" s="335" t="s">
        <v>49</v>
      </c>
      <c r="E15" s="322">
        <v>44847</v>
      </c>
      <c r="F15" s="27">
        <v>98367</v>
      </c>
      <c r="G15" s="323"/>
      <c r="H15" s="324">
        <v>44847</v>
      </c>
      <c r="I15" s="29">
        <v>125</v>
      </c>
      <c r="J15" s="36"/>
      <c r="K15" s="330"/>
      <c r="L15" s="38"/>
      <c r="M15" s="30">
        <f>20000+57937</f>
        <v>77937</v>
      </c>
      <c r="N15" s="31">
        <v>0</v>
      </c>
      <c r="O15" s="314"/>
      <c r="P15" s="32">
        <f t="shared" si="1"/>
        <v>98367.2</v>
      </c>
      <c r="Q15" s="12">
        <f t="shared" si="0"/>
        <v>0.19999999999708962</v>
      </c>
      <c r="R15" s="12">
        <v>0</v>
      </c>
      <c r="S15" s="369">
        <v>44847</v>
      </c>
    </row>
    <row r="16" spans="1:21" ht="18" thickBot="1" x14ac:dyDescent="0.35">
      <c r="A16" s="22"/>
      <c r="B16" s="320">
        <v>44848</v>
      </c>
      <c r="C16" s="24">
        <v>4395</v>
      </c>
      <c r="D16" s="326" t="s">
        <v>279</v>
      </c>
      <c r="E16" s="322">
        <v>44848</v>
      </c>
      <c r="F16" s="27">
        <v>124865</v>
      </c>
      <c r="G16" s="323"/>
      <c r="H16" s="324">
        <v>44848</v>
      </c>
      <c r="I16" s="29">
        <v>334</v>
      </c>
      <c r="J16" s="36"/>
      <c r="K16" s="330"/>
      <c r="L16" s="8"/>
      <c r="M16" s="30">
        <f>70136+50000</f>
        <v>120136</v>
      </c>
      <c r="N16" s="31">
        <v>0</v>
      </c>
      <c r="O16" s="314"/>
      <c r="P16" s="32">
        <f t="shared" si="1"/>
        <v>124865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44849</v>
      </c>
      <c r="C17" s="24">
        <v>0</v>
      </c>
      <c r="D17" s="328"/>
      <c r="E17" s="322">
        <v>44849</v>
      </c>
      <c r="F17" s="27">
        <v>126961</v>
      </c>
      <c r="G17" s="323"/>
      <c r="H17" s="324">
        <v>44849</v>
      </c>
      <c r="I17" s="29">
        <v>155</v>
      </c>
      <c r="J17" s="36">
        <v>44849</v>
      </c>
      <c r="K17" s="336" t="s">
        <v>514</v>
      </c>
      <c r="L17" s="46">
        <v>9500</v>
      </c>
      <c r="M17" s="30">
        <f>60000+49530</f>
        <v>109530</v>
      </c>
      <c r="N17" s="31">
        <v>8836</v>
      </c>
      <c r="O17" s="314"/>
      <c r="P17" s="32">
        <f t="shared" si="1"/>
        <v>128021</v>
      </c>
      <c r="Q17" s="12">
        <v>0</v>
      </c>
      <c r="R17" s="176">
        <v>1060</v>
      </c>
      <c r="S17" s="369">
        <v>44849</v>
      </c>
    </row>
    <row r="18" spans="1:20" ht="18" thickBot="1" x14ac:dyDescent="0.35">
      <c r="A18" s="22"/>
      <c r="B18" s="320">
        <v>44850</v>
      </c>
      <c r="C18" s="24">
        <v>480</v>
      </c>
      <c r="D18" s="326" t="s">
        <v>47</v>
      </c>
      <c r="E18" s="322">
        <v>44850</v>
      </c>
      <c r="F18" s="27">
        <v>132540</v>
      </c>
      <c r="G18" s="323"/>
      <c r="H18" s="324">
        <v>44850</v>
      </c>
      <c r="I18" s="29">
        <v>80</v>
      </c>
      <c r="J18" s="36"/>
      <c r="K18" s="337"/>
      <c r="L18" s="38"/>
      <c r="M18" s="30">
        <f>75000+52964</f>
        <v>127964</v>
      </c>
      <c r="N18" s="31">
        <v>4016</v>
      </c>
      <c r="O18" s="314"/>
      <c r="P18" s="32">
        <f t="shared" si="1"/>
        <v>132540</v>
      </c>
      <c r="Q18" s="12">
        <f t="shared" si="0"/>
        <v>0</v>
      </c>
      <c r="R18" s="8">
        <v>0</v>
      </c>
      <c r="S18" s="369">
        <v>44850</v>
      </c>
    </row>
    <row r="19" spans="1:20" ht="18" thickBot="1" x14ac:dyDescent="0.35">
      <c r="A19" s="22"/>
      <c r="B19" s="320">
        <v>44851</v>
      </c>
      <c r="C19" s="24">
        <v>0</v>
      </c>
      <c r="D19" s="326"/>
      <c r="E19" s="322">
        <v>44851</v>
      </c>
      <c r="F19" s="27">
        <v>113789</v>
      </c>
      <c r="G19" s="323"/>
      <c r="H19" s="324">
        <v>44851</v>
      </c>
      <c r="I19" s="29">
        <v>504</v>
      </c>
      <c r="J19" s="36"/>
      <c r="K19" s="338"/>
      <c r="L19" s="53"/>
      <c r="M19" s="30">
        <f>24000+89285</f>
        <v>113285</v>
      </c>
      <c r="N19" s="31">
        <v>0</v>
      </c>
      <c r="O19" s="314"/>
      <c r="P19" s="32">
        <f t="shared" si="1"/>
        <v>113789</v>
      </c>
      <c r="Q19" s="12">
        <f t="shared" si="0"/>
        <v>0</v>
      </c>
      <c r="R19" s="8">
        <v>0</v>
      </c>
      <c r="S19" s="369">
        <v>44851</v>
      </c>
    </row>
    <row r="20" spans="1:20" ht="18" thickBot="1" x14ac:dyDescent="0.35">
      <c r="A20" s="22"/>
      <c r="B20" s="320">
        <v>44852</v>
      </c>
      <c r="C20" s="24">
        <v>0</v>
      </c>
      <c r="D20" s="326"/>
      <c r="E20" s="322">
        <v>44852</v>
      </c>
      <c r="F20" s="27">
        <v>107134</v>
      </c>
      <c r="G20" s="323"/>
      <c r="H20" s="324">
        <v>44852</v>
      </c>
      <c r="I20" s="29">
        <v>900</v>
      </c>
      <c r="J20" s="36"/>
      <c r="K20" s="339"/>
      <c r="L20" s="46"/>
      <c r="M20" s="30">
        <f>10000+65000+30625</f>
        <v>105625</v>
      </c>
      <c r="N20" s="31">
        <v>609</v>
      </c>
      <c r="O20" s="314"/>
      <c r="P20" s="32">
        <f t="shared" si="1"/>
        <v>107134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44853</v>
      </c>
      <c r="C21" s="24">
        <v>0</v>
      </c>
      <c r="D21" s="326"/>
      <c r="E21" s="322">
        <v>44853</v>
      </c>
      <c r="F21" s="27">
        <v>61027</v>
      </c>
      <c r="G21" s="323"/>
      <c r="H21" s="324">
        <v>44853</v>
      </c>
      <c r="I21" s="29">
        <v>134</v>
      </c>
      <c r="J21" s="36"/>
      <c r="K21" s="340"/>
      <c r="L21" s="46"/>
      <c r="M21" s="30">
        <v>60516</v>
      </c>
      <c r="N21" s="31">
        <v>377</v>
      </c>
      <c r="O21" s="314"/>
      <c r="P21" s="32">
        <f t="shared" si="1"/>
        <v>61027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44854</v>
      </c>
      <c r="C22" s="24">
        <v>18620</v>
      </c>
      <c r="D22" s="326" t="s">
        <v>49</v>
      </c>
      <c r="E22" s="322">
        <v>44854</v>
      </c>
      <c r="F22" s="27">
        <v>118154</v>
      </c>
      <c r="G22" s="323"/>
      <c r="H22" s="324">
        <v>44854</v>
      </c>
      <c r="I22" s="29">
        <v>58</v>
      </c>
      <c r="J22" s="36"/>
      <c r="K22" s="330"/>
      <c r="L22" s="56"/>
      <c r="M22" s="30">
        <f>25000+72192</f>
        <v>97192</v>
      </c>
      <c r="N22" s="31">
        <v>2284</v>
      </c>
      <c r="O22" s="314"/>
      <c r="P22" s="32">
        <f t="shared" si="1"/>
        <v>118154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44855</v>
      </c>
      <c r="C23" s="24">
        <v>0</v>
      </c>
      <c r="D23" s="326"/>
      <c r="E23" s="322">
        <v>44855</v>
      </c>
      <c r="F23" s="27">
        <v>115126</v>
      </c>
      <c r="G23" s="323"/>
      <c r="H23" s="324">
        <v>44855</v>
      </c>
      <c r="I23" s="29">
        <v>206</v>
      </c>
      <c r="J23" s="57"/>
      <c r="K23" s="341"/>
      <c r="L23" s="46"/>
      <c r="M23" s="30">
        <f>21410+70000+20000</f>
        <v>111410</v>
      </c>
      <c r="N23" s="31">
        <v>3510</v>
      </c>
      <c r="O23" s="314"/>
      <c r="P23" s="32">
        <f t="shared" si="1"/>
        <v>115126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44856</v>
      </c>
      <c r="C24" s="24">
        <v>4400</v>
      </c>
      <c r="D24" s="328" t="s">
        <v>47</v>
      </c>
      <c r="E24" s="322">
        <v>44856</v>
      </c>
      <c r="F24" s="27">
        <v>125613</v>
      </c>
      <c r="G24" s="323"/>
      <c r="H24" s="324">
        <v>44856</v>
      </c>
      <c r="I24" s="29">
        <v>334</v>
      </c>
      <c r="J24" s="342">
        <v>44856</v>
      </c>
      <c r="K24" s="343" t="s">
        <v>515</v>
      </c>
      <c r="L24" s="61">
        <v>9500</v>
      </c>
      <c r="M24" s="30">
        <f>40000+52999</f>
        <v>92999</v>
      </c>
      <c r="N24" s="31">
        <v>18380</v>
      </c>
      <c r="O24" s="314"/>
      <c r="P24" s="32">
        <f t="shared" si="1"/>
        <v>125613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44857</v>
      </c>
      <c r="C25" s="24">
        <v>505</v>
      </c>
      <c r="D25" s="326" t="s">
        <v>279</v>
      </c>
      <c r="E25" s="322">
        <v>44857</v>
      </c>
      <c r="F25" s="27">
        <v>145927</v>
      </c>
      <c r="G25" s="323"/>
      <c r="H25" s="324">
        <v>44857</v>
      </c>
      <c r="I25" s="29">
        <v>112</v>
      </c>
      <c r="J25" s="62"/>
      <c r="K25" s="344"/>
      <c r="L25" s="64"/>
      <c r="M25" s="30">
        <f>70000+60000+14488</f>
        <v>144488</v>
      </c>
      <c r="N25" s="31">
        <v>822</v>
      </c>
      <c r="O25" s="314"/>
      <c r="P25" s="32">
        <f t="shared" si="1"/>
        <v>145927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44858</v>
      </c>
      <c r="C26" s="24">
        <v>780</v>
      </c>
      <c r="D26" s="326" t="s">
        <v>516</v>
      </c>
      <c r="E26" s="322">
        <v>44858</v>
      </c>
      <c r="F26" s="27">
        <v>64479</v>
      </c>
      <c r="G26" s="323"/>
      <c r="H26" s="324">
        <v>44858</v>
      </c>
      <c r="I26" s="29">
        <v>97</v>
      </c>
      <c r="J26" s="36"/>
      <c r="K26" s="343"/>
      <c r="L26" s="46"/>
      <c r="M26" s="30">
        <f>12000+51602</f>
        <v>63602</v>
      </c>
      <c r="N26" s="31">
        <v>0</v>
      </c>
      <c r="O26" s="314"/>
      <c r="P26" s="32">
        <f t="shared" si="1"/>
        <v>64479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44859</v>
      </c>
      <c r="C27" s="24">
        <v>0</v>
      </c>
      <c r="D27" s="328"/>
      <c r="E27" s="322">
        <v>44859</v>
      </c>
      <c r="F27" s="27">
        <v>83491</v>
      </c>
      <c r="G27" s="323"/>
      <c r="H27" s="324">
        <v>44859</v>
      </c>
      <c r="I27" s="29">
        <v>58</v>
      </c>
      <c r="J27" s="65"/>
      <c r="K27" s="345"/>
      <c r="L27" s="64"/>
      <c r="M27" s="30">
        <f>35000+48433</f>
        <v>83433</v>
      </c>
      <c r="N27" s="31">
        <v>0</v>
      </c>
      <c r="O27" s="314"/>
      <c r="P27" s="32">
        <f t="shared" si="1"/>
        <v>83491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44860</v>
      </c>
      <c r="C28" s="24">
        <v>0</v>
      </c>
      <c r="D28" s="328"/>
      <c r="E28" s="322">
        <v>44860</v>
      </c>
      <c r="F28" s="27">
        <v>54947</v>
      </c>
      <c r="G28" s="323"/>
      <c r="H28" s="324">
        <v>44860</v>
      </c>
      <c r="I28" s="29">
        <v>96</v>
      </c>
      <c r="J28" s="67"/>
      <c r="K28" s="346"/>
      <c r="L28" s="64"/>
      <c r="M28" s="30">
        <f>5000+49811</f>
        <v>54811</v>
      </c>
      <c r="N28" s="31">
        <v>40</v>
      </c>
      <c r="O28" s="314"/>
      <c r="P28" s="32">
        <f t="shared" si="1"/>
        <v>54947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44861</v>
      </c>
      <c r="C29" s="24">
        <v>18299</v>
      </c>
      <c r="D29" s="347" t="s">
        <v>49</v>
      </c>
      <c r="E29" s="322">
        <v>44861</v>
      </c>
      <c r="F29" s="27">
        <v>90518</v>
      </c>
      <c r="G29" s="323"/>
      <c r="H29" s="324">
        <v>44861</v>
      </c>
      <c r="I29" s="29">
        <v>48</v>
      </c>
      <c r="J29" s="65"/>
      <c r="K29" s="348"/>
      <c r="L29" s="64"/>
      <c r="M29" s="30">
        <f>15000+52731+150</f>
        <v>67881</v>
      </c>
      <c r="N29" s="31">
        <v>4290</v>
      </c>
      <c r="O29" s="314"/>
      <c r="P29" s="32">
        <f t="shared" si="1"/>
        <v>90518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44862</v>
      </c>
      <c r="C30" s="24">
        <v>3189</v>
      </c>
      <c r="D30" s="347" t="s">
        <v>517</v>
      </c>
      <c r="E30" s="322">
        <v>44862</v>
      </c>
      <c r="F30" s="27">
        <v>126144</v>
      </c>
      <c r="G30" s="323"/>
      <c r="H30" s="324">
        <v>44862</v>
      </c>
      <c r="I30" s="29">
        <v>78</v>
      </c>
      <c r="J30" s="71"/>
      <c r="K30" s="349"/>
      <c r="L30" s="73"/>
      <c r="M30" s="30">
        <f>15000+70000+36397</f>
        <v>121397</v>
      </c>
      <c r="N30" s="31">
        <v>1480</v>
      </c>
      <c r="O30" s="314"/>
      <c r="P30" s="32">
        <f t="shared" si="1"/>
        <v>126144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44863</v>
      </c>
      <c r="C31" s="24">
        <v>0</v>
      </c>
      <c r="D31" s="350"/>
      <c r="E31" s="322">
        <v>44863</v>
      </c>
      <c r="F31" s="27">
        <v>95038</v>
      </c>
      <c r="G31" s="323"/>
      <c r="H31" s="324">
        <v>44863</v>
      </c>
      <c r="I31" s="29">
        <v>875</v>
      </c>
      <c r="J31" s="71">
        <v>44863</v>
      </c>
      <c r="K31" s="351" t="s">
        <v>518</v>
      </c>
      <c r="L31" s="75">
        <v>9300</v>
      </c>
      <c r="M31" s="30">
        <f>25000+50347</f>
        <v>75347</v>
      </c>
      <c r="N31" s="31">
        <v>9516</v>
      </c>
      <c r="O31" s="314"/>
      <c r="P31" s="32">
        <f t="shared" si="1"/>
        <v>95038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44864</v>
      </c>
      <c r="C32" s="24">
        <v>7380</v>
      </c>
      <c r="D32" s="352" t="s">
        <v>519</v>
      </c>
      <c r="E32" s="322">
        <v>44864</v>
      </c>
      <c r="F32" s="27">
        <v>132141</v>
      </c>
      <c r="G32" s="323"/>
      <c r="H32" s="324">
        <v>44864</v>
      </c>
      <c r="I32" s="29">
        <v>195</v>
      </c>
      <c r="J32" s="71"/>
      <c r="K32" s="349"/>
      <c r="L32" s="73"/>
      <c r="M32" s="30">
        <f>40000+70000+13018</f>
        <v>123018</v>
      </c>
      <c r="N32" s="31">
        <v>1548</v>
      </c>
      <c r="O32" s="314"/>
      <c r="P32" s="32">
        <f t="shared" si="1"/>
        <v>132141</v>
      </c>
      <c r="Q32" s="12">
        <f t="shared" si="0"/>
        <v>0</v>
      </c>
      <c r="R32" s="8">
        <v>0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>
        <v>44848</v>
      </c>
      <c r="K34" s="354" t="s">
        <v>547</v>
      </c>
      <c r="L34" s="80">
        <v>31059</v>
      </c>
      <c r="M34" s="30">
        <v>0</v>
      </c>
      <c r="N34" s="31">
        <v>0</v>
      </c>
      <c r="O34" s="314"/>
      <c r="P34" s="32">
        <f t="shared" si="1"/>
        <v>31059</v>
      </c>
      <c r="Q34" s="12">
        <f t="shared" si="0"/>
        <v>31059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>
        <v>44848</v>
      </c>
      <c r="K35" s="376" t="s">
        <v>549</v>
      </c>
      <c r="L35" s="78">
        <v>71514</v>
      </c>
      <c r="M35" s="30">
        <v>0</v>
      </c>
      <c r="N35" s="31">
        <v>0</v>
      </c>
      <c r="O35" s="314"/>
      <c r="P35" s="32">
        <f t="shared" si="1"/>
        <v>71514</v>
      </c>
      <c r="Q35" s="12">
        <f t="shared" si="0"/>
        <v>71514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71">
        <v>44854</v>
      </c>
      <c r="K36" s="358" t="s">
        <v>464</v>
      </c>
      <c r="L36" s="78">
        <v>549</v>
      </c>
      <c r="M36" s="30">
        <v>0</v>
      </c>
      <c r="N36" s="31">
        <v>0</v>
      </c>
      <c r="O36" s="314"/>
      <c r="P36" s="32">
        <f t="shared" si="1"/>
        <v>549</v>
      </c>
      <c r="Q36" s="12">
        <f t="shared" si="0"/>
        <v>549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>
        <v>44855</v>
      </c>
      <c r="K37" s="351" t="s">
        <v>205</v>
      </c>
      <c r="L37" s="78">
        <v>1392</v>
      </c>
      <c r="M37" s="30">
        <v>0</v>
      </c>
      <c r="N37" s="31">
        <v>0</v>
      </c>
      <c r="O37" s="314"/>
      <c r="P37" s="32">
        <f t="shared" si="1"/>
        <v>1392</v>
      </c>
      <c r="Q37" s="12">
        <f t="shared" si="0"/>
        <v>1392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289">
        <v>44859</v>
      </c>
      <c r="K38" s="356" t="s">
        <v>204</v>
      </c>
      <c r="L38" s="78">
        <v>979.68</v>
      </c>
      <c r="M38" s="30">
        <v>0</v>
      </c>
      <c r="N38" s="31">
        <v>0</v>
      </c>
      <c r="O38" s="314"/>
      <c r="P38" s="32">
        <f t="shared" si="1"/>
        <v>979.68</v>
      </c>
      <c r="Q38" s="12">
        <f t="shared" si="0"/>
        <v>979.68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>
        <v>44862</v>
      </c>
      <c r="K39" s="357" t="s">
        <v>548</v>
      </c>
      <c r="L39" s="73">
        <v>3210.56</v>
      </c>
      <c r="M39" s="30">
        <v>0</v>
      </c>
      <c r="N39" s="31">
        <v>0</v>
      </c>
      <c r="O39" s="314"/>
      <c r="P39" s="32">
        <f t="shared" si="1"/>
        <v>3210.56</v>
      </c>
      <c r="Q39" s="12">
        <f t="shared" si="0"/>
        <v>3210.56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405">
        <f>SUM(M5:M39)</f>
        <v>2563550</v>
      </c>
      <c r="N40" s="407">
        <f>SUM(N5:N39)</f>
        <v>77235</v>
      </c>
      <c r="P40" s="32">
        <f t="shared" si="1"/>
        <v>2640785</v>
      </c>
      <c r="Q40" s="284">
        <f>SUM(Q5:Q39)</f>
        <v>108704.43999999999</v>
      </c>
      <c r="R40" s="316">
        <f>SUM(R5:R39)</f>
        <v>64835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06"/>
      <c r="N41" s="408"/>
      <c r="P41" s="32"/>
      <c r="Q41" s="8"/>
    </row>
    <row r="42" spans="1:19" ht="17.25" hidden="1" customHeight="1" thickBot="1" x14ac:dyDescent="0.35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106126.2</v>
      </c>
      <c r="D51" s="103"/>
      <c r="E51" s="104" t="s">
        <v>9</v>
      </c>
      <c r="F51" s="105">
        <f>SUM(F5:F50)</f>
        <v>2725733</v>
      </c>
      <c r="G51" s="103"/>
      <c r="H51" s="106" t="s">
        <v>10</v>
      </c>
      <c r="I51" s="107">
        <f>SUM(I5:I50)</f>
        <v>5462</v>
      </c>
      <c r="J51" s="108"/>
      <c r="K51" s="109" t="s">
        <v>11</v>
      </c>
      <c r="L51" s="110">
        <f>SUM(L5:L50)</f>
        <v>146845.24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9" t="s">
        <v>12</v>
      </c>
      <c r="I53" s="410"/>
      <c r="J53" s="114"/>
      <c r="K53" s="411">
        <f>I51+L51</f>
        <v>152307.24</v>
      </c>
      <c r="L53" s="412"/>
      <c r="M53" s="413">
        <f>N40+M40</f>
        <v>2640785</v>
      </c>
      <c r="N53" s="414"/>
      <c r="P53" s="32"/>
      <c r="Q53" s="8"/>
    </row>
    <row r="54" spans="1:17" ht="15.75" x14ac:dyDescent="0.25">
      <c r="D54" s="415" t="s">
        <v>13</v>
      </c>
      <c r="E54" s="415"/>
      <c r="F54" s="115">
        <f>F51-K53-C51</f>
        <v>2467299.5599999996</v>
      </c>
      <c r="I54" s="116"/>
      <c r="J54" s="117"/>
      <c r="P54" s="32"/>
      <c r="Q54" s="8"/>
    </row>
    <row r="55" spans="1:17" ht="18.75" x14ac:dyDescent="0.3">
      <c r="D55" s="416" t="s">
        <v>14</v>
      </c>
      <c r="E55" s="416"/>
      <c r="F55" s="111">
        <v>-2793202.57</v>
      </c>
      <c r="I55" s="417" t="s">
        <v>15</v>
      </c>
      <c r="J55" s="418"/>
      <c r="K55" s="419">
        <f>F57+F58+F59</f>
        <v>149047.74999999977</v>
      </c>
      <c r="L55" s="420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-325903.01000000024</v>
      </c>
      <c r="H57" s="22"/>
      <c r="I57" s="124" t="s">
        <v>17</v>
      </c>
      <c r="J57" s="125"/>
      <c r="K57" s="421">
        <f>-C4</f>
        <v>-242354.21</v>
      </c>
      <c r="L57" s="422"/>
    </row>
    <row r="58" spans="1:17" ht="16.5" thickBot="1" x14ac:dyDescent="0.3">
      <c r="D58" s="126" t="s">
        <v>18</v>
      </c>
      <c r="E58" s="33" t="s">
        <v>19</v>
      </c>
      <c r="F58" s="127">
        <v>55526</v>
      </c>
    </row>
    <row r="59" spans="1:17" ht="20.25" thickTop="1" thickBot="1" x14ac:dyDescent="0.35">
      <c r="C59" s="128">
        <v>44864</v>
      </c>
      <c r="D59" s="398" t="s">
        <v>20</v>
      </c>
      <c r="E59" s="399"/>
      <c r="F59" s="129">
        <v>419424.76</v>
      </c>
      <c r="I59" s="435" t="s">
        <v>325</v>
      </c>
      <c r="J59" s="436"/>
      <c r="K59" s="437">
        <f>K55+K57</f>
        <v>-93306.460000000225</v>
      </c>
      <c r="L59" s="43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4:L39">
    <sortCondition ref="J34:J39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115"/>
  <sheetViews>
    <sheetView workbookViewId="0">
      <pane ySplit="2" topLeftCell="A27" activePane="bottomLeft" state="frozen"/>
      <selection pane="bottomLeft" activeCell="C37" sqref="C37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5.85546875" style="1" bestFit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31.5" x14ac:dyDescent="0.25">
      <c r="A3" s="254">
        <v>44837</v>
      </c>
      <c r="B3" s="372" t="s">
        <v>520</v>
      </c>
      <c r="C3" s="256">
        <v>151687.98000000001</v>
      </c>
      <c r="D3" s="391">
        <v>44841</v>
      </c>
      <c r="E3" s="256">
        <v>151687.98000000001</v>
      </c>
      <c r="F3" s="152">
        <f>C3-E3</f>
        <v>0</v>
      </c>
      <c r="J3" s="127"/>
    </row>
    <row r="4" spans="1:10" ht="22.5" customHeight="1" x14ac:dyDescent="0.25">
      <c r="A4" s="257">
        <v>44838</v>
      </c>
      <c r="B4" s="258" t="s">
        <v>521</v>
      </c>
      <c r="C4" s="127">
        <v>49293.599999999999</v>
      </c>
      <c r="D4" s="391">
        <v>44841</v>
      </c>
      <c r="E4" s="127">
        <v>49293.599999999999</v>
      </c>
      <c r="F4" s="188">
        <f>C4-E4+F3</f>
        <v>0</v>
      </c>
      <c r="J4" s="256"/>
    </row>
    <row r="5" spans="1:10" ht="21" customHeight="1" x14ac:dyDescent="0.25">
      <c r="A5" s="257">
        <v>44839</v>
      </c>
      <c r="B5" s="258" t="s">
        <v>522</v>
      </c>
      <c r="C5" s="127">
        <v>13143.34</v>
      </c>
      <c r="D5" s="391">
        <v>44841</v>
      </c>
      <c r="E5" s="127">
        <v>13143.34</v>
      </c>
      <c r="F5" s="188">
        <f t="shared" ref="F5:F68" si="0">C5-E5+F4</f>
        <v>0</v>
      </c>
      <c r="J5" s="127"/>
    </row>
    <row r="6" spans="1:10" ht="21" customHeight="1" x14ac:dyDescent="0.3">
      <c r="A6" s="257">
        <v>44840</v>
      </c>
      <c r="B6" s="258" t="s">
        <v>523</v>
      </c>
      <c r="C6" s="127">
        <v>166585.60000000001</v>
      </c>
      <c r="D6" s="391">
        <v>44841</v>
      </c>
      <c r="E6" s="127">
        <v>166585.60000000001</v>
      </c>
      <c r="F6" s="188">
        <f t="shared" si="0"/>
        <v>0</v>
      </c>
      <c r="G6" s="156"/>
      <c r="J6" s="127"/>
    </row>
    <row r="7" spans="1:10" ht="21" customHeight="1" x14ac:dyDescent="0.25">
      <c r="A7" s="257">
        <v>44841</v>
      </c>
      <c r="B7" s="258" t="s">
        <v>524</v>
      </c>
      <c r="C7" s="127">
        <v>76166.539999999994</v>
      </c>
      <c r="D7" s="391">
        <v>44841</v>
      </c>
      <c r="E7" s="127">
        <v>76166.539999999994</v>
      </c>
      <c r="F7" s="188">
        <f t="shared" si="0"/>
        <v>0</v>
      </c>
      <c r="J7" s="127"/>
    </row>
    <row r="8" spans="1:10" ht="21" customHeight="1" x14ac:dyDescent="0.25">
      <c r="A8" s="257">
        <v>44842</v>
      </c>
      <c r="B8" s="258" t="s">
        <v>525</v>
      </c>
      <c r="C8" s="127">
        <v>132125.56</v>
      </c>
      <c r="D8" s="392">
        <v>44848</v>
      </c>
      <c r="E8" s="270">
        <v>132125.56</v>
      </c>
      <c r="F8" s="188">
        <f t="shared" si="0"/>
        <v>0</v>
      </c>
      <c r="J8" s="127"/>
    </row>
    <row r="9" spans="1:10" ht="21" customHeight="1" x14ac:dyDescent="0.25">
      <c r="A9" s="257">
        <v>44844</v>
      </c>
      <c r="B9" s="258" t="s">
        <v>526</v>
      </c>
      <c r="C9" s="127">
        <v>74545.56</v>
      </c>
      <c r="D9" s="392">
        <v>44848</v>
      </c>
      <c r="E9" s="270">
        <v>74545.56</v>
      </c>
      <c r="F9" s="188">
        <f t="shared" si="0"/>
        <v>0</v>
      </c>
      <c r="J9" s="127"/>
    </row>
    <row r="10" spans="1:10" ht="21" customHeight="1" x14ac:dyDescent="0.25">
      <c r="A10" s="257">
        <v>44844</v>
      </c>
      <c r="B10" s="258" t="s">
        <v>527</v>
      </c>
      <c r="C10" s="127">
        <v>49280</v>
      </c>
      <c r="D10" s="392">
        <v>44848</v>
      </c>
      <c r="E10" s="270">
        <v>49280</v>
      </c>
      <c r="F10" s="188">
        <f t="shared" si="0"/>
        <v>0</v>
      </c>
      <c r="J10" s="33">
        <v>0</v>
      </c>
    </row>
    <row r="11" spans="1:10" ht="21" customHeight="1" x14ac:dyDescent="0.25">
      <c r="A11" s="257">
        <v>44844</v>
      </c>
      <c r="B11" s="258" t="s">
        <v>528</v>
      </c>
      <c r="C11" s="127">
        <v>2773.4</v>
      </c>
      <c r="D11" s="392">
        <v>44848</v>
      </c>
      <c r="E11" s="270">
        <v>2773.4</v>
      </c>
      <c r="F11" s="188">
        <f t="shared" si="0"/>
        <v>0</v>
      </c>
      <c r="J11" s="267">
        <f>SUM(J3:J10)</f>
        <v>0</v>
      </c>
    </row>
    <row r="12" spans="1:10" ht="21" customHeight="1" x14ac:dyDescent="0.3">
      <c r="A12" s="257">
        <v>44845</v>
      </c>
      <c r="B12" s="258" t="s">
        <v>529</v>
      </c>
      <c r="C12" s="127">
        <v>134724.47</v>
      </c>
      <c r="D12" s="392">
        <v>44848</v>
      </c>
      <c r="E12" s="270">
        <v>134724.47</v>
      </c>
      <c r="F12" s="188">
        <f t="shared" si="0"/>
        <v>0</v>
      </c>
      <c r="G12" s="156"/>
    </row>
    <row r="13" spans="1:10" ht="21" customHeight="1" x14ac:dyDescent="0.25">
      <c r="A13" s="257">
        <v>44846</v>
      </c>
      <c r="B13" s="258" t="s">
        <v>530</v>
      </c>
      <c r="C13" s="127">
        <v>17827.759999999998</v>
      </c>
      <c r="D13" s="392">
        <v>44848</v>
      </c>
      <c r="E13" s="270">
        <v>17827.759999999998</v>
      </c>
      <c r="F13" s="188">
        <f t="shared" si="0"/>
        <v>0</v>
      </c>
    </row>
    <row r="14" spans="1:10" ht="21" customHeight="1" x14ac:dyDescent="0.25">
      <c r="A14" s="257">
        <v>44847</v>
      </c>
      <c r="B14" s="258" t="s">
        <v>531</v>
      </c>
      <c r="C14" s="127">
        <v>187517.07</v>
      </c>
      <c r="D14" s="392">
        <v>44848</v>
      </c>
      <c r="E14" s="270">
        <v>187517.07</v>
      </c>
      <c r="F14" s="188">
        <f t="shared" si="0"/>
        <v>0</v>
      </c>
    </row>
    <row r="15" spans="1:10" ht="21" customHeight="1" x14ac:dyDescent="0.25">
      <c r="A15" s="257">
        <v>44848</v>
      </c>
      <c r="B15" s="258" t="s">
        <v>532</v>
      </c>
      <c r="C15" s="127">
        <v>136073.34</v>
      </c>
      <c r="D15" s="392">
        <v>44848</v>
      </c>
      <c r="E15" s="270">
        <v>136073.34</v>
      </c>
      <c r="F15" s="188">
        <f t="shared" si="0"/>
        <v>0</v>
      </c>
    </row>
    <row r="16" spans="1:10" ht="21" customHeight="1" x14ac:dyDescent="0.25">
      <c r="A16" s="257">
        <v>44849</v>
      </c>
      <c r="B16" s="258" t="s">
        <v>533</v>
      </c>
      <c r="C16" s="127">
        <v>190601.06</v>
      </c>
      <c r="D16" s="300">
        <v>44855</v>
      </c>
      <c r="E16" s="301">
        <v>190601.06</v>
      </c>
      <c r="F16" s="188">
        <f t="shared" si="0"/>
        <v>0</v>
      </c>
    </row>
    <row r="17" spans="1:7" ht="21" customHeight="1" x14ac:dyDescent="0.25">
      <c r="A17" s="257">
        <v>44849</v>
      </c>
      <c r="B17" s="258" t="s">
        <v>534</v>
      </c>
      <c r="C17" s="127">
        <v>9590.4</v>
      </c>
      <c r="D17" s="300">
        <v>44855</v>
      </c>
      <c r="E17" s="301">
        <v>9590.4</v>
      </c>
      <c r="F17" s="188">
        <f t="shared" si="0"/>
        <v>0</v>
      </c>
    </row>
    <row r="18" spans="1:7" ht="21" customHeight="1" x14ac:dyDescent="0.25">
      <c r="A18" s="257">
        <v>44851</v>
      </c>
      <c r="B18" s="258" t="s">
        <v>535</v>
      </c>
      <c r="C18" s="127">
        <v>63549.9</v>
      </c>
      <c r="D18" s="300">
        <v>44855</v>
      </c>
      <c r="E18" s="301">
        <v>63549.9</v>
      </c>
      <c r="F18" s="188">
        <f t="shared" si="0"/>
        <v>0</v>
      </c>
    </row>
    <row r="19" spans="1:7" ht="21" customHeight="1" x14ac:dyDescent="0.25">
      <c r="A19" s="257">
        <v>44851</v>
      </c>
      <c r="B19" s="258" t="s">
        <v>536</v>
      </c>
      <c r="C19" s="127">
        <v>14731.2</v>
      </c>
      <c r="D19" s="300">
        <v>44855</v>
      </c>
      <c r="E19" s="301">
        <v>14731.2</v>
      </c>
      <c r="F19" s="188">
        <f t="shared" si="0"/>
        <v>0</v>
      </c>
    </row>
    <row r="20" spans="1:7" ht="21" customHeight="1" x14ac:dyDescent="0.25">
      <c r="A20" s="257">
        <v>44853</v>
      </c>
      <c r="B20" s="258" t="s">
        <v>537</v>
      </c>
      <c r="C20" s="127">
        <v>207613.18</v>
      </c>
      <c r="D20" s="300">
        <v>44855</v>
      </c>
      <c r="E20" s="301">
        <v>207613.18</v>
      </c>
      <c r="F20" s="188">
        <f t="shared" si="0"/>
        <v>0</v>
      </c>
    </row>
    <row r="21" spans="1:7" ht="21" customHeight="1" x14ac:dyDescent="0.25">
      <c r="A21" s="257">
        <v>44854</v>
      </c>
      <c r="B21" s="258" t="s">
        <v>538</v>
      </c>
      <c r="C21" s="127">
        <v>129760.71</v>
      </c>
      <c r="D21" s="300">
        <v>44855</v>
      </c>
      <c r="E21" s="301">
        <v>129760.71</v>
      </c>
      <c r="F21" s="188">
        <f t="shared" si="0"/>
        <v>0</v>
      </c>
    </row>
    <row r="22" spans="1:7" ht="21" customHeight="1" x14ac:dyDescent="0.25">
      <c r="A22" s="257">
        <v>44854</v>
      </c>
      <c r="B22" s="258" t="s">
        <v>539</v>
      </c>
      <c r="C22" s="127">
        <v>7815.5</v>
      </c>
      <c r="D22" s="300">
        <v>44855</v>
      </c>
      <c r="E22" s="301">
        <v>7815.5</v>
      </c>
      <c r="F22" s="188">
        <f t="shared" si="0"/>
        <v>0</v>
      </c>
    </row>
    <row r="23" spans="1:7" ht="21" customHeight="1" x14ac:dyDescent="0.25">
      <c r="A23" s="257">
        <v>44855</v>
      </c>
      <c r="B23" s="258" t="s">
        <v>540</v>
      </c>
      <c r="C23" s="127">
        <v>66286.039999999994</v>
      </c>
      <c r="D23" s="300">
        <v>44855</v>
      </c>
      <c r="E23" s="301">
        <v>66286.039999999994</v>
      </c>
      <c r="F23" s="188">
        <f t="shared" si="0"/>
        <v>0</v>
      </c>
    </row>
    <row r="24" spans="1:7" ht="21" customHeight="1" x14ac:dyDescent="0.3">
      <c r="A24" s="257">
        <v>44856</v>
      </c>
      <c r="B24" s="258" t="s">
        <v>541</v>
      </c>
      <c r="C24" s="127">
        <v>159753.01999999999</v>
      </c>
      <c r="D24" s="304">
        <v>44862</v>
      </c>
      <c r="E24" s="274">
        <v>159753.01999999999</v>
      </c>
      <c r="F24" s="188">
        <f t="shared" si="0"/>
        <v>0</v>
      </c>
      <c r="G24" s="156"/>
    </row>
    <row r="25" spans="1:7" ht="21" customHeight="1" x14ac:dyDescent="0.25">
      <c r="A25" s="257">
        <v>44858</v>
      </c>
      <c r="B25" s="258" t="s">
        <v>542</v>
      </c>
      <c r="C25" s="127">
        <v>136759.18</v>
      </c>
      <c r="D25" s="304">
        <v>44862</v>
      </c>
      <c r="E25" s="274">
        <v>136759.18</v>
      </c>
      <c r="F25" s="188">
        <f t="shared" si="0"/>
        <v>0</v>
      </c>
    </row>
    <row r="26" spans="1:7" ht="21" customHeight="1" x14ac:dyDescent="0.25">
      <c r="A26" s="257">
        <v>44860</v>
      </c>
      <c r="B26" s="258" t="s">
        <v>543</v>
      </c>
      <c r="C26" s="127">
        <v>123939.98</v>
      </c>
      <c r="D26" s="304">
        <v>44862</v>
      </c>
      <c r="E26" s="274">
        <v>123939.98</v>
      </c>
      <c r="F26" s="188">
        <f t="shared" si="0"/>
        <v>0</v>
      </c>
    </row>
    <row r="27" spans="1:7" ht="21" customHeight="1" x14ac:dyDescent="0.25">
      <c r="A27" s="257">
        <v>44861</v>
      </c>
      <c r="B27" s="258" t="s">
        <v>544</v>
      </c>
      <c r="C27" s="127">
        <v>162878.20000000001</v>
      </c>
      <c r="D27" s="304">
        <v>44862</v>
      </c>
      <c r="E27" s="274">
        <v>162878.20000000001</v>
      </c>
      <c r="F27" s="188">
        <f t="shared" si="0"/>
        <v>0</v>
      </c>
    </row>
    <row r="28" spans="1:7" ht="21" customHeight="1" x14ac:dyDescent="0.25">
      <c r="A28" s="257">
        <v>44863</v>
      </c>
      <c r="B28" s="373" t="s">
        <v>545</v>
      </c>
      <c r="C28" s="374">
        <v>174485.08</v>
      </c>
      <c r="D28" s="387">
        <v>44870</v>
      </c>
      <c r="E28" s="277">
        <v>174485.08</v>
      </c>
      <c r="F28" s="188">
        <f t="shared" si="0"/>
        <v>0</v>
      </c>
    </row>
    <row r="29" spans="1:7" ht="21" customHeight="1" x14ac:dyDescent="0.25">
      <c r="A29" s="257">
        <v>44864</v>
      </c>
      <c r="B29" s="373" t="s">
        <v>546</v>
      </c>
      <c r="C29" s="374">
        <v>153694.9</v>
      </c>
      <c r="D29" s="387">
        <v>44870</v>
      </c>
      <c r="E29" s="277">
        <v>153694.9</v>
      </c>
      <c r="F29" s="188">
        <f t="shared" si="0"/>
        <v>0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0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0</v>
      </c>
      <c r="G32" s="156"/>
    </row>
    <row r="33" spans="1:6" ht="21" customHeight="1" x14ac:dyDescent="0.25">
      <c r="A33" s="257"/>
      <c r="B33" s="258" t="s">
        <v>8</v>
      </c>
      <c r="C33" s="127"/>
      <c r="D33" s="257"/>
      <c r="E33" s="127"/>
      <c r="F33" s="188">
        <f t="shared" si="0"/>
        <v>0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2793202.57</v>
      </c>
      <c r="D79" s="191"/>
      <c r="E79" s="170">
        <f>SUM(E3:E78)</f>
        <v>2793202.57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B27" workbookViewId="0">
      <selection activeCell="B27" sqref="A1:XFD1048576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7"/>
  </cols>
  <sheetData>
    <row r="1" spans="1:21" ht="23.25" x14ac:dyDescent="0.35">
      <c r="B1" s="423"/>
      <c r="C1" s="425" t="s">
        <v>550</v>
      </c>
      <c r="D1" s="426"/>
      <c r="E1" s="426"/>
      <c r="F1" s="426"/>
      <c r="G1" s="426"/>
      <c r="H1" s="426"/>
      <c r="I1" s="426"/>
      <c r="J1" s="426"/>
      <c r="K1" s="426"/>
      <c r="L1" s="426"/>
      <c r="M1" s="426"/>
    </row>
    <row r="2" spans="1:21" ht="16.5" thickBot="1" x14ac:dyDescent="0.3">
      <c r="B2" s="424"/>
      <c r="C2" s="2"/>
      <c r="H2" s="4"/>
      <c r="I2" s="5"/>
      <c r="J2" s="6"/>
      <c r="L2" s="7"/>
      <c r="M2" s="5"/>
      <c r="N2" s="8"/>
    </row>
    <row r="3" spans="1:21" ht="21.75" thickBot="1" x14ac:dyDescent="0.35">
      <c r="B3" s="427" t="s">
        <v>0</v>
      </c>
      <c r="C3" s="428"/>
      <c r="D3" s="9"/>
      <c r="E3" s="10"/>
      <c r="F3" s="10"/>
      <c r="H3" s="429" t="s">
        <v>1</v>
      </c>
      <c r="I3" s="429"/>
      <c r="K3" s="12"/>
      <c r="L3" s="12"/>
      <c r="M3" s="4"/>
      <c r="R3" s="396" t="s">
        <v>38</v>
      </c>
    </row>
    <row r="4" spans="1:21" ht="20.25" thickTop="1" thickBot="1" x14ac:dyDescent="0.35">
      <c r="A4" s="13" t="s">
        <v>2</v>
      </c>
      <c r="B4" s="14"/>
      <c r="C4" s="15">
        <v>419424.76</v>
      </c>
      <c r="D4" s="16">
        <v>44864</v>
      </c>
      <c r="E4" s="430" t="s">
        <v>3</v>
      </c>
      <c r="F4" s="431"/>
      <c r="H4" s="432" t="s">
        <v>4</v>
      </c>
      <c r="I4" s="433"/>
      <c r="J4" s="17"/>
      <c r="K4" s="18"/>
      <c r="L4" s="19"/>
      <c r="M4" s="20" t="s">
        <v>5</v>
      </c>
      <c r="N4" s="21" t="s">
        <v>6</v>
      </c>
      <c r="P4" s="403" t="s">
        <v>7</v>
      </c>
      <c r="Q4" s="404"/>
      <c r="R4" s="397"/>
    </row>
    <row r="5" spans="1:21" ht="18" thickBot="1" x14ac:dyDescent="0.35">
      <c r="A5" s="22" t="s">
        <v>8</v>
      </c>
      <c r="B5" s="320">
        <v>44865</v>
      </c>
      <c r="C5" s="24">
        <v>0</v>
      </c>
      <c r="D5" s="321"/>
      <c r="E5" s="322">
        <v>44865</v>
      </c>
      <c r="F5" s="27">
        <v>136405</v>
      </c>
      <c r="G5" s="323"/>
      <c r="H5" s="324">
        <v>44865</v>
      </c>
      <c r="I5" s="29">
        <v>156</v>
      </c>
      <c r="J5" s="6"/>
      <c r="K5" s="325"/>
      <c r="L5" s="8"/>
      <c r="M5" s="30">
        <f>116634+18000</f>
        <v>134634</v>
      </c>
      <c r="N5" s="31">
        <v>1615</v>
      </c>
      <c r="O5" s="314"/>
      <c r="P5" s="32">
        <f>N5+M5+L5+I5+C5</f>
        <v>136405</v>
      </c>
      <c r="Q5" s="12">
        <f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44866</v>
      </c>
      <c r="C6" s="24">
        <v>3840</v>
      </c>
      <c r="D6" s="326" t="s">
        <v>47</v>
      </c>
      <c r="E6" s="322">
        <v>44866</v>
      </c>
      <c r="F6" s="27">
        <v>63472</v>
      </c>
      <c r="G6" s="323"/>
      <c r="H6" s="324">
        <v>44866</v>
      </c>
      <c r="I6" s="29">
        <v>78</v>
      </c>
      <c r="J6" s="36"/>
      <c r="K6" s="327"/>
      <c r="L6" s="38"/>
      <c r="M6" s="30">
        <f>52767+25000</f>
        <v>77767</v>
      </c>
      <c r="N6" s="31">
        <v>303</v>
      </c>
      <c r="O6" s="314"/>
      <c r="P6" s="32">
        <f>N6+M6+L6+I6+C6</f>
        <v>81988</v>
      </c>
      <c r="Q6" s="12">
        <v>0</v>
      </c>
      <c r="R6" s="283">
        <v>18516</v>
      </c>
      <c r="S6" s="369">
        <v>44838</v>
      </c>
      <c r="T6" s="8"/>
    </row>
    <row r="7" spans="1:21" ht="18" thickBot="1" x14ac:dyDescent="0.35">
      <c r="A7" s="22"/>
      <c r="B7" s="320">
        <v>44867</v>
      </c>
      <c r="C7" s="24">
        <v>0</v>
      </c>
      <c r="D7" s="328"/>
      <c r="E7" s="322">
        <v>44867</v>
      </c>
      <c r="F7" s="8">
        <v>37429</v>
      </c>
      <c r="G7" s="323"/>
      <c r="H7" s="324">
        <v>44867</v>
      </c>
      <c r="I7" s="29">
        <v>464</v>
      </c>
      <c r="J7" s="36"/>
      <c r="K7" s="329"/>
      <c r="L7" s="38"/>
      <c r="M7" s="30">
        <v>36915</v>
      </c>
      <c r="N7" s="31">
        <v>50</v>
      </c>
      <c r="O7" s="314"/>
      <c r="P7" s="32">
        <f>N7+M7+L7+I7+C7</f>
        <v>37429</v>
      </c>
      <c r="Q7" s="12">
        <f t="shared" ref="Q7:Q39" si="0">P7-F7</f>
        <v>0</v>
      </c>
      <c r="R7" s="12">
        <v>0</v>
      </c>
      <c r="S7" s="369">
        <v>44839</v>
      </c>
    </row>
    <row r="8" spans="1:21" ht="18" thickBot="1" x14ac:dyDescent="0.35">
      <c r="A8" s="22"/>
      <c r="B8" s="320">
        <v>44868</v>
      </c>
      <c r="C8" s="24">
        <v>0</v>
      </c>
      <c r="D8" s="328"/>
      <c r="E8" s="322">
        <v>44868</v>
      </c>
      <c r="F8" s="27">
        <v>89547</v>
      </c>
      <c r="G8" s="323"/>
      <c r="H8" s="324">
        <v>44868</v>
      </c>
      <c r="I8" s="29">
        <v>103</v>
      </c>
      <c r="J8" s="42"/>
      <c r="K8" s="330"/>
      <c r="L8" s="38"/>
      <c r="M8" s="30">
        <f>71144+35000</f>
        <v>106144</v>
      </c>
      <c r="N8" s="31">
        <v>3340</v>
      </c>
      <c r="O8" s="314"/>
      <c r="P8" s="32">
        <f t="shared" ref="P8:P40" si="1">N8+M8+L8+I8+C8</f>
        <v>109587</v>
      </c>
      <c r="Q8" s="12">
        <v>0</v>
      </c>
      <c r="R8" s="283">
        <v>20040</v>
      </c>
      <c r="S8" s="369">
        <v>44840</v>
      </c>
    </row>
    <row r="9" spans="1:21" ht="18" thickBot="1" x14ac:dyDescent="0.35">
      <c r="A9" s="22"/>
      <c r="B9" s="320">
        <v>44869</v>
      </c>
      <c r="C9" s="24">
        <v>12724</v>
      </c>
      <c r="D9" s="328" t="s">
        <v>49</v>
      </c>
      <c r="E9" s="322">
        <v>44869</v>
      </c>
      <c r="F9" s="27">
        <v>130261</v>
      </c>
      <c r="G9" s="323"/>
      <c r="H9" s="324">
        <v>44869</v>
      </c>
      <c r="I9" s="29">
        <v>115</v>
      </c>
      <c r="J9" s="36"/>
      <c r="K9" s="331"/>
      <c r="L9" s="38"/>
      <c r="M9" s="30">
        <f>45000+70292</f>
        <v>115292</v>
      </c>
      <c r="N9" s="31">
        <v>2130</v>
      </c>
      <c r="O9" s="314"/>
      <c r="P9" s="32">
        <f t="shared" si="1"/>
        <v>130261</v>
      </c>
      <c r="Q9" s="12">
        <f t="shared" si="0"/>
        <v>0</v>
      </c>
      <c r="R9" s="12">
        <v>0</v>
      </c>
      <c r="S9" s="369">
        <v>44841</v>
      </c>
    </row>
    <row r="10" spans="1:21" ht="18" thickBot="1" x14ac:dyDescent="0.35">
      <c r="A10" s="22"/>
      <c r="B10" s="320">
        <v>44870</v>
      </c>
      <c r="C10" s="24">
        <v>0</v>
      </c>
      <c r="D10" s="326"/>
      <c r="E10" s="322">
        <v>44870</v>
      </c>
      <c r="F10" s="27">
        <v>76363</v>
      </c>
      <c r="G10" s="323"/>
      <c r="H10" s="324">
        <v>44870</v>
      </c>
      <c r="I10" s="29">
        <v>184</v>
      </c>
      <c r="J10" s="36">
        <v>44870</v>
      </c>
      <c r="K10" s="332" t="s">
        <v>551</v>
      </c>
      <c r="L10" s="46">
        <v>9367</v>
      </c>
      <c r="M10" s="30">
        <f>38076+787+15000</f>
        <v>53863</v>
      </c>
      <c r="N10" s="31">
        <v>12949</v>
      </c>
      <c r="O10" s="314"/>
      <c r="P10" s="32">
        <f>N10+M10+L10+I10+C10</f>
        <v>76363</v>
      </c>
      <c r="Q10" s="12">
        <f t="shared" si="0"/>
        <v>0</v>
      </c>
      <c r="R10" s="12">
        <v>0</v>
      </c>
      <c r="S10" s="369">
        <v>44842</v>
      </c>
      <c r="U10" t="s">
        <v>8</v>
      </c>
    </row>
    <row r="11" spans="1:21" ht="18" thickBot="1" x14ac:dyDescent="0.35">
      <c r="A11" s="22"/>
      <c r="B11" s="320">
        <v>44871</v>
      </c>
      <c r="C11" s="24">
        <v>0</v>
      </c>
      <c r="D11" s="326"/>
      <c r="E11" s="322">
        <v>44871</v>
      </c>
      <c r="F11" s="27">
        <v>128268</v>
      </c>
      <c r="G11" s="323"/>
      <c r="H11" s="324">
        <v>44871</v>
      </c>
      <c r="I11" s="29">
        <v>107</v>
      </c>
      <c r="J11" s="42"/>
      <c r="K11" s="333"/>
      <c r="L11" s="38"/>
      <c r="M11" s="30">
        <f>90000+30000+21689</f>
        <v>141689</v>
      </c>
      <c r="N11" s="31">
        <v>1472</v>
      </c>
      <c r="O11" s="314"/>
      <c r="P11" s="32">
        <f>N11+M11+L11+I11+C11</f>
        <v>143268</v>
      </c>
      <c r="Q11" s="12">
        <v>0</v>
      </c>
      <c r="R11" s="283">
        <v>15000</v>
      </c>
      <c r="S11" s="369">
        <v>44843</v>
      </c>
    </row>
    <row r="12" spans="1:21" ht="18" thickBot="1" x14ac:dyDescent="0.35">
      <c r="A12" s="22"/>
      <c r="B12" s="320">
        <v>44872</v>
      </c>
      <c r="C12" s="24">
        <v>0</v>
      </c>
      <c r="D12" s="326"/>
      <c r="E12" s="322">
        <v>44872</v>
      </c>
      <c r="F12" s="27">
        <v>175898</v>
      </c>
      <c r="G12" s="323"/>
      <c r="H12" s="324">
        <v>44872</v>
      </c>
      <c r="I12" s="29">
        <v>137</v>
      </c>
      <c r="J12" s="36"/>
      <c r="K12" s="334"/>
      <c r="L12" s="38"/>
      <c r="M12" s="30">
        <f>40000+33312+100000</f>
        <v>173312</v>
      </c>
      <c r="N12" s="31">
        <v>2449</v>
      </c>
      <c r="O12" s="314"/>
      <c r="P12" s="32">
        <f t="shared" si="1"/>
        <v>175898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44873</v>
      </c>
      <c r="C13" s="24">
        <v>3130</v>
      </c>
      <c r="D13" s="328" t="s">
        <v>44</v>
      </c>
      <c r="E13" s="322">
        <v>44873</v>
      </c>
      <c r="F13" s="27">
        <v>92504</v>
      </c>
      <c r="G13" s="323"/>
      <c r="H13" s="324">
        <v>44873</v>
      </c>
      <c r="I13" s="29">
        <v>82</v>
      </c>
      <c r="J13" s="36"/>
      <c r="K13" s="327"/>
      <c r="L13" s="38"/>
      <c r="M13" s="30">
        <f>63377+25000</f>
        <v>88377</v>
      </c>
      <c r="N13" s="31">
        <v>915</v>
      </c>
      <c r="O13" s="314"/>
      <c r="P13" s="32">
        <f t="shared" si="1"/>
        <v>92504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44874</v>
      </c>
      <c r="C14" s="24">
        <v>0</v>
      </c>
      <c r="D14" s="335"/>
      <c r="E14" s="322">
        <v>44874</v>
      </c>
      <c r="F14" s="27">
        <v>53903</v>
      </c>
      <c r="G14" s="323"/>
      <c r="H14" s="324">
        <v>44874</v>
      </c>
      <c r="I14" s="29">
        <v>183</v>
      </c>
      <c r="J14" s="36"/>
      <c r="K14" s="330"/>
      <c r="L14" s="38"/>
      <c r="M14" s="30">
        <f>10000+38234+4873</f>
        <v>53107</v>
      </c>
      <c r="N14" s="31">
        <v>613</v>
      </c>
      <c r="O14" s="314"/>
      <c r="P14" s="32">
        <f t="shared" si="1"/>
        <v>53903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44875</v>
      </c>
      <c r="C15" s="24">
        <v>22185</v>
      </c>
      <c r="D15" s="335" t="s">
        <v>552</v>
      </c>
      <c r="E15" s="322">
        <v>44875</v>
      </c>
      <c r="F15" s="27">
        <v>116136</v>
      </c>
      <c r="G15" s="323"/>
      <c r="H15" s="324">
        <v>44875</v>
      </c>
      <c r="I15" s="29">
        <v>183</v>
      </c>
      <c r="J15" s="36"/>
      <c r="K15" s="330"/>
      <c r="L15" s="38"/>
      <c r="M15" s="30">
        <f>48803+40000</f>
        <v>88803</v>
      </c>
      <c r="N15" s="31">
        <v>6935</v>
      </c>
      <c r="O15" s="314"/>
      <c r="P15" s="32">
        <f t="shared" si="1"/>
        <v>118106</v>
      </c>
      <c r="Q15" s="12">
        <v>0</v>
      </c>
      <c r="R15" s="283">
        <v>1970</v>
      </c>
      <c r="S15" s="369">
        <v>44847</v>
      </c>
    </row>
    <row r="16" spans="1:21" ht="18" thickBot="1" x14ac:dyDescent="0.35">
      <c r="A16" s="22"/>
      <c r="B16" s="320">
        <v>44876</v>
      </c>
      <c r="C16" s="24">
        <v>4199</v>
      </c>
      <c r="D16" s="326" t="s">
        <v>49</v>
      </c>
      <c r="E16" s="322">
        <v>44876</v>
      </c>
      <c r="F16" s="27">
        <v>133296</v>
      </c>
      <c r="G16" s="323"/>
      <c r="H16" s="324">
        <v>44876</v>
      </c>
      <c r="I16" s="29">
        <v>139</v>
      </c>
      <c r="J16" s="36"/>
      <c r="K16" s="330"/>
      <c r="L16" s="8"/>
      <c r="M16" s="30">
        <f>40000+50000+32841</f>
        <v>122841</v>
      </c>
      <c r="N16" s="31">
        <v>6117</v>
      </c>
      <c r="O16" s="314"/>
      <c r="P16" s="32">
        <f t="shared" si="1"/>
        <v>133296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44877</v>
      </c>
      <c r="C17" s="24">
        <v>0</v>
      </c>
      <c r="D17" s="328"/>
      <c r="E17" s="322">
        <v>44877</v>
      </c>
      <c r="F17" s="27">
        <v>109562</v>
      </c>
      <c r="G17" s="323"/>
      <c r="H17" s="324">
        <v>44877</v>
      </c>
      <c r="I17" s="29">
        <v>75</v>
      </c>
      <c r="J17" s="36">
        <v>44877</v>
      </c>
      <c r="K17" s="336" t="s">
        <v>553</v>
      </c>
      <c r="L17" s="46">
        <v>9786</v>
      </c>
      <c r="M17" s="30">
        <f>25000+59714+5021</f>
        <v>89735</v>
      </c>
      <c r="N17" s="31">
        <v>9966</v>
      </c>
      <c r="O17" s="314"/>
      <c r="P17" s="32">
        <f t="shared" si="1"/>
        <v>109562</v>
      </c>
      <c r="Q17" s="12">
        <f t="shared" si="0"/>
        <v>0</v>
      </c>
      <c r="R17" s="12">
        <v>0</v>
      </c>
      <c r="S17" s="369">
        <v>44849</v>
      </c>
    </row>
    <row r="18" spans="1:20" ht="18" thickBot="1" x14ac:dyDescent="0.35">
      <c r="A18" s="22"/>
      <c r="B18" s="320">
        <v>44878</v>
      </c>
      <c r="C18" s="24">
        <v>0</v>
      </c>
      <c r="D18" s="326"/>
      <c r="E18" s="322">
        <v>44878</v>
      </c>
      <c r="F18" s="27">
        <v>102119</v>
      </c>
      <c r="G18" s="323"/>
      <c r="H18" s="324">
        <v>44878</v>
      </c>
      <c r="I18" s="29">
        <v>310</v>
      </c>
      <c r="J18" s="36"/>
      <c r="K18" s="337"/>
      <c r="L18" s="38"/>
      <c r="M18" s="30">
        <f>75000+22840</f>
        <v>97840</v>
      </c>
      <c r="N18" s="31">
        <v>3969</v>
      </c>
      <c r="O18" s="314"/>
      <c r="P18" s="32">
        <f t="shared" si="1"/>
        <v>102119</v>
      </c>
      <c r="Q18" s="12">
        <f t="shared" si="0"/>
        <v>0</v>
      </c>
      <c r="R18" s="12">
        <v>0</v>
      </c>
      <c r="S18" s="369">
        <v>44850</v>
      </c>
    </row>
    <row r="19" spans="1:20" ht="18" thickBot="1" x14ac:dyDescent="0.35">
      <c r="A19" s="22"/>
      <c r="B19" s="320">
        <v>44879</v>
      </c>
      <c r="C19" s="24">
        <v>9880</v>
      </c>
      <c r="D19" s="326" t="s">
        <v>49</v>
      </c>
      <c r="E19" s="322">
        <v>44879</v>
      </c>
      <c r="F19" s="27">
        <v>201608</v>
      </c>
      <c r="G19" s="323"/>
      <c r="H19" s="324">
        <v>44879</v>
      </c>
      <c r="I19" s="29">
        <v>70</v>
      </c>
      <c r="J19" s="36"/>
      <c r="K19" s="338"/>
      <c r="L19" s="53"/>
      <c r="M19" s="30">
        <f>35000+90000+63508</f>
        <v>188508</v>
      </c>
      <c r="N19" s="31">
        <v>3150</v>
      </c>
      <c r="O19" s="314"/>
      <c r="P19" s="32">
        <f t="shared" si="1"/>
        <v>201608</v>
      </c>
      <c r="Q19" s="12">
        <f t="shared" si="0"/>
        <v>0</v>
      </c>
      <c r="R19" s="12">
        <v>0</v>
      </c>
      <c r="S19" s="369">
        <v>44851</v>
      </c>
    </row>
    <row r="20" spans="1:20" ht="18" thickBot="1" x14ac:dyDescent="0.35">
      <c r="A20" s="22"/>
      <c r="B20" s="320">
        <v>44880</v>
      </c>
      <c r="C20" s="24">
        <v>2850</v>
      </c>
      <c r="D20" s="326" t="s">
        <v>44</v>
      </c>
      <c r="E20" s="322">
        <v>44880</v>
      </c>
      <c r="F20" s="27">
        <v>97873</v>
      </c>
      <c r="G20" s="323"/>
      <c r="H20" s="324">
        <v>44880</v>
      </c>
      <c r="I20" s="29">
        <v>133</v>
      </c>
      <c r="J20" s="36"/>
      <c r="K20" s="339"/>
      <c r="L20" s="46"/>
      <c r="M20" s="30">
        <f>15000+76338</f>
        <v>91338</v>
      </c>
      <c r="N20" s="31">
        <v>3552</v>
      </c>
      <c r="O20" s="314"/>
      <c r="P20" s="32">
        <f t="shared" si="1"/>
        <v>97873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44881</v>
      </c>
      <c r="C21" s="24">
        <v>0</v>
      </c>
      <c r="D21" s="326"/>
      <c r="E21" s="322">
        <v>44881</v>
      </c>
      <c r="F21" s="27">
        <v>50485</v>
      </c>
      <c r="G21" s="323"/>
      <c r="H21" s="324">
        <v>44881</v>
      </c>
      <c r="I21" s="29">
        <v>174</v>
      </c>
      <c r="J21" s="36"/>
      <c r="K21" s="340"/>
      <c r="L21" s="46"/>
      <c r="M21" s="30">
        <v>49389</v>
      </c>
      <c r="N21" s="31">
        <v>922</v>
      </c>
      <c r="O21" s="314"/>
      <c r="P21" s="32">
        <f t="shared" si="1"/>
        <v>50485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44882</v>
      </c>
      <c r="C22" s="24">
        <v>0</v>
      </c>
      <c r="D22" s="326"/>
      <c r="E22" s="322">
        <v>44882</v>
      </c>
      <c r="F22" s="27">
        <v>77102</v>
      </c>
      <c r="G22" s="323"/>
      <c r="H22" s="324">
        <v>44882</v>
      </c>
      <c r="I22" s="29">
        <v>92</v>
      </c>
      <c r="J22" s="36"/>
      <c r="K22" s="330"/>
      <c r="L22" s="56"/>
      <c r="M22" s="30">
        <f>57010+20000</f>
        <v>77010</v>
      </c>
      <c r="N22" s="31">
        <v>0</v>
      </c>
      <c r="O22" s="314"/>
      <c r="P22" s="32">
        <f t="shared" si="1"/>
        <v>77102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44883</v>
      </c>
      <c r="C23" s="24">
        <v>27810</v>
      </c>
      <c r="D23" s="326" t="s">
        <v>49</v>
      </c>
      <c r="E23" s="322">
        <v>44883</v>
      </c>
      <c r="F23" s="27">
        <v>169685</v>
      </c>
      <c r="G23" s="323"/>
      <c r="H23" s="324">
        <v>44883</v>
      </c>
      <c r="I23" s="29">
        <v>155</v>
      </c>
      <c r="J23" s="57"/>
      <c r="K23" s="341"/>
      <c r="L23" s="46"/>
      <c r="M23" s="30">
        <f>85000+56001</f>
        <v>141001</v>
      </c>
      <c r="N23" s="31">
        <v>719</v>
      </c>
      <c r="O23" s="314"/>
      <c r="P23" s="32">
        <f t="shared" si="1"/>
        <v>169685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44884</v>
      </c>
      <c r="C24" s="24">
        <v>0</v>
      </c>
      <c r="D24" s="328"/>
      <c r="E24" s="322">
        <v>44884</v>
      </c>
      <c r="F24" s="27">
        <v>116524</v>
      </c>
      <c r="G24" s="323"/>
      <c r="H24" s="324">
        <v>44884</v>
      </c>
      <c r="I24" s="29">
        <v>106</v>
      </c>
      <c r="J24" s="342">
        <v>44884</v>
      </c>
      <c r="K24" s="343" t="s">
        <v>554</v>
      </c>
      <c r="L24" s="61">
        <v>10357</v>
      </c>
      <c r="M24" s="30">
        <f>45000+43200</f>
        <v>88200</v>
      </c>
      <c r="N24" s="31">
        <v>17861</v>
      </c>
      <c r="O24" s="314"/>
      <c r="P24" s="32">
        <f t="shared" si="1"/>
        <v>116524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44885</v>
      </c>
      <c r="C25" s="24">
        <v>0</v>
      </c>
      <c r="D25" s="326"/>
      <c r="E25" s="322">
        <v>44885</v>
      </c>
      <c r="F25" s="27">
        <v>140547</v>
      </c>
      <c r="G25" s="323"/>
      <c r="H25" s="324">
        <v>44885</v>
      </c>
      <c r="I25" s="29">
        <v>244</v>
      </c>
      <c r="J25" s="62"/>
      <c r="K25" s="344"/>
      <c r="L25" s="64"/>
      <c r="M25" s="30">
        <f>12103+55000+70000</f>
        <v>137103</v>
      </c>
      <c r="N25" s="31">
        <v>3200</v>
      </c>
      <c r="O25" s="314"/>
      <c r="P25" s="32">
        <f t="shared" si="1"/>
        <v>140547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44886</v>
      </c>
      <c r="C26" s="24">
        <v>4120</v>
      </c>
      <c r="D26" s="326" t="s">
        <v>47</v>
      </c>
      <c r="E26" s="322">
        <v>44886</v>
      </c>
      <c r="F26" s="27">
        <v>202372</v>
      </c>
      <c r="G26" s="323"/>
      <c r="H26" s="324">
        <v>44886</v>
      </c>
      <c r="I26" s="29">
        <v>142</v>
      </c>
      <c r="J26" s="36"/>
      <c r="K26" s="343"/>
      <c r="L26" s="46"/>
      <c r="M26" s="30">
        <f>56718+40000+100000</f>
        <v>196718</v>
      </c>
      <c r="N26" s="31">
        <v>1392</v>
      </c>
      <c r="O26" s="314"/>
      <c r="P26" s="32">
        <f t="shared" si="1"/>
        <v>202372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44887</v>
      </c>
      <c r="C27" s="24">
        <v>0</v>
      </c>
      <c r="D27" s="328"/>
      <c r="E27" s="322">
        <v>44887</v>
      </c>
      <c r="F27" s="27">
        <v>92506</v>
      </c>
      <c r="G27" s="323"/>
      <c r="H27" s="324">
        <v>44887</v>
      </c>
      <c r="I27" s="29">
        <v>39</v>
      </c>
      <c r="J27" s="65"/>
      <c r="K27" s="345"/>
      <c r="L27" s="64"/>
      <c r="M27" s="30">
        <f>16218+65000+10000</f>
        <v>91218</v>
      </c>
      <c r="N27" s="31">
        <v>1249</v>
      </c>
      <c r="O27" s="314"/>
      <c r="P27" s="32">
        <f t="shared" si="1"/>
        <v>92506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44888</v>
      </c>
      <c r="C28" s="24">
        <v>0</v>
      </c>
      <c r="D28" s="328"/>
      <c r="E28" s="322">
        <v>44888</v>
      </c>
      <c r="F28" s="27">
        <v>75362</v>
      </c>
      <c r="G28" s="323"/>
      <c r="H28" s="324">
        <v>44888</v>
      </c>
      <c r="I28" s="29">
        <v>121</v>
      </c>
      <c r="J28" s="67"/>
      <c r="K28" s="346"/>
      <c r="L28" s="64"/>
      <c r="M28" s="30">
        <f>20000+54522</f>
        <v>74522</v>
      </c>
      <c r="N28" s="31">
        <v>719</v>
      </c>
      <c r="O28" s="314"/>
      <c r="P28" s="32">
        <f t="shared" si="1"/>
        <v>75362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44889</v>
      </c>
      <c r="C29" s="24">
        <v>0</v>
      </c>
      <c r="D29" s="347"/>
      <c r="E29" s="322">
        <v>44889</v>
      </c>
      <c r="F29" s="27">
        <v>98167</v>
      </c>
      <c r="G29" s="323"/>
      <c r="H29" s="324">
        <v>44889</v>
      </c>
      <c r="I29" s="29">
        <v>53</v>
      </c>
      <c r="J29" s="65"/>
      <c r="K29" s="348"/>
      <c r="L29" s="64"/>
      <c r="M29" s="30">
        <f>25000+70085</f>
        <v>95085</v>
      </c>
      <c r="N29" s="31">
        <v>3029</v>
      </c>
      <c r="O29" s="314"/>
      <c r="P29" s="32">
        <f t="shared" si="1"/>
        <v>98167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44890</v>
      </c>
      <c r="C30" s="24">
        <v>15259</v>
      </c>
      <c r="D30" s="347" t="s">
        <v>49</v>
      </c>
      <c r="E30" s="322">
        <v>44890</v>
      </c>
      <c r="F30" s="27">
        <v>123489</v>
      </c>
      <c r="G30" s="323"/>
      <c r="H30" s="324">
        <v>44890</v>
      </c>
      <c r="I30" s="29">
        <v>85</v>
      </c>
      <c r="J30" s="71"/>
      <c r="K30" s="349"/>
      <c r="L30" s="73"/>
      <c r="M30" s="30">
        <f>25000+50000+30025</f>
        <v>105025</v>
      </c>
      <c r="N30" s="31">
        <v>3120</v>
      </c>
      <c r="O30" s="314"/>
      <c r="P30" s="32">
        <f t="shared" si="1"/>
        <v>123489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44891</v>
      </c>
      <c r="C31" s="24">
        <v>0</v>
      </c>
      <c r="D31" s="350"/>
      <c r="E31" s="322">
        <v>44891</v>
      </c>
      <c r="F31" s="27">
        <v>123323</v>
      </c>
      <c r="G31" s="323"/>
      <c r="H31" s="324">
        <v>44891</v>
      </c>
      <c r="I31" s="29">
        <v>96</v>
      </c>
      <c r="J31" s="71">
        <v>44891</v>
      </c>
      <c r="K31" s="351" t="s">
        <v>555</v>
      </c>
      <c r="L31" s="75">
        <v>12000</v>
      </c>
      <c r="M31" s="30">
        <f>50000+47627</f>
        <v>97627</v>
      </c>
      <c r="N31" s="31">
        <v>13600</v>
      </c>
      <c r="O31" s="314"/>
      <c r="P31" s="32">
        <f t="shared" si="1"/>
        <v>123323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44892</v>
      </c>
      <c r="C32" s="24">
        <v>0</v>
      </c>
      <c r="D32" s="352"/>
      <c r="E32" s="322">
        <v>44892</v>
      </c>
      <c r="F32" s="27">
        <v>163298</v>
      </c>
      <c r="G32" s="323"/>
      <c r="H32" s="324">
        <v>44892</v>
      </c>
      <c r="I32" s="29">
        <v>207</v>
      </c>
      <c r="J32" s="71"/>
      <c r="K32" s="349"/>
      <c r="L32" s="73"/>
      <c r="M32" s="30">
        <f>19492+40000+100000</f>
        <v>159492</v>
      </c>
      <c r="N32" s="31">
        <v>3599</v>
      </c>
      <c r="O32" s="314"/>
      <c r="P32" s="32">
        <f t="shared" si="1"/>
        <v>163298</v>
      </c>
      <c r="Q32" s="12">
        <f t="shared" si="0"/>
        <v>0</v>
      </c>
      <c r="R32" s="8" t="s">
        <v>556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>
        <v>44888</v>
      </c>
      <c r="K34" s="354" t="s">
        <v>205</v>
      </c>
      <c r="L34" s="80">
        <v>1392</v>
      </c>
      <c r="M34" s="30">
        <v>0</v>
      </c>
      <c r="N34" s="31">
        <v>0</v>
      </c>
      <c r="O34" s="314"/>
      <c r="P34" s="32">
        <f t="shared" si="1"/>
        <v>1392</v>
      </c>
      <c r="Q34" s="12">
        <f t="shared" si="0"/>
        <v>1392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>
        <v>44888</v>
      </c>
      <c r="K35" s="351" t="s">
        <v>464</v>
      </c>
      <c r="L35" s="78">
        <v>549</v>
      </c>
      <c r="M35" s="30">
        <v>0</v>
      </c>
      <c r="N35" s="31">
        <v>0</v>
      </c>
      <c r="O35" s="314"/>
      <c r="P35" s="32">
        <f t="shared" si="1"/>
        <v>549</v>
      </c>
      <c r="Q35" s="12">
        <f t="shared" si="0"/>
        <v>549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289">
        <v>44875</v>
      </c>
      <c r="K36" s="288" t="s">
        <v>190</v>
      </c>
      <c r="L36" s="78">
        <v>33500</v>
      </c>
      <c r="M36" s="30">
        <v>0</v>
      </c>
      <c r="N36" s="31">
        <v>0</v>
      </c>
      <c r="O36" s="314"/>
      <c r="P36" s="32">
        <f t="shared" si="1"/>
        <v>33500</v>
      </c>
      <c r="Q36" s="12">
        <f t="shared" si="0"/>
        <v>33500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>
        <v>44890</v>
      </c>
      <c r="K37" s="357" t="s">
        <v>587</v>
      </c>
      <c r="L37" s="78">
        <v>1225.1199999999999</v>
      </c>
      <c r="M37" s="30">
        <v>0</v>
      </c>
      <c r="N37" s="31">
        <v>0</v>
      </c>
      <c r="O37" s="314"/>
      <c r="P37" s="32">
        <f t="shared" si="1"/>
        <v>1225.1199999999999</v>
      </c>
      <c r="Q37" s="12">
        <f t="shared" si="0"/>
        <v>1225.1199999999999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71">
        <v>44890</v>
      </c>
      <c r="K38" s="329" t="s">
        <v>588</v>
      </c>
      <c r="L38" s="78">
        <v>2725.09</v>
      </c>
      <c r="M38" s="30">
        <v>0</v>
      </c>
      <c r="N38" s="31">
        <v>0</v>
      </c>
      <c r="O38" s="314"/>
      <c r="P38" s="32">
        <f t="shared" si="1"/>
        <v>2725.09</v>
      </c>
      <c r="Q38" s="12">
        <f t="shared" si="0"/>
        <v>2725.09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405">
        <f>SUM(M5:M39)</f>
        <v>2972555</v>
      </c>
      <c r="N40" s="407">
        <f>SUM(N5:N39)</f>
        <v>108935</v>
      </c>
      <c r="P40" s="32">
        <f t="shared" si="1"/>
        <v>3081490</v>
      </c>
      <c r="Q40" s="284">
        <f>SUM(Q5:Q39)</f>
        <v>39391.210000000006</v>
      </c>
      <c r="R40" s="316">
        <f>SUM(R5:R39)</f>
        <v>55526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06"/>
      <c r="N41" s="408"/>
      <c r="P41" s="32"/>
      <c r="Q41" s="8"/>
    </row>
    <row r="42" spans="1:19" ht="17.25" hidden="1" customHeight="1" x14ac:dyDescent="0.3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105997</v>
      </c>
      <c r="D51" s="103"/>
      <c r="E51" s="104" t="s">
        <v>9</v>
      </c>
      <c r="F51" s="105">
        <f>SUM(F5:F50)</f>
        <v>3177504</v>
      </c>
      <c r="G51" s="103"/>
      <c r="H51" s="106" t="s">
        <v>10</v>
      </c>
      <c r="I51" s="107">
        <f>SUM(I5:I50)</f>
        <v>4033</v>
      </c>
      <c r="J51" s="108"/>
      <c r="K51" s="109" t="s">
        <v>11</v>
      </c>
      <c r="L51" s="110">
        <f>SUM(L5:L50)</f>
        <v>80901.209999999992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9" t="s">
        <v>12</v>
      </c>
      <c r="I53" s="410"/>
      <c r="J53" s="114"/>
      <c r="K53" s="411">
        <f>I51+L51</f>
        <v>84934.209999999992</v>
      </c>
      <c r="L53" s="412"/>
      <c r="M53" s="413">
        <f>N40+M40</f>
        <v>3081490</v>
      </c>
      <c r="N53" s="414"/>
      <c r="P53" s="32"/>
      <c r="Q53" s="8"/>
    </row>
    <row r="54" spans="1:17" ht="15.75" x14ac:dyDescent="0.25">
      <c r="D54" s="415" t="s">
        <v>13</v>
      </c>
      <c r="E54" s="415"/>
      <c r="F54" s="115">
        <f>F51-K53-C51</f>
        <v>2986572.79</v>
      </c>
      <c r="I54" s="116"/>
      <c r="J54" s="117"/>
      <c r="P54" s="32"/>
      <c r="Q54" s="8"/>
    </row>
    <row r="55" spans="1:17" ht="18.75" x14ac:dyDescent="0.3">
      <c r="D55" s="416" t="s">
        <v>14</v>
      </c>
      <c r="E55" s="416"/>
      <c r="F55" s="111">
        <v>-2936244.87</v>
      </c>
      <c r="I55" s="417" t="s">
        <v>15</v>
      </c>
      <c r="J55" s="418"/>
      <c r="K55" s="419">
        <f>F57+F58+F59</f>
        <v>437052.46999999991</v>
      </c>
      <c r="L55" s="420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50327.919999999925</v>
      </c>
      <c r="H57" s="22"/>
      <c r="I57" s="124" t="s">
        <v>17</v>
      </c>
      <c r="J57" s="125"/>
      <c r="K57" s="421">
        <f>-C4</f>
        <v>-419424.76</v>
      </c>
      <c r="L57" s="422"/>
    </row>
    <row r="58" spans="1:17" ht="16.5" thickBot="1" x14ac:dyDescent="0.3">
      <c r="D58" s="126" t="s">
        <v>18</v>
      </c>
      <c r="E58" s="33" t="s">
        <v>19</v>
      </c>
      <c r="F58" s="127">
        <v>71026</v>
      </c>
    </row>
    <row r="59" spans="1:17" ht="20.25" thickTop="1" thickBot="1" x14ac:dyDescent="0.35">
      <c r="C59" s="128">
        <v>44892</v>
      </c>
      <c r="D59" s="398" t="s">
        <v>20</v>
      </c>
      <c r="E59" s="399"/>
      <c r="F59" s="129">
        <v>315698.55</v>
      </c>
      <c r="I59" s="435" t="s">
        <v>168</v>
      </c>
      <c r="J59" s="436"/>
      <c r="K59" s="437">
        <f>K55+K57</f>
        <v>17627.709999999905</v>
      </c>
      <c r="L59" s="43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22" workbookViewId="0">
      <selection activeCell="A22" sqref="A1:XFD1048576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7.5703125" style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2.5" customHeight="1" x14ac:dyDescent="0.25">
      <c r="A3" s="377">
        <v>44866</v>
      </c>
      <c r="B3" s="378" t="s">
        <v>559</v>
      </c>
      <c r="C3" s="256">
        <v>44181.2</v>
      </c>
      <c r="D3" s="393">
        <v>44870</v>
      </c>
      <c r="E3" s="299">
        <v>44181.2</v>
      </c>
      <c r="F3" s="152">
        <f>C3-E3</f>
        <v>0</v>
      </c>
      <c r="J3" s="127"/>
    </row>
    <row r="4" spans="1:10" ht="22.5" customHeight="1" x14ac:dyDescent="0.25">
      <c r="A4" s="379">
        <v>44866</v>
      </c>
      <c r="B4" s="380" t="s">
        <v>558</v>
      </c>
      <c r="C4" s="127">
        <v>52074.400000000001</v>
      </c>
      <c r="D4" s="393">
        <v>44870</v>
      </c>
      <c r="E4" s="277">
        <v>52074.400000000001</v>
      </c>
      <c r="F4" s="188">
        <f>C4-E4+F3</f>
        <v>0</v>
      </c>
      <c r="J4" s="256"/>
    </row>
    <row r="5" spans="1:10" ht="21" customHeight="1" x14ac:dyDescent="0.25">
      <c r="A5" s="379">
        <v>44867</v>
      </c>
      <c r="B5" s="380" t="s">
        <v>560</v>
      </c>
      <c r="C5" s="127">
        <v>5254</v>
      </c>
      <c r="D5" s="393">
        <v>44870</v>
      </c>
      <c r="E5" s="277">
        <v>5254</v>
      </c>
      <c r="F5" s="188">
        <f t="shared" ref="F5:F68" si="0">C5-E5+F4</f>
        <v>0</v>
      </c>
      <c r="J5" s="127"/>
    </row>
    <row r="6" spans="1:10" ht="21" customHeight="1" x14ac:dyDescent="0.3">
      <c r="A6" s="379">
        <v>44868</v>
      </c>
      <c r="B6" s="380" t="s">
        <v>561</v>
      </c>
      <c r="C6" s="127">
        <v>103458.88</v>
      </c>
      <c r="D6" s="393">
        <v>44870</v>
      </c>
      <c r="E6" s="277">
        <v>103458.88</v>
      </c>
      <c r="F6" s="188">
        <f t="shared" si="0"/>
        <v>0</v>
      </c>
      <c r="G6" s="156"/>
      <c r="J6" s="127"/>
    </row>
    <row r="7" spans="1:10" ht="21" customHeight="1" x14ac:dyDescent="0.25">
      <c r="A7" s="379">
        <v>44868</v>
      </c>
      <c r="B7" s="380" t="s">
        <v>562</v>
      </c>
      <c r="C7" s="127">
        <v>76672.5</v>
      </c>
      <c r="D7" s="393">
        <v>44870</v>
      </c>
      <c r="E7" s="277">
        <v>76672.5</v>
      </c>
      <c r="F7" s="188">
        <f t="shared" si="0"/>
        <v>0</v>
      </c>
      <c r="J7" s="127"/>
    </row>
    <row r="8" spans="1:10" ht="21" customHeight="1" x14ac:dyDescent="0.25">
      <c r="A8" s="379">
        <v>44869</v>
      </c>
      <c r="B8" s="380" t="s">
        <v>563</v>
      </c>
      <c r="C8" s="127">
        <v>113523.28</v>
      </c>
      <c r="D8" s="393">
        <v>44870</v>
      </c>
      <c r="E8" s="277">
        <v>113523.28</v>
      </c>
      <c r="F8" s="188">
        <f t="shared" si="0"/>
        <v>0</v>
      </c>
      <c r="J8" s="127"/>
    </row>
    <row r="9" spans="1:10" ht="21" customHeight="1" x14ac:dyDescent="0.25">
      <c r="A9" s="379">
        <v>44870</v>
      </c>
      <c r="B9" s="380" t="s">
        <v>564</v>
      </c>
      <c r="C9" s="127">
        <v>182125.94</v>
      </c>
      <c r="D9" s="304">
        <v>44877</v>
      </c>
      <c r="E9" s="274">
        <v>182125.94</v>
      </c>
      <c r="F9" s="188">
        <f t="shared" si="0"/>
        <v>0</v>
      </c>
      <c r="J9" s="127"/>
    </row>
    <row r="10" spans="1:10" ht="21" customHeight="1" x14ac:dyDescent="0.25">
      <c r="A10" s="379">
        <v>44872</v>
      </c>
      <c r="B10" s="380" t="s">
        <v>565</v>
      </c>
      <c r="C10" s="127">
        <v>155861.72</v>
      </c>
      <c r="D10" s="304">
        <v>44877</v>
      </c>
      <c r="E10" s="274">
        <v>155861.72</v>
      </c>
      <c r="F10" s="188">
        <f t="shared" si="0"/>
        <v>0</v>
      </c>
      <c r="J10" s="33">
        <v>0</v>
      </c>
    </row>
    <row r="11" spans="1:10" ht="21" customHeight="1" x14ac:dyDescent="0.25">
      <c r="A11" s="379">
        <v>44875</v>
      </c>
      <c r="B11" s="380" t="s">
        <v>566</v>
      </c>
      <c r="C11" s="127">
        <v>172319.6</v>
      </c>
      <c r="D11" s="304">
        <v>44877</v>
      </c>
      <c r="E11" s="274">
        <v>172319.6</v>
      </c>
      <c r="F11" s="188">
        <f t="shared" si="0"/>
        <v>0</v>
      </c>
      <c r="J11" s="267">
        <f>SUM(J3:J10)</f>
        <v>0</v>
      </c>
    </row>
    <row r="12" spans="1:10" ht="21" customHeight="1" x14ac:dyDescent="0.3">
      <c r="A12" s="379">
        <v>44875</v>
      </c>
      <c r="B12" s="380" t="s">
        <v>567</v>
      </c>
      <c r="C12" s="127">
        <v>25739.54</v>
      </c>
      <c r="D12" s="304">
        <v>44877</v>
      </c>
      <c r="E12" s="274">
        <v>25739.54</v>
      </c>
      <c r="F12" s="188">
        <f t="shared" si="0"/>
        <v>0</v>
      </c>
      <c r="G12" s="156"/>
    </row>
    <row r="13" spans="1:10" ht="21" customHeight="1" x14ac:dyDescent="0.25">
      <c r="A13" s="379">
        <v>44876</v>
      </c>
      <c r="B13" s="380" t="s">
        <v>568</v>
      </c>
      <c r="C13" s="127">
        <v>161041.70000000001</v>
      </c>
      <c r="D13" s="304">
        <v>44877</v>
      </c>
      <c r="E13" s="274">
        <v>161041.70000000001</v>
      </c>
      <c r="F13" s="188">
        <f t="shared" si="0"/>
        <v>0</v>
      </c>
    </row>
    <row r="14" spans="1:10" ht="21" customHeight="1" x14ac:dyDescent="0.25">
      <c r="A14" s="379">
        <v>44876</v>
      </c>
      <c r="B14" s="380" t="s">
        <v>569</v>
      </c>
      <c r="C14" s="127">
        <v>5213.6400000000003</v>
      </c>
      <c r="D14" s="304">
        <v>44877</v>
      </c>
      <c r="E14" s="274">
        <v>5213.6400000000003</v>
      </c>
      <c r="F14" s="188">
        <f t="shared" si="0"/>
        <v>0</v>
      </c>
    </row>
    <row r="15" spans="1:10" ht="21" customHeight="1" x14ac:dyDescent="0.25">
      <c r="A15" s="379">
        <v>44877</v>
      </c>
      <c r="B15" s="380" t="s">
        <v>570</v>
      </c>
      <c r="C15" s="127">
        <v>184631.6</v>
      </c>
      <c r="D15" s="257">
        <v>44884</v>
      </c>
      <c r="E15" s="127">
        <v>184631.6</v>
      </c>
      <c r="F15" s="188">
        <f t="shared" si="0"/>
        <v>0</v>
      </c>
    </row>
    <row r="16" spans="1:10" ht="21" customHeight="1" x14ac:dyDescent="0.25">
      <c r="A16" s="379">
        <v>44877</v>
      </c>
      <c r="B16" s="380" t="s">
        <v>571</v>
      </c>
      <c r="C16" s="127">
        <v>10281.76</v>
      </c>
      <c r="D16" s="257">
        <v>44884</v>
      </c>
      <c r="E16" s="127">
        <v>10281.76</v>
      </c>
      <c r="F16" s="188">
        <f t="shared" si="0"/>
        <v>0</v>
      </c>
    </row>
    <row r="17" spans="1:7" ht="21" customHeight="1" x14ac:dyDescent="0.25">
      <c r="A17" s="379">
        <v>44879</v>
      </c>
      <c r="B17" s="380" t="s">
        <v>572</v>
      </c>
      <c r="C17" s="127">
        <v>159496.46</v>
      </c>
      <c r="D17" s="257">
        <v>44884</v>
      </c>
      <c r="E17" s="127">
        <v>159496.46</v>
      </c>
      <c r="F17" s="188">
        <f t="shared" si="0"/>
        <v>0</v>
      </c>
    </row>
    <row r="18" spans="1:7" ht="21" customHeight="1" x14ac:dyDescent="0.25">
      <c r="A18" s="379">
        <v>44879</v>
      </c>
      <c r="B18" s="380" t="s">
        <v>573</v>
      </c>
      <c r="C18" s="127">
        <v>1076.4000000000001</v>
      </c>
      <c r="D18" s="257">
        <v>44884</v>
      </c>
      <c r="E18" s="127">
        <v>1076.4000000000001</v>
      </c>
      <c r="F18" s="188">
        <f t="shared" si="0"/>
        <v>0</v>
      </c>
    </row>
    <row r="19" spans="1:7" ht="21" customHeight="1" x14ac:dyDescent="0.25">
      <c r="A19" s="379">
        <v>44880</v>
      </c>
      <c r="B19" s="380" t="s">
        <v>574</v>
      </c>
      <c r="C19" s="127">
        <v>164517.22</v>
      </c>
      <c r="D19" s="257">
        <v>44884</v>
      </c>
      <c r="E19" s="127">
        <v>164517.22</v>
      </c>
      <c r="F19" s="188">
        <f t="shared" si="0"/>
        <v>0</v>
      </c>
    </row>
    <row r="20" spans="1:7" ht="21" customHeight="1" x14ac:dyDescent="0.25">
      <c r="A20" s="379">
        <v>44882</v>
      </c>
      <c r="B20" s="380" t="s">
        <v>575</v>
      </c>
      <c r="C20" s="127">
        <v>189776.71</v>
      </c>
      <c r="D20" s="257">
        <v>44884</v>
      </c>
      <c r="E20" s="127">
        <v>189776.71</v>
      </c>
      <c r="F20" s="188">
        <f t="shared" si="0"/>
        <v>0</v>
      </c>
    </row>
    <row r="21" spans="1:7" ht="31.5" x14ac:dyDescent="0.25">
      <c r="A21" s="379">
        <v>44883</v>
      </c>
      <c r="B21" s="380" t="s">
        <v>576</v>
      </c>
      <c r="C21" s="127">
        <v>167573.96</v>
      </c>
      <c r="D21" s="394" t="s">
        <v>585</v>
      </c>
      <c r="E21" s="296">
        <f>100000+67573.96</f>
        <v>167573.96000000002</v>
      </c>
      <c r="F21" s="188">
        <f t="shared" si="0"/>
        <v>-2.9103830456733704E-11</v>
      </c>
    </row>
    <row r="22" spans="1:7" ht="21" customHeight="1" x14ac:dyDescent="0.25">
      <c r="A22" s="379">
        <v>44883</v>
      </c>
      <c r="B22" s="380" t="s">
        <v>577</v>
      </c>
      <c r="C22" s="127">
        <v>6583.4</v>
      </c>
      <c r="D22" s="297">
        <v>44891</v>
      </c>
      <c r="E22" s="296">
        <v>6583.4</v>
      </c>
      <c r="F22" s="188">
        <f t="shared" si="0"/>
        <v>-2.9103830456733704E-11</v>
      </c>
    </row>
    <row r="23" spans="1:7" ht="21" customHeight="1" x14ac:dyDescent="0.25">
      <c r="A23" s="379">
        <v>44884</v>
      </c>
      <c r="B23" s="380" t="s">
        <v>578</v>
      </c>
      <c r="C23" s="127">
        <v>203511.5</v>
      </c>
      <c r="D23" s="297">
        <v>44891</v>
      </c>
      <c r="E23" s="296">
        <v>203511.5</v>
      </c>
      <c r="F23" s="188">
        <f t="shared" si="0"/>
        <v>-2.9103830456733704E-11</v>
      </c>
    </row>
    <row r="24" spans="1:7" ht="21" customHeight="1" x14ac:dyDescent="0.3">
      <c r="A24" s="379">
        <v>44887</v>
      </c>
      <c r="B24" s="380" t="s">
        <v>579</v>
      </c>
      <c r="C24" s="127">
        <v>165026.14000000001</v>
      </c>
      <c r="D24" s="297">
        <v>44891</v>
      </c>
      <c r="E24" s="296">
        <v>165026.14000000001</v>
      </c>
      <c r="F24" s="188">
        <f t="shared" si="0"/>
        <v>-2.9103830456733704E-11</v>
      </c>
      <c r="G24" s="156"/>
    </row>
    <row r="25" spans="1:7" ht="21" customHeight="1" x14ac:dyDescent="0.25">
      <c r="A25" s="379">
        <v>44888</v>
      </c>
      <c r="B25" s="380" t="s">
        <v>580</v>
      </c>
      <c r="C25" s="127">
        <v>18120.78</v>
      </c>
      <c r="D25" s="297">
        <v>44891</v>
      </c>
      <c r="E25" s="296">
        <v>18120.78</v>
      </c>
      <c r="F25" s="188">
        <f t="shared" si="0"/>
        <v>-2.9103830456733704E-11</v>
      </c>
    </row>
    <row r="26" spans="1:7" ht="21" customHeight="1" x14ac:dyDescent="0.25">
      <c r="A26" s="379">
        <v>44889</v>
      </c>
      <c r="B26" s="380" t="s">
        <v>581</v>
      </c>
      <c r="C26" s="127">
        <v>212875.58</v>
      </c>
      <c r="D26" s="297">
        <v>44891</v>
      </c>
      <c r="E26" s="296">
        <v>212875.58</v>
      </c>
      <c r="F26" s="188">
        <f t="shared" si="0"/>
        <v>-2.9103830456733704E-11</v>
      </c>
    </row>
    <row r="27" spans="1:7" ht="21" customHeight="1" x14ac:dyDescent="0.25">
      <c r="A27" s="379">
        <v>44889</v>
      </c>
      <c r="B27" s="380" t="s">
        <v>582</v>
      </c>
      <c r="C27" s="127">
        <v>20383</v>
      </c>
      <c r="D27" s="297">
        <v>44891</v>
      </c>
      <c r="E27" s="296">
        <v>20383</v>
      </c>
      <c r="F27" s="188">
        <f t="shared" si="0"/>
        <v>-2.9103830456733704E-11</v>
      </c>
    </row>
    <row r="28" spans="1:7" ht="21" customHeight="1" x14ac:dyDescent="0.25">
      <c r="A28" s="379">
        <v>44889</v>
      </c>
      <c r="B28" s="380" t="s">
        <v>583</v>
      </c>
      <c r="C28" s="127">
        <v>5998.5</v>
      </c>
      <c r="D28" s="297">
        <v>44891</v>
      </c>
      <c r="E28" s="296">
        <v>5998.5</v>
      </c>
      <c r="F28" s="188">
        <f t="shared" si="0"/>
        <v>-2.9103830456733704E-11</v>
      </c>
    </row>
    <row r="29" spans="1:7" ht="21" customHeight="1" x14ac:dyDescent="0.25">
      <c r="A29" s="379">
        <v>44890</v>
      </c>
      <c r="B29" s="380" t="s">
        <v>584</v>
      </c>
      <c r="C29" s="127">
        <v>168840.48</v>
      </c>
      <c r="D29" s="297">
        <v>44891</v>
      </c>
      <c r="E29" s="296">
        <v>168840.48</v>
      </c>
      <c r="F29" s="188">
        <f t="shared" si="0"/>
        <v>-2.9103830456733704E-11</v>
      </c>
    </row>
    <row r="30" spans="1:7" ht="21" customHeight="1" x14ac:dyDescent="0.25">
      <c r="A30" s="257">
        <v>44891</v>
      </c>
      <c r="B30" s="258" t="s">
        <v>586</v>
      </c>
      <c r="C30" s="127">
        <v>160084.98000000001</v>
      </c>
      <c r="D30" s="257"/>
      <c r="E30" s="127"/>
      <c r="F30" s="188">
        <f t="shared" si="0"/>
        <v>160084.97999999998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160084.97999999998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160084.97999999998</v>
      </c>
      <c r="G32" s="156"/>
    </row>
    <row r="33" spans="1:6" ht="21" customHeight="1" x14ac:dyDescent="0.25">
      <c r="A33" s="257"/>
      <c r="B33" s="258"/>
      <c r="C33" s="127"/>
      <c r="D33" s="257"/>
      <c r="E33" s="127"/>
      <c r="F33" s="188">
        <f t="shared" si="0"/>
        <v>160084.97999999998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160084.97999999998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160084.97999999998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160084.97999999998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160084.97999999998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160084.97999999998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160084.97999999998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160084.97999999998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160084.97999999998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160084.97999999998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160084.97999999998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160084.97999999998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160084.97999999998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160084.97999999998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160084.97999999998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160084.97999999998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160084.97999999998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160084.97999999998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160084.97999999998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160084.97999999998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160084.97999999998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160084.97999999998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160084.97999999998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160084.97999999998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160084.97999999998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160084.97999999998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160084.97999999998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160084.97999999998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160084.97999999998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160084.97999999998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160084.97999999998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160084.97999999998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160084.97999999998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160084.97999999998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160084.97999999998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160084.97999999998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160084.97999999998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160084.97999999998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160084.97999999998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160084.97999999998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160084.97999999998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160084.97999999998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160084.97999999998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160084.97999999998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160084.97999999998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160084.97999999998</v>
      </c>
    </row>
    <row r="79" spans="1:6" ht="19.5" thickBot="1" x14ac:dyDescent="0.35">
      <c r="A79" s="204"/>
      <c r="B79" s="223"/>
      <c r="C79" s="395">
        <f>SUM(C3:C78)</f>
        <v>2936244.8699999996</v>
      </c>
      <c r="D79" s="191"/>
      <c r="E79" s="170">
        <f>SUM(E3:E78)</f>
        <v>2776159.8899999997</v>
      </c>
      <c r="F79" s="171">
        <f>F78</f>
        <v>160084.97999999998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U81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M16" sqref="M16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7"/>
  </cols>
  <sheetData>
    <row r="1" spans="1:21" ht="23.25" x14ac:dyDescent="0.35">
      <c r="B1" s="423"/>
      <c r="C1" s="425" t="s">
        <v>589</v>
      </c>
      <c r="D1" s="426"/>
      <c r="E1" s="426"/>
      <c r="F1" s="426"/>
      <c r="G1" s="426"/>
      <c r="H1" s="426"/>
      <c r="I1" s="426"/>
      <c r="J1" s="426"/>
      <c r="K1" s="426"/>
      <c r="L1" s="426"/>
      <c r="M1" s="426"/>
    </row>
    <row r="2" spans="1:21" ht="16.5" thickBot="1" x14ac:dyDescent="0.3">
      <c r="B2" s="424"/>
      <c r="C2" s="2"/>
      <c r="H2" s="4"/>
      <c r="I2" s="5"/>
      <c r="J2" s="6"/>
      <c r="L2" s="7"/>
      <c r="M2" s="5"/>
      <c r="N2" s="8"/>
    </row>
    <row r="3" spans="1:21" ht="21.75" thickBot="1" x14ac:dyDescent="0.35">
      <c r="B3" s="427" t="s">
        <v>0</v>
      </c>
      <c r="C3" s="428"/>
      <c r="D3" s="9"/>
      <c r="E3" s="10"/>
      <c r="F3" s="10"/>
      <c r="H3" s="429" t="s">
        <v>1</v>
      </c>
      <c r="I3" s="429"/>
      <c r="K3" s="12"/>
      <c r="L3" s="12"/>
      <c r="M3" s="4"/>
      <c r="R3" s="396" t="s">
        <v>38</v>
      </c>
    </row>
    <row r="4" spans="1:21" ht="20.25" thickTop="1" thickBot="1" x14ac:dyDescent="0.35">
      <c r="A4" s="13" t="s">
        <v>2</v>
      </c>
      <c r="B4" s="14"/>
      <c r="C4" s="15">
        <v>315698.55</v>
      </c>
      <c r="D4" s="16">
        <v>44892</v>
      </c>
      <c r="E4" s="430" t="s">
        <v>3</v>
      </c>
      <c r="F4" s="431"/>
      <c r="H4" s="432" t="s">
        <v>4</v>
      </c>
      <c r="I4" s="433"/>
      <c r="J4" s="17"/>
      <c r="K4" s="18"/>
      <c r="L4" s="19"/>
      <c r="M4" s="20" t="s">
        <v>5</v>
      </c>
      <c r="N4" s="21" t="s">
        <v>6</v>
      </c>
      <c r="P4" s="403" t="s">
        <v>7</v>
      </c>
      <c r="Q4" s="404"/>
      <c r="R4" s="397"/>
    </row>
    <row r="5" spans="1:21" ht="18" thickBot="1" x14ac:dyDescent="0.35">
      <c r="A5" s="22" t="s">
        <v>8</v>
      </c>
      <c r="B5" s="320">
        <v>44893</v>
      </c>
      <c r="C5" s="24"/>
      <c r="D5" s="321"/>
      <c r="E5" s="322">
        <v>44893</v>
      </c>
      <c r="F5" s="27"/>
      <c r="G5" s="323"/>
      <c r="H5" s="324">
        <v>44893</v>
      </c>
      <c r="I5" s="29"/>
      <c r="J5" s="6"/>
      <c r="K5" s="325"/>
      <c r="L5" s="8"/>
      <c r="M5" s="30">
        <v>0</v>
      </c>
      <c r="N5" s="31">
        <v>0</v>
      </c>
      <c r="O5" s="314"/>
      <c r="P5" s="32">
        <f>N5+M5+L5+I5+C5</f>
        <v>0</v>
      </c>
      <c r="Q5" s="12">
        <f>P5-F5</f>
        <v>0</v>
      </c>
      <c r="R5" s="12">
        <v>0</v>
      </c>
      <c r="S5" s="369"/>
    </row>
    <row r="6" spans="1:21" ht="18" thickBot="1" x14ac:dyDescent="0.35">
      <c r="A6" s="22"/>
      <c r="B6" s="320">
        <v>44894</v>
      </c>
      <c r="C6" s="24"/>
      <c r="D6" s="326"/>
      <c r="E6" s="322">
        <v>44894</v>
      </c>
      <c r="F6" s="27"/>
      <c r="G6" s="323"/>
      <c r="H6" s="324">
        <v>44894</v>
      </c>
      <c r="I6" s="29"/>
      <c r="J6" s="36"/>
      <c r="K6" s="327"/>
      <c r="L6" s="38"/>
      <c r="M6" s="30">
        <v>0</v>
      </c>
      <c r="N6" s="31">
        <v>0</v>
      </c>
      <c r="O6" s="314"/>
      <c r="P6" s="32">
        <f>N6+M6+L6+I6+C6</f>
        <v>0</v>
      </c>
      <c r="Q6" s="12">
        <v>0</v>
      </c>
      <c r="R6" s="12">
        <v>0</v>
      </c>
      <c r="S6" s="369"/>
      <c r="T6" s="8"/>
    </row>
    <row r="7" spans="1:21" ht="18" thickBot="1" x14ac:dyDescent="0.35">
      <c r="A7" s="22"/>
      <c r="B7" s="320">
        <v>44895</v>
      </c>
      <c r="C7" s="24"/>
      <c r="D7" s="328"/>
      <c r="E7" s="322">
        <v>44895</v>
      </c>
      <c r="F7" s="8"/>
      <c r="G7" s="323"/>
      <c r="H7" s="324">
        <v>44895</v>
      </c>
      <c r="I7" s="29"/>
      <c r="J7" s="36"/>
      <c r="K7" s="329"/>
      <c r="L7" s="38"/>
      <c r="M7" s="30">
        <v>0</v>
      </c>
      <c r="N7" s="31">
        <v>0</v>
      </c>
      <c r="O7" s="314"/>
      <c r="P7" s="32">
        <f>N7+M7+L7+I7+C7</f>
        <v>0</v>
      </c>
      <c r="Q7" s="12">
        <f t="shared" ref="Q7:Q39" si="0">P7-F7</f>
        <v>0</v>
      </c>
      <c r="R7" s="12">
        <v>0</v>
      </c>
      <c r="S7" s="369"/>
    </row>
    <row r="8" spans="1:21" ht="18" thickBot="1" x14ac:dyDescent="0.35">
      <c r="A8" s="22"/>
      <c r="B8" s="320">
        <v>44896</v>
      </c>
      <c r="C8" s="24"/>
      <c r="D8" s="328"/>
      <c r="E8" s="322">
        <v>44896</v>
      </c>
      <c r="F8" s="27"/>
      <c r="G8" s="323"/>
      <c r="H8" s="324">
        <v>44896</v>
      </c>
      <c r="I8" s="29"/>
      <c r="J8" s="42"/>
      <c r="K8" s="330"/>
      <c r="L8" s="38"/>
      <c r="M8" s="30">
        <v>0</v>
      </c>
      <c r="N8" s="31">
        <v>0</v>
      </c>
      <c r="O8" s="314"/>
      <c r="P8" s="32">
        <f t="shared" ref="P8:P40" si="1">N8+M8+L8+I8+C8</f>
        <v>0</v>
      </c>
      <c r="Q8" s="12">
        <v>0</v>
      </c>
      <c r="R8" s="12">
        <v>0</v>
      </c>
      <c r="S8" s="369"/>
    </row>
    <row r="9" spans="1:21" ht="18" thickBot="1" x14ac:dyDescent="0.35">
      <c r="A9" s="22"/>
      <c r="B9" s="320">
        <v>44897</v>
      </c>
      <c r="C9" s="24"/>
      <c r="D9" s="328"/>
      <c r="E9" s="322">
        <v>44897</v>
      </c>
      <c r="F9" s="27"/>
      <c r="G9" s="323"/>
      <c r="H9" s="324">
        <v>44897</v>
      </c>
      <c r="I9" s="29"/>
      <c r="J9" s="36"/>
      <c r="K9" s="331"/>
      <c r="L9" s="38"/>
      <c r="M9" s="30">
        <v>0</v>
      </c>
      <c r="N9" s="31">
        <v>0</v>
      </c>
      <c r="O9" s="314"/>
      <c r="P9" s="32">
        <f t="shared" si="1"/>
        <v>0</v>
      </c>
      <c r="Q9" s="12">
        <f t="shared" si="0"/>
        <v>0</v>
      </c>
      <c r="R9" s="12">
        <v>0</v>
      </c>
      <c r="S9" s="369"/>
    </row>
    <row r="10" spans="1:21" ht="18" thickBot="1" x14ac:dyDescent="0.35">
      <c r="A10" s="22"/>
      <c r="B10" s="320">
        <v>44898</v>
      </c>
      <c r="C10" s="24"/>
      <c r="D10" s="326"/>
      <c r="E10" s="322">
        <v>44898</v>
      </c>
      <c r="F10" s="27"/>
      <c r="G10" s="323"/>
      <c r="H10" s="324">
        <v>44898</v>
      </c>
      <c r="I10" s="29"/>
      <c r="J10" s="36"/>
      <c r="K10" s="332"/>
      <c r="L10" s="46"/>
      <c r="M10" s="30">
        <v>0</v>
      </c>
      <c r="N10" s="31">
        <v>0</v>
      </c>
      <c r="O10" s="314"/>
      <c r="P10" s="32">
        <f>N10+M10+L10+I10+C10</f>
        <v>0</v>
      </c>
      <c r="Q10" s="12">
        <f t="shared" si="0"/>
        <v>0</v>
      </c>
      <c r="R10" s="12">
        <v>0</v>
      </c>
      <c r="S10" s="369"/>
      <c r="U10" t="s">
        <v>8</v>
      </c>
    </row>
    <row r="11" spans="1:21" ht="18" thickBot="1" x14ac:dyDescent="0.35">
      <c r="A11" s="22"/>
      <c r="B11" s="320">
        <v>44899</v>
      </c>
      <c r="C11" s="24"/>
      <c r="D11" s="326"/>
      <c r="E11" s="322">
        <v>44899</v>
      </c>
      <c r="F11" s="27"/>
      <c r="G11" s="323"/>
      <c r="H11" s="324">
        <v>44899</v>
      </c>
      <c r="I11" s="29"/>
      <c r="J11" s="42"/>
      <c r="K11" s="333"/>
      <c r="L11" s="38"/>
      <c r="M11" s="30">
        <v>0</v>
      </c>
      <c r="N11" s="31">
        <v>0</v>
      </c>
      <c r="O11" s="314"/>
      <c r="P11" s="32">
        <f>N11+M11+L11+I11+C11</f>
        <v>0</v>
      </c>
      <c r="Q11" s="12">
        <v>0</v>
      </c>
      <c r="R11" s="12">
        <v>0</v>
      </c>
      <c r="S11" s="369"/>
    </row>
    <row r="12" spans="1:21" ht="18" thickBot="1" x14ac:dyDescent="0.35">
      <c r="A12" s="22"/>
      <c r="B12" s="320">
        <v>44900</v>
      </c>
      <c r="C12" s="24"/>
      <c r="D12" s="326"/>
      <c r="E12" s="322">
        <v>44900</v>
      </c>
      <c r="F12" s="27"/>
      <c r="G12" s="323"/>
      <c r="H12" s="324">
        <v>44900</v>
      </c>
      <c r="I12" s="29"/>
      <c r="J12" s="36"/>
      <c r="K12" s="334"/>
      <c r="L12" s="38"/>
      <c r="M12" s="30">
        <v>0</v>
      </c>
      <c r="N12" s="31">
        <v>0</v>
      </c>
      <c r="O12" s="314"/>
      <c r="P12" s="32">
        <f t="shared" si="1"/>
        <v>0</v>
      </c>
      <c r="Q12" s="12">
        <f t="shared" si="0"/>
        <v>0</v>
      </c>
      <c r="R12" s="12">
        <v>0</v>
      </c>
      <c r="S12" s="369"/>
    </row>
    <row r="13" spans="1:21" ht="18" thickBot="1" x14ac:dyDescent="0.35">
      <c r="A13" s="22"/>
      <c r="B13" s="320">
        <v>44901</v>
      </c>
      <c r="C13" s="24"/>
      <c r="D13" s="328"/>
      <c r="E13" s="322">
        <v>44901</v>
      </c>
      <c r="F13" s="27"/>
      <c r="G13" s="323"/>
      <c r="H13" s="324">
        <v>44901</v>
      </c>
      <c r="I13" s="29"/>
      <c r="J13" s="36"/>
      <c r="K13" s="327"/>
      <c r="L13" s="38"/>
      <c r="M13" s="30">
        <v>0</v>
      </c>
      <c r="N13" s="31">
        <v>0</v>
      </c>
      <c r="O13" s="314"/>
      <c r="P13" s="32">
        <f t="shared" si="1"/>
        <v>0</v>
      </c>
      <c r="Q13" s="12">
        <f t="shared" si="0"/>
        <v>0</v>
      </c>
      <c r="R13" s="12">
        <v>0</v>
      </c>
      <c r="S13" s="369"/>
    </row>
    <row r="14" spans="1:21" ht="18" thickBot="1" x14ac:dyDescent="0.35">
      <c r="A14" s="22"/>
      <c r="B14" s="320">
        <v>44902</v>
      </c>
      <c r="C14" s="24"/>
      <c r="D14" s="335"/>
      <c r="E14" s="322">
        <v>44902</v>
      </c>
      <c r="F14" s="27"/>
      <c r="G14" s="323"/>
      <c r="H14" s="324">
        <v>44902</v>
      </c>
      <c r="I14" s="29"/>
      <c r="J14" s="36"/>
      <c r="K14" s="330"/>
      <c r="L14" s="38"/>
      <c r="M14" s="30">
        <v>0</v>
      </c>
      <c r="N14" s="31">
        <v>0</v>
      </c>
      <c r="O14" s="314"/>
      <c r="P14" s="32">
        <f t="shared" si="1"/>
        <v>0</v>
      </c>
      <c r="Q14" s="12">
        <f t="shared" si="0"/>
        <v>0</v>
      </c>
      <c r="R14" s="12">
        <v>0</v>
      </c>
      <c r="S14" s="369"/>
    </row>
    <row r="15" spans="1:21" ht="18" thickBot="1" x14ac:dyDescent="0.35">
      <c r="A15" s="22"/>
      <c r="B15" s="320">
        <v>44903</v>
      </c>
      <c r="C15" s="24"/>
      <c r="D15" s="335"/>
      <c r="E15" s="322">
        <v>44903</v>
      </c>
      <c r="F15" s="27"/>
      <c r="G15" s="323"/>
      <c r="H15" s="324">
        <v>44903</v>
      </c>
      <c r="I15" s="29"/>
      <c r="J15" s="36"/>
      <c r="K15" s="330"/>
      <c r="L15" s="38"/>
      <c r="M15" s="30">
        <v>0</v>
      </c>
      <c r="N15" s="31">
        <v>0</v>
      </c>
      <c r="O15" s="314"/>
      <c r="P15" s="32">
        <f t="shared" si="1"/>
        <v>0</v>
      </c>
      <c r="Q15" s="12">
        <v>0</v>
      </c>
      <c r="R15" s="12">
        <v>0</v>
      </c>
      <c r="S15" s="369"/>
    </row>
    <row r="16" spans="1:21" ht="18" thickBot="1" x14ac:dyDescent="0.35">
      <c r="A16" s="22"/>
      <c r="B16" s="320">
        <v>44904</v>
      </c>
      <c r="C16" s="24"/>
      <c r="D16" s="326"/>
      <c r="E16" s="322">
        <v>44904</v>
      </c>
      <c r="F16" s="27"/>
      <c r="G16" s="323"/>
      <c r="H16" s="324">
        <v>44904</v>
      </c>
      <c r="I16" s="29"/>
      <c r="J16" s="36"/>
      <c r="K16" s="330"/>
      <c r="L16" s="8"/>
      <c r="M16" s="30">
        <v>0</v>
      </c>
      <c r="N16" s="31">
        <v>0</v>
      </c>
      <c r="O16" s="314"/>
      <c r="P16" s="32">
        <f t="shared" si="1"/>
        <v>0</v>
      </c>
      <c r="Q16" s="12">
        <f t="shared" si="0"/>
        <v>0</v>
      </c>
      <c r="R16" s="12">
        <v>0</v>
      </c>
      <c r="S16" s="369"/>
    </row>
    <row r="17" spans="1:20" ht="18" thickBot="1" x14ac:dyDescent="0.35">
      <c r="A17" s="22"/>
      <c r="B17" s="320">
        <v>44905</v>
      </c>
      <c r="C17" s="24"/>
      <c r="D17" s="328"/>
      <c r="E17" s="322">
        <v>44905</v>
      </c>
      <c r="F17" s="27"/>
      <c r="G17" s="323"/>
      <c r="H17" s="324">
        <v>44905</v>
      </c>
      <c r="I17" s="29"/>
      <c r="J17" s="36"/>
      <c r="K17" s="336"/>
      <c r="L17" s="46"/>
      <c r="M17" s="30">
        <v>0</v>
      </c>
      <c r="N17" s="31">
        <v>0</v>
      </c>
      <c r="O17" s="314"/>
      <c r="P17" s="32">
        <f t="shared" si="1"/>
        <v>0</v>
      </c>
      <c r="Q17" s="12">
        <f t="shared" si="0"/>
        <v>0</v>
      </c>
      <c r="R17" s="12">
        <v>0</v>
      </c>
      <c r="S17" s="369"/>
    </row>
    <row r="18" spans="1:20" ht="18" thickBot="1" x14ac:dyDescent="0.35">
      <c r="A18" s="22"/>
      <c r="B18" s="320">
        <v>44906</v>
      </c>
      <c r="C18" s="24"/>
      <c r="D18" s="326"/>
      <c r="E18" s="322">
        <v>44906</v>
      </c>
      <c r="F18" s="27"/>
      <c r="G18" s="323"/>
      <c r="H18" s="324">
        <v>44906</v>
      </c>
      <c r="I18" s="29"/>
      <c r="J18" s="36"/>
      <c r="K18" s="337"/>
      <c r="L18" s="38"/>
      <c r="M18" s="30">
        <v>0</v>
      </c>
      <c r="N18" s="31">
        <v>0</v>
      </c>
      <c r="O18" s="314"/>
      <c r="P18" s="32">
        <f t="shared" si="1"/>
        <v>0</v>
      </c>
      <c r="Q18" s="12">
        <f t="shared" si="0"/>
        <v>0</v>
      </c>
      <c r="R18" s="12">
        <v>0</v>
      </c>
      <c r="S18" s="369"/>
    </row>
    <row r="19" spans="1:20" ht="18" thickBot="1" x14ac:dyDescent="0.35">
      <c r="A19" s="22"/>
      <c r="B19" s="320">
        <v>44907</v>
      </c>
      <c r="C19" s="24"/>
      <c r="D19" s="326"/>
      <c r="E19" s="322">
        <v>44907</v>
      </c>
      <c r="F19" s="27"/>
      <c r="G19" s="323"/>
      <c r="H19" s="324">
        <v>44907</v>
      </c>
      <c r="I19" s="29"/>
      <c r="J19" s="36"/>
      <c r="K19" s="338"/>
      <c r="L19" s="53"/>
      <c r="M19" s="30">
        <v>0</v>
      </c>
      <c r="N19" s="31">
        <v>0</v>
      </c>
      <c r="O19" s="314"/>
      <c r="P19" s="32">
        <f t="shared" si="1"/>
        <v>0</v>
      </c>
      <c r="Q19" s="12">
        <f t="shared" si="0"/>
        <v>0</v>
      </c>
      <c r="R19" s="12">
        <v>0</v>
      </c>
      <c r="S19" s="369"/>
    </row>
    <row r="20" spans="1:20" ht="18" thickBot="1" x14ac:dyDescent="0.35">
      <c r="A20" s="22"/>
      <c r="B20" s="320">
        <v>44908</v>
      </c>
      <c r="C20" s="24"/>
      <c r="D20" s="326"/>
      <c r="E20" s="322">
        <v>44908</v>
      </c>
      <c r="F20" s="27"/>
      <c r="G20" s="323"/>
      <c r="H20" s="324">
        <v>44908</v>
      </c>
      <c r="I20" s="29"/>
      <c r="J20" s="36"/>
      <c r="K20" s="339"/>
      <c r="L20" s="46"/>
      <c r="M20" s="30">
        <v>0</v>
      </c>
      <c r="N20" s="31">
        <v>0</v>
      </c>
      <c r="O20" s="314"/>
      <c r="P20" s="32">
        <f t="shared" si="1"/>
        <v>0</v>
      </c>
      <c r="Q20" s="12">
        <f t="shared" si="0"/>
        <v>0</v>
      </c>
      <c r="R20" s="12">
        <v>0</v>
      </c>
      <c r="S20" s="369"/>
    </row>
    <row r="21" spans="1:20" ht="18" thickBot="1" x14ac:dyDescent="0.35">
      <c r="A21" s="22"/>
      <c r="B21" s="320">
        <v>44909</v>
      </c>
      <c r="C21" s="24"/>
      <c r="D21" s="326"/>
      <c r="E21" s="322">
        <v>44909</v>
      </c>
      <c r="F21" s="27"/>
      <c r="G21" s="323"/>
      <c r="H21" s="324">
        <v>44909</v>
      </c>
      <c r="I21" s="29"/>
      <c r="J21" s="36"/>
      <c r="K21" s="340"/>
      <c r="L21" s="46"/>
      <c r="M21" s="30">
        <v>0</v>
      </c>
      <c r="N21" s="31">
        <v>0</v>
      </c>
      <c r="O21" s="314"/>
      <c r="P21" s="32">
        <f t="shared" si="1"/>
        <v>0</v>
      </c>
      <c r="Q21" s="12">
        <f t="shared" si="0"/>
        <v>0</v>
      </c>
      <c r="R21" s="12">
        <v>0</v>
      </c>
      <c r="S21" s="369"/>
    </row>
    <row r="22" spans="1:20" ht="18" thickBot="1" x14ac:dyDescent="0.35">
      <c r="A22" s="22"/>
      <c r="B22" s="320">
        <v>44910</v>
      </c>
      <c r="C22" s="24"/>
      <c r="D22" s="326"/>
      <c r="E22" s="322">
        <v>44910</v>
      </c>
      <c r="F22" s="27"/>
      <c r="G22" s="323"/>
      <c r="H22" s="324">
        <v>44910</v>
      </c>
      <c r="I22" s="29"/>
      <c r="J22" s="36"/>
      <c r="K22" s="330"/>
      <c r="L22" s="56"/>
      <c r="M22" s="30">
        <v>0</v>
      </c>
      <c r="N22" s="31">
        <v>0</v>
      </c>
      <c r="O22" s="314"/>
      <c r="P22" s="32">
        <f t="shared" si="1"/>
        <v>0</v>
      </c>
      <c r="Q22" s="12">
        <f t="shared" si="0"/>
        <v>0</v>
      </c>
      <c r="R22" s="12">
        <v>0</v>
      </c>
      <c r="S22" s="369"/>
    </row>
    <row r="23" spans="1:20" ht="18" thickBot="1" x14ac:dyDescent="0.35">
      <c r="A23" s="22"/>
      <c r="B23" s="320">
        <v>44911</v>
      </c>
      <c r="C23" s="24"/>
      <c r="D23" s="326"/>
      <c r="E23" s="322">
        <v>44911</v>
      </c>
      <c r="F23" s="27"/>
      <c r="G23" s="323"/>
      <c r="H23" s="324">
        <v>44911</v>
      </c>
      <c r="I23" s="29"/>
      <c r="J23" s="57"/>
      <c r="K23" s="341"/>
      <c r="L23" s="46"/>
      <c r="M23" s="30">
        <v>0</v>
      </c>
      <c r="N23" s="31">
        <v>0</v>
      </c>
      <c r="O23" s="314"/>
      <c r="P23" s="32">
        <f t="shared" si="1"/>
        <v>0</v>
      </c>
      <c r="Q23" s="12">
        <f t="shared" si="0"/>
        <v>0</v>
      </c>
      <c r="R23" s="12">
        <v>0</v>
      </c>
      <c r="S23" s="369"/>
    </row>
    <row r="24" spans="1:20" ht="18" thickBot="1" x14ac:dyDescent="0.35">
      <c r="A24" s="22"/>
      <c r="B24" s="320">
        <v>44912</v>
      </c>
      <c r="C24" s="24"/>
      <c r="D24" s="328"/>
      <c r="E24" s="322">
        <v>44912</v>
      </c>
      <c r="F24" s="27"/>
      <c r="G24" s="323"/>
      <c r="H24" s="324">
        <v>44912</v>
      </c>
      <c r="I24" s="29"/>
      <c r="J24" s="342"/>
      <c r="K24" s="343"/>
      <c r="L24" s="61"/>
      <c r="M24" s="30">
        <v>0</v>
      </c>
      <c r="N24" s="31">
        <v>0</v>
      </c>
      <c r="O24" s="314"/>
      <c r="P24" s="32">
        <f t="shared" si="1"/>
        <v>0</v>
      </c>
      <c r="Q24" s="12">
        <f t="shared" si="0"/>
        <v>0</v>
      </c>
      <c r="R24" s="12">
        <v>0</v>
      </c>
      <c r="S24" s="369"/>
    </row>
    <row r="25" spans="1:20" ht="18" thickBot="1" x14ac:dyDescent="0.35">
      <c r="A25" s="22"/>
      <c r="B25" s="320">
        <v>44913</v>
      </c>
      <c r="C25" s="24"/>
      <c r="D25" s="326"/>
      <c r="E25" s="322">
        <v>44913</v>
      </c>
      <c r="F25" s="27"/>
      <c r="G25" s="323"/>
      <c r="H25" s="324">
        <v>44913</v>
      </c>
      <c r="I25" s="29"/>
      <c r="J25" s="62"/>
      <c r="K25" s="344"/>
      <c r="L25" s="64"/>
      <c r="M25" s="30">
        <v>0</v>
      </c>
      <c r="N25" s="31">
        <v>0</v>
      </c>
      <c r="O25" s="314"/>
      <c r="P25" s="32">
        <f t="shared" si="1"/>
        <v>0</v>
      </c>
      <c r="Q25" s="12">
        <f t="shared" si="0"/>
        <v>0</v>
      </c>
      <c r="R25" s="12">
        <v>0</v>
      </c>
      <c r="S25" s="369"/>
    </row>
    <row r="26" spans="1:20" ht="18" thickBot="1" x14ac:dyDescent="0.35">
      <c r="A26" s="22"/>
      <c r="B26" s="320">
        <v>44914</v>
      </c>
      <c r="C26" s="24"/>
      <c r="D26" s="326"/>
      <c r="E26" s="322">
        <v>44914</v>
      </c>
      <c r="F26" s="27"/>
      <c r="G26" s="323"/>
      <c r="H26" s="324">
        <v>44914</v>
      </c>
      <c r="I26" s="29"/>
      <c r="J26" s="36"/>
      <c r="K26" s="343"/>
      <c r="L26" s="46"/>
      <c r="M26" s="30">
        <v>0</v>
      </c>
      <c r="N26" s="31">
        <v>0</v>
      </c>
      <c r="O26" s="314"/>
      <c r="P26" s="32">
        <f t="shared" si="1"/>
        <v>0</v>
      </c>
      <c r="Q26" s="12">
        <f t="shared" si="0"/>
        <v>0</v>
      </c>
      <c r="R26" s="12">
        <v>0</v>
      </c>
      <c r="S26" s="369"/>
    </row>
    <row r="27" spans="1:20" ht="18" thickBot="1" x14ac:dyDescent="0.35">
      <c r="A27" s="22"/>
      <c r="B27" s="320">
        <v>44915</v>
      </c>
      <c r="C27" s="24"/>
      <c r="D27" s="328"/>
      <c r="E27" s="322">
        <v>44915</v>
      </c>
      <c r="F27" s="27"/>
      <c r="G27" s="323"/>
      <c r="H27" s="324">
        <v>44915</v>
      </c>
      <c r="I27" s="29"/>
      <c r="J27" s="65"/>
      <c r="K27" s="345"/>
      <c r="L27" s="64"/>
      <c r="M27" s="30">
        <v>0</v>
      </c>
      <c r="N27" s="31">
        <v>0</v>
      </c>
      <c r="O27" s="314"/>
      <c r="P27" s="32">
        <f t="shared" si="1"/>
        <v>0</v>
      </c>
      <c r="Q27" s="12">
        <f t="shared" si="0"/>
        <v>0</v>
      </c>
      <c r="R27" s="12">
        <v>0</v>
      </c>
      <c r="S27" s="369"/>
    </row>
    <row r="28" spans="1:20" ht="18" thickBot="1" x14ac:dyDescent="0.35">
      <c r="A28" s="22"/>
      <c r="B28" s="320">
        <v>44916</v>
      </c>
      <c r="C28" s="24"/>
      <c r="D28" s="328"/>
      <c r="E28" s="322">
        <v>44916</v>
      </c>
      <c r="F28" s="27"/>
      <c r="G28" s="323"/>
      <c r="H28" s="324">
        <v>44916</v>
      </c>
      <c r="I28" s="29"/>
      <c r="J28" s="67"/>
      <c r="K28" s="346"/>
      <c r="L28" s="64"/>
      <c r="M28" s="30">
        <v>0</v>
      </c>
      <c r="N28" s="31">
        <v>0</v>
      </c>
      <c r="O28" s="314"/>
      <c r="P28" s="32">
        <f t="shared" si="1"/>
        <v>0</v>
      </c>
      <c r="Q28" s="12">
        <f t="shared" si="0"/>
        <v>0</v>
      </c>
      <c r="R28" s="12">
        <v>0</v>
      </c>
      <c r="S28" s="369"/>
    </row>
    <row r="29" spans="1:20" ht="18" thickBot="1" x14ac:dyDescent="0.35">
      <c r="A29" s="22"/>
      <c r="B29" s="320">
        <v>44917</v>
      </c>
      <c r="C29" s="24"/>
      <c r="D29" s="347"/>
      <c r="E29" s="322">
        <v>44917</v>
      </c>
      <c r="F29" s="27"/>
      <c r="G29" s="323"/>
      <c r="H29" s="324">
        <v>44917</v>
      </c>
      <c r="I29" s="29"/>
      <c r="J29" s="65"/>
      <c r="K29" s="348"/>
      <c r="L29" s="64"/>
      <c r="M29" s="30">
        <v>0</v>
      </c>
      <c r="N29" s="31">
        <v>0</v>
      </c>
      <c r="O29" s="314"/>
      <c r="P29" s="32">
        <f t="shared" si="1"/>
        <v>0</v>
      </c>
      <c r="Q29" s="12">
        <f t="shared" si="0"/>
        <v>0</v>
      </c>
      <c r="R29" s="12">
        <v>0</v>
      </c>
      <c r="S29" s="369"/>
      <c r="T29" s="8"/>
    </row>
    <row r="30" spans="1:20" ht="18" thickBot="1" x14ac:dyDescent="0.35">
      <c r="A30" s="22"/>
      <c r="B30" s="320">
        <v>44918</v>
      </c>
      <c r="C30" s="24"/>
      <c r="D30" s="347"/>
      <c r="E30" s="322">
        <v>44918</v>
      </c>
      <c r="F30" s="27"/>
      <c r="G30" s="323"/>
      <c r="H30" s="324">
        <v>44918</v>
      </c>
      <c r="I30" s="29"/>
      <c r="J30" s="71"/>
      <c r="K30" s="349"/>
      <c r="L30" s="73"/>
      <c r="M30" s="30">
        <v>0</v>
      </c>
      <c r="N30" s="31">
        <v>0</v>
      </c>
      <c r="O30" s="314"/>
      <c r="P30" s="32">
        <f t="shared" si="1"/>
        <v>0</v>
      </c>
      <c r="Q30" s="12">
        <f t="shared" si="0"/>
        <v>0</v>
      </c>
      <c r="R30" s="12">
        <v>0</v>
      </c>
      <c r="S30" s="369"/>
    </row>
    <row r="31" spans="1:20" ht="18" thickBot="1" x14ac:dyDescent="0.35">
      <c r="A31" s="22"/>
      <c r="B31" s="320">
        <v>44919</v>
      </c>
      <c r="C31" s="24"/>
      <c r="D31" s="350"/>
      <c r="E31" s="322">
        <v>44919</v>
      </c>
      <c r="F31" s="27"/>
      <c r="G31" s="323"/>
      <c r="H31" s="324">
        <v>44919</v>
      </c>
      <c r="I31" s="29"/>
      <c r="J31" s="71"/>
      <c r="K31" s="351"/>
      <c r="L31" s="75"/>
      <c r="M31" s="30">
        <v>0</v>
      </c>
      <c r="N31" s="31">
        <v>0</v>
      </c>
      <c r="O31" s="314"/>
      <c r="P31" s="32">
        <f t="shared" si="1"/>
        <v>0</v>
      </c>
      <c r="Q31" s="12">
        <f t="shared" si="0"/>
        <v>0</v>
      </c>
      <c r="R31" s="12">
        <v>0</v>
      </c>
      <c r="S31" s="369"/>
    </row>
    <row r="32" spans="1:20" ht="18" thickBot="1" x14ac:dyDescent="0.35">
      <c r="A32" s="22"/>
      <c r="B32" s="320">
        <v>44920</v>
      </c>
      <c r="C32" s="438"/>
      <c r="D32" s="445"/>
      <c r="E32" s="440">
        <v>44920</v>
      </c>
      <c r="F32" s="446"/>
      <c r="G32" s="442"/>
      <c r="H32" s="443">
        <v>44920</v>
      </c>
      <c r="I32" s="444"/>
      <c r="J32" s="71"/>
      <c r="K32" s="349"/>
      <c r="L32" s="73"/>
      <c r="M32" s="30">
        <v>0</v>
      </c>
      <c r="N32" s="31">
        <v>0</v>
      </c>
      <c r="O32" s="314"/>
      <c r="P32" s="32">
        <f t="shared" si="1"/>
        <v>0</v>
      </c>
      <c r="Q32" s="12">
        <f t="shared" si="0"/>
        <v>0</v>
      </c>
      <c r="R32" s="12">
        <v>0</v>
      </c>
      <c r="S32" s="369"/>
    </row>
    <row r="33" spans="1:19" ht="18" thickBot="1" x14ac:dyDescent="0.35">
      <c r="A33" s="22"/>
      <c r="B33" s="320">
        <v>44921</v>
      </c>
      <c r="C33" s="24"/>
      <c r="D33" s="353"/>
      <c r="E33" s="322">
        <v>44921</v>
      </c>
      <c r="F33" s="27"/>
      <c r="G33" s="323"/>
      <c r="H33" s="324">
        <v>44921</v>
      </c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12">
        <v>0</v>
      </c>
      <c r="S33" s="369"/>
    </row>
    <row r="34" spans="1:19" ht="18" thickBot="1" x14ac:dyDescent="0.35">
      <c r="A34" s="22"/>
      <c r="B34" s="320">
        <v>44922</v>
      </c>
      <c r="C34" s="24"/>
      <c r="D34" s="352"/>
      <c r="E34" s="322">
        <v>44922</v>
      </c>
      <c r="F34" s="27"/>
      <c r="G34" s="323"/>
      <c r="H34" s="324">
        <v>44922</v>
      </c>
      <c r="I34" s="29"/>
      <c r="J34" s="71"/>
      <c r="K34" s="354"/>
      <c r="L34" s="80"/>
      <c r="M34" s="30">
        <v>0</v>
      </c>
      <c r="N34" s="31">
        <v>0</v>
      </c>
      <c r="O34" s="314"/>
      <c r="P34" s="32">
        <f t="shared" si="1"/>
        <v>0</v>
      </c>
      <c r="Q34" s="12">
        <f t="shared" si="0"/>
        <v>0</v>
      </c>
      <c r="R34" s="12">
        <v>0</v>
      </c>
      <c r="S34" s="369"/>
    </row>
    <row r="35" spans="1:19" ht="18" thickBot="1" x14ac:dyDescent="0.35">
      <c r="A35" s="22"/>
      <c r="B35" s="320">
        <v>44923</v>
      </c>
      <c r="C35" s="24"/>
      <c r="D35" s="350"/>
      <c r="E35" s="322">
        <v>44923</v>
      </c>
      <c r="F35" s="27"/>
      <c r="G35" s="323"/>
      <c r="H35" s="324">
        <v>44923</v>
      </c>
      <c r="I35" s="29"/>
      <c r="J35" s="71"/>
      <c r="K35" s="351"/>
      <c r="L35" s="78"/>
      <c r="M35" s="30">
        <v>0</v>
      </c>
      <c r="N35" s="31">
        <v>0</v>
      </c>
      <c r="O35" s="314"/>
      <c r="P35" s="32">
        <f t="shared" si="1"/>
        <v>0</v>
      </c>
      <c r="Q35" s="12">
        <f t="shared" si="0"/>
        <v>0</v>
      </c>
      <c r="R35" s="12">
        <v>0</v>
      </c>
      <c r="S35" s="369"/>
    </row>
    <row r="36" spans="1:19" ht="19.5" thickBot="1" x14ac:dyDescent="0.35">
      <c r="A36" s="22"/>
      <c r="B36" s="320">
        <v>44924</v>
      </c>
      <c r="C36" s="24"/>
      <c r="D36" s="355"/>
      <c r="E36" s="322">
        <v>44924</v>
      </c>
      <c r="F36" s="27"/>
      <c r="G36" s="323"/>
      <c r="H36" s="324">
        <v>44924</v>
      </c>
      <c r="I36" s="29"/>
      <c r="J36" s="289"/>
      <c r="K36" s="356"/>
      <c r="L36" s="78"/>
      <c r="M36" s="30">
        <v>0</v>
      </c>
      <c r="N36" s="31">
        <v>0</v>
      </c>
      <c r="O36" s="314"/>
      <c r="P36" s="32">
        <f t="shared" si="1"/>
        <v>0</v>
      </c>
      <c r="Q36" s="12">
        <f t="shared" si="0"/>
        <v>0</v>
      </c>
      <c r="R36" s="12">
        <v>0</v>
      </c>
      <c r="S36" s="369"/>
    </row>
    <row r="37" spans="1:19" ht="18" thickBot="1" x14ac:dyDescent="0.35">
      <c r="A37" s="22"/>
      <c r="B37" s="320">
        <v>44925</v>
      </c>
      <c r="C37" s="24"/>
      <c r="D37" s="352"/>
      <c r="E37" s="322">
        <v>44925</v>
      </c>
      <c r="F37" s="27"/>
      <c r="G37" s="323"/>
      <c r="H37" s="324">
        <v>44925</v>
      </c>
      <c r="I37" s="29"/>
      <c r="J37" s="71"/>
      <c r="K37" s="357"/>
      <c r="L37" s="78"/>
      <c r="M37" s="30">
        <v>0</v>
      </c>
      <c r="N37" s="31">
        <v>0</v>
      </c>
      <c r="O37" s="314"/>
      <c r="P37" s="32">
        <f t="shared" si="1"/>
        <v>0</v>
      </c>
      <c r="Q37" s="12">
        <f t="shared" si="0"/>
        <v>0</v>
      </c>
      <c r="R37" s="12">
        <v>0</v>
      </c>
      <c r="S37" s="369"/>
    </row>
    <row r="38" spans="1:19" ht="18" thickBot="1" x14ac:dyDescent="0.35">
      <c r="A38" s="22"/>
      <c r="B38" s="320">
        <v>44926</v>
      </c>
      <c r="C38" s="24"/>
      <c r="D38" s="353"/>
      <c r="E38" s="322">
        <v>44926</v>
      </c>
      <c r="F38" s="27"/>
      <c r="G38" s="323"/>
      <c r="H38" s="324">
        <v>44926</v>
      </c>
      <c r="I38" s="29"/>
      <c r="J38" s="71"/>
      <c r="K38" s="329"/>
      <c r="L38" s="78"/>
      <c r="M38" s="30">
        <v>0</v>
      </c>
      <c r="N38" s="31">
        <v>0</v>
      </c>
      <c r="O38" s="314"/>
      <c r="P38" s="32">
        <f t="shared" si="1"/>
        <v>0</v>
      </c>
      <c r="Q38" s="12">
        <f t="shared" si="0"/>
        <v>0</v>
      </c>
      <c r="R38" s="12">
        <v>0</v>
      </c>
      <c r="S38" s="369"/>
    </row>
    <row r="39" spans="1:19" ht="18" thickBot="1" x14ac:dyDescent="0.35">
      <c r="A39" s="22"/>
      <c r="B39" s="320">
        <v>44927</v>
      </c>
      <c r="C39" s="438"/>
      <c r="D39" s="439"/>
      <c r="E39" s="440">
        <v>44927</v>
      </c>
      <c r="F39" s="441"/>
      <c r="G39" s="442"/>
      <c r="H39" s="443">
        <v>44927</v>
      </c>
      <c r="I39" s="444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12">
        <v>0</v>
      </c>
      <c r="S39" s="369"/>
    </row>
    <row r="40" spans="1:19" ht="18.75" thickTop="1" thickBot="1" x14ac:dyDescent="0.35">
      <c r="A40" s="22"/>
      <c r="B40" s="320">
        <v>44928</v>
      </c>
      <c r="C40" s="24"/>
      <c r="D40" s="355"/>
      <c r="E40" s="322">
        <v>44928</v>
      </c>
      <c r="F40" s="359"/>
      <c r="G40" s="323"/>
      <c r="H40" s="324">
        <v>44928</v>
      </c>
      <c r="I40" s="86"/>
      <c r="J40" s="71"/>
      <c r="K40" s="360"/>
      <c r="L40" s="73"/>
      <c r="M40" s="405">
        <f>SUM(M5:M39)</f>
        <v>0</v>
      </c>
      <c r="N40" s="407">
        <f>SUM(N5:N39)</f>
        <v>0</v>
      </c>
      <c r="P40" s="32">
        <f t="shared" si="1"/>
        <v>0</v>
      </c>
      <c r="Q40" s="284">
        <f>SUM(Q5:Q39)</f>
        <v>0</v>
      </c>
      <c r="R40" s="316">
        <f>SUM(R5:R39)</f>
        <v>0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06"/>
      <c r="N41" s="408"/>
      <c r="P41" s="32"/>
      <c r="Q41" s="8"/>
    </row>
    <row r="42" spans="1:19" ht="17.25" hidden="1" customHeight="1" x14ac:dyDescent="0.3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0</v>
      </c>
      <c r="D51" s="103"/>
      <c r="E51" s="104" t="s">
        <v>9</v>
      </c>
      <c r="F51" s="105">
        <f>SUM(F5:F50)</f>
        <v>0</v>
      </c>
      <c r="G51" s="103"/>
      <c r="H51" s="106" t="s">
        <v>10</v>
      </c>
      <c r="I51" s="107">
        <f>SUM(I5:I50)</f>
        <v>0</v>
      </c>
      <c r="J51" s="108"/>
      <c r="K51" s="109" t="s">
        <v>11</v>
      </c>
      <c r="L51" s="110">
        <f>SUM(L5:L50)</f>
        <v>0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9" t="s">
        <v>12</v>
      </c>
      <c r="I53" s="410"/>
      <c r="J53" s="114"/>
      <c r="K53" s="411">
        <f>I51+L51</f>
        <v>0</v>
      </c>
      <c r="L53" s="412"/>
      <c r="M53" s="413">
        <f>N40+M40</f>
        <v>0</v>
      </c>
      <c r="N53" s="414"/>
      <c r="P53" s="32"/>
      <c r="Q53" s="8"/>
    </row>
    <row r="54" spans="1:17" ht="15.75" x14ac:dyDescent="0.25">
      <c r="D54" s="415" t="s">
        <v>13</v>
      </c>
      <c r="E54" s="415"/>
      <c r="F54" s="115">
        <f>F51-K53-C51</f>
        <v>0</v>
      </c>
      <c r="I54" s="116"/>
      <c r="J54" s="117"/>
      <c r="P54" s="32"/>
      <c r="Q54" s="8"/>
    </row>
    <row r="55" spans="1:17" ht="18.75" x14ac:dyDescent="0.3">
      <c r="D55" s="416" t="s">
        <v>14</v>
      </c>
      <c r="E55" s="416"/>
      <c r="F55" s="111">
        <v>0</v>
      </c>
      <c r="I55" s="417" t="s">
        <v>15</v>
      </c>
      <c r="J55" s="418"/>
      <c r="K55" s="419">
        <f>F57+F58+F59</f>
        <v>0</v>
      </c>
      <c r="L55" s="420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0</v>
      </c>
      <c r="H57" s="22"/>
      <c r="I57" s="124" t="s">
        <v>17</v>
      </c>
      <c r="J57" s="125"/>
      <c r="K57" s="421">
        <f>-C4</f>
        <v>-315698.55</v>
      </c>
      <c r="L57" s="422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/>
      <c r="D59" s="398" t="s">
        <v>20</v>
      </c>
      <c r="E59" s="399"/>
      <c r="F59" s="129">
        <v>0</v>
      </c>
      <c r="I59" s="435" t="s">
        <v>168</v>
      </c>
      <c r="J59" s="436"/>
      <c r="K59" s="437">
        <f>K55+K57</f>
        <v>-315698.55</v>
      </c>
      <c r="L59" s="43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M40:M41"/>
    <mergeCell ref="N40:N41"/>
    <mergeCell ref="H53:I53"/>
    <mergeCell ref="K53:L53"/>
    <mergeCell ref="M53:N53"/>
    <mergeCell ref="D54:E54"/>
    <mergeCell ref="B1:B2"/>
    <mergeCell ref="C1:M1"/>
    <mergeCell ref="B3:C3"/>
    <mergeCell ref="H3:I3"/>
    <mergeCell ref="R3:R4"/>
    <mergeCell ref="E4:F4"/>
    <mergeCell ref="H4:I4"/>
    <mergeCell ref="P4:Q4"/>
  </mergeCells>
  <pageMargins left="0.23622047244094491" right="0.23622047244094491" top="0.35" bottom="0.28000000000000003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115"/>
  <sheetViews>
    <sheetView topLeftCell="A31" workbookViewId="0">
      <selection activeCell="D8" sqref="D8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7.5703125" style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2.5" customHeight="1" x14ac:dyDescent="0.25">
      <c r="A3" s="377"/>
      <c r="B3" s="378"/>
      <c r="C3" s="256"/>
      <c r="D3" s="391"/>
      <c r="E3" s="256"/>
      <c r="F3" s="152">
        <f>C3-E3</f>
        <v>0</v>
      </c>
      <c r="J3" s="127"/>
    </row>
    <row r="4" spans="1:10" ht="22.5" customHeight="1" x14ac:dyDescent="0.25">
      <c r="A4" s="379"/>
      <c r="B4" s="380"/>
      <c r="C4" s="127"/>
      <c r="D4" s="391"/>
      <c r="E4" s="127"/>
      <c r="F4" s="188">
        <f>C4-E4+F3</f>
        <v>0</v>
      </c>
      <c r="J4" s="256"/>
    </row>
    <row r="5" spans="1:10" ht="21" customHeight="1" x14ac:dyDescent="0.25">
      <c r="A5" s="379"/>
      <c r="B5" s="380"/>
      <c r="C5" s="127"/>
      <c r="D5" s="391"/>
      <c r="E5" s="127"/>
      <c r="F5" s="188">
        <f t="shared" ref="F5:F68" si="0">C5-E5+F4</f>
        <v>0</v>
      </c>
      <c r="J5" s="127"/>
    </row>
    <row r="6" spans="1:10" ht="21" customHeight="1" x14ac:dyDescent="0.3">
      <c r="A6" s="379"/>
      <c r="B6" s="380"/>
      <c r="C6" s="127"/>
      <c r="D6" s="391"/>
      <c r="E6" s="127"/>
      <c r="F6" s="188">
        <f t="shared" si="0"/>
        <v>0</v>
      </c>
      <c r="G6" s="156"/>
      <c r="J6" s="127"/>
    </row>
    <row r="7" spans="1:10" ht="21" customHeight="1" x14ac:dyDescent="0.25">
      <c r="A7" s="379"/>
      <c r="B7" s="380"/>
      <c r="C7" s="127"/>
      <c r="D7" s="391"/>
      <c r="E7" s="127"/>
      <c r="F7" s="188">
        <f t="shared" si="0"/>
        <v>0</v>
      </c>
      <c r="J7" s="127"/>
    </row>
    <row r="8" spans="1:10" ht="21" customHeight="1" x14ac:dyDescent="0.25">
      <c r="A8" s="379"/>
      <c r="B8" s="380"/>
      <c r="C8" s="127"/>
      <c r="D8" s="391"/>
      <c r="E8" s="127"/>
      <c r="F8" s="188">
        <f t="shared" si="0"/>
        <v>0</v>
      </c>
      <c r="J8" s="127"/>
    </row>
    <row r="9" spans="1:10" ht="21" customHeight="1" x14ac:dyDescent="0.25">
      <c r="A9" s="379"/>
      <c r="B9" s="380"/>
      <c r="C9" s="127"/>
      <c r="D9" s="257"/>
      <c r="E9" s="127"/>
      <c r="F9" s="188">
        <f t="shared" si="0"/>
        <v>0</v>
      </c>
      <c r="J9" s="127"/>
    </row>
    <row r="10" spans="1:10" ht="21" customHeight="1" x14ac:dyDescent="0.25">
      <c r="A10" s="379"/>
      <c r="B10" s="380"/>
      <c r="C10" s="127"/>
      <c r="D10" s="257"/>
      <c r="E10" s="127"/>
      <c r="F10" s="188">
        <f t="shared" si="0"/>
        <v>0</v>
      </c>
      <c r="J10" s="33">
        <v>0</v>
      </c>
    </row>
    <row r="11" spans="1:10" ht="21" customHeight="1" x14ac:dyDescent="0.25">
      <c r="A11" s="379"/>
      <c r="B11" s="380"/>
      <c r="C11" s="127"/>
      <c r="D11" s="257"/>
      <c r="E11" s="127"/>
      <c r="F11" s="188">
        <f t="shared" si="0"/>
        <v>0</v>
      </c>
      <c r="J11" s="267">
        <f>SUM(J3:J10)</f>
        <v>0</v>
      </c>
    </row>
    <row r="12" spans="1:10" ht="21" customHeight="1" x14ac:dyDescent="0.3">
      <c r="A12" s="379"/>
      <c r="B12" s="380"/>
      <c r="C12" s="127"/>
      <c r="D12" s="257"/>
      <c r="E12" s="127"/>
      <c r="F12" s="188">
        <f t="shared" si="0"/>
        <v>0</v>
      </c>
      <c r="G12" s="156"/>
    </row>
    <row r="13" spans="1:10" ht="21" customHeight="1" x14ac:dyDescent="0.25">
      <c r="A13" s="379"/>
      <c r="B13" s="380"/>
      <c r="C13" s="127"/>
      <c r="D13" s="257"/>
      <c r="E13" s="127"/>
      <c r="F13" s="188">
        <f t="shared" si="0"/>
        <v>0</v>
      </c>
    </row>
    <row r="14" spans="1:10" ht="21" customHeight="1" x14ac:dyDescent="0.25">
      <c r="A14" s="379"/>
      <c r="B14" s="380"/>
      <c r="C14" s="127"/>
      <c r="D14" s="257"/>
      <c r="E14" s="127"/>
      <c r="F14" s="188">
        <f t="shared" si="0"/>
        <v>0</v>
      </c>
    </row>
    <row r="15" spans="1:10" ht="21" customHeight="1" x14ac:dyDescent="0.25">
      <c r="A15" s="379"/>
      <c r="B15" s="380"/>
      <c r="C15" s="127"/>
      <c r="D15" s="257"/>
      <c r="E15" s="127"/>
      <c r="F15" s="188">
        <f t="shared" si="0"/>
        <v>0</v>
      </c>
    </row>
    <row r="16" spans="1:10" ht="21" customHeight="1" x14ac:dyDescent="0.25">
      <c r="A16" s="379"/>
      <c r="B16" s="380"/>
      <c r="C16" s="127"/>
      <c r="D16" s="257"/>
      <c r="E16" s="127"/>
      <c r="F16" s="188">
        <f t="shared" si="0"/>
        <v>0</v>
      </c>
    </row>
    <row r="17" spans="1:7" ht="21" customHeight="1" x14ac:dyDescent="0.25">
      <c r="A17" s="379"/>
      <c r="B17" s="380"/>
      <c r="C17" s="127"/>
      <c r="D17" s="257"/>
      <c r="E17" s="127"/>
      <c r="F17" s="188">
        <f t="shared" si="0"/>
        <v>0</v>
      </c>
    </row>
    <row r="18" spans="1:7" ht="21" customHeight="1" x14ac:dyDescent="0.25">
      <c r="A18" s="379"/>
      <c r="B18" s="380"/>
      <c r="C18" s="127"/>
      <c r="D18" s="257"/>
      <c r="E18" s="127"/>
      <c r="F18" s="188">
        <f t="shared" si="0"/>
        <v>0</v>
      </c>
    </row>
    <row r="19" spans="1:7" ht="21" customHeight="1" x14ac:dyDescent="0.25">
      <c r="A19" s="379"/>
      <c r="B19" s="380"/>
      <c r="C19" s="127"/>
      <c r="D19" s="257"/>
      <c r="E19" s="127"/>
      <c r="F19" s="188">
        <f t="shared" si="0"/>
        <v>0</v>
      </c>
    </row>
    <row r="20" spans="1:7" ht="21" customHeight="1" x14ac:dyDescent="0.25">
      <c r="A20" s="379"/>
      <c r="B20" s="380"/>
      <c r="C20" s="127"/>
      <c r="D20" s="257"/>
      <c r="E20" s="127"/>
      <c r="F20" s="188">
        <f t="shared" si="0"/>
        <v>0</v>
      </c>
    </row>
    <row r="21" spans="1:7" x14ac:dyDescent="0.25">
      <c r="A21" s="379"/>
      <c r="B21" s="380"/>
      <c r="C21" s="127"/>
      <c r="D21" s="394"/>
      <c r="E21" s="127"/>
      <c r="F21" s="188">
        <f t="shared" si="0"/>
        <v>0</v>
      </c>
    </row>
    <row r="22" spans="1:7" ht="21" customHeight="1" x14ac:dyDescent="0.25">
      <c r="A22" s="379"/>
      <c r="B22" s="380"/>
      <c r="C22" s="127"/>
      <c r="D22" s="257"/>
      <c r="E22" s="127"/>
      <c r="F22" s="188">
        <f t="shared" si="0"/>
        <v>0</v>
      </c>
    </row>
    <row r="23" spans="1:7" ht="21" customHeight="1" x14ac:dyDescent="0.25">
      <c r="A23" s="379"/>
      <c r="B23" s="380"/>
      <c r="C23" s="127"/>
      <c r="D23" s="257"/>
      <c r="E23" s="127"/>
      <c r="F23" s="188">
        <f t="shared" si="0"/>
        <v>0</v>
      </c>
    </row>
    <row r="24" spans="1:7" ht="21" customHeight="1" x14ac:dyDescent="0.3">
      <c r="A24" s="379"/>
      <c r="B24" s="380"/>
      <c r="C24" s="127"/>
      <c r="D24" s="257"/>
      <c r="E24" s="127"/>
      <c r="F24" s="188">
        <f t="shared" si="0"/>
        <v>0</v>
      </c>
      <c r="G24" s="156"/>
    </row>
    <row r="25" spans="1:7" ht="21" customHeight="1" x14ac:dyDescent="0.25">
      <c r="A25" s="379"/>
      <c r="B25" s="380"/>
      <c r="C25" s="127"/>
      <c r="D25" s="257"/>
      <c r="E25" s="127"/>
      <c r="F25" s="188">
        <f t="shared" si="0"/>
        <v>0</v>
      </c>
    </row>
    <row r="26" spans="1:7" ht="21" customHeight="1" x14ac:dyDescent="0.25">
      <c r="A26" s="379"/>
      <c r="B26" s="380"/>
      <c r="C26" s="127"/>
      <c r="D26" s="257"/>
      <c r="E26" s="127"/>
      <c r="F26" s="188">
        <f t="shared" si="0"/>
        <v>0</v>
      </c>
    </row>
    <row r="27" spans="1:7" ht="21" customHeight="1" x14ac:dyDescent="0.25">
      <c r="A27" s="379"/>
      <c r="B27" s="380"/>
      <c r="C27" s="127"/>
      <c r="D27" s="257"/>
      <c r="E27" s="127"/>
      <c r="F27" s="188">
        <f t="shared" si="0"/>
        <v>0</v>
      </c>
    </row>
    <row r="28" spans="1:7" ht="21" customHeight="1" x14ac:dyDescent="0.25">
      <c r="A28" s="379"/>
      <c r="B28" s="380"/>
      <c r="C28" s="127"/>
      <c r="D28" s="257"/>
      <c r="E28" s="127"/>
      <c r="F28" s="188">
        <f t="shared" si="0"/>
        <v>0</v>
      </c>
    </row>
    <row r="29" spans="1:7" ht="21" customHeight="1" x14ac:dyDescent="0.25">
      <c r="A29" s="379"/>
      <c r="B29" s="380"/>
      <c r="C29" s="127"/>
      <c r="D29" s="257"/>
      <c r="E29" s="127"/>
      <c r="F29" s="188">
        <f t="shared" si="0"/>
        <v>0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0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0</v>
      </c>
      <c r="G32" s="156"/>
    </row>
    <row r="33" spans="1:6" ht="21" customHeight="1" x14ac:dyDescent="0.25">
      <c r="A33" s="257"/>
      <c r="B33" s="258"/>
      <c r="C33" s="127"/>
      <c r="D33" s="257"/>
      <c r="E33" s="127"/>
      <c r="F33" s="188">
        <f t="shared" si="0"/>
        <v>0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395">
        <f>SUM(C3:C78)</f>
        <v>0</v>
      </c>
      <c r="D79" s="191"/>
      <c r="E79" s="170">
        <f>SUM(E3:E78)</f>
        <v>0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23"/>
      <c r="C1" s="425" t="s">
        <v>125</v>
      </c>
      <c r="D1" s="426"/>
      <c r="E1" s="426"/>
      <c r="F1" s="426"/>
      <c r="G1" s="426"/>
      <c r="H1" s="426"/>
      <c r="I1" s="426"/>
      <c r="J1" s="426"/>
      <c r="K1" s="426"/>
      <c r="L1" s="426"/>
      <c r="M1" s="426"/>
    </row>
    <row r="2" spans="1:21" ht="16.5" thickBot="1" x14ac:dyDescent="0.3">
      <c r="B2" s="424"/>
      <c r="C2" s="2"/>
      <c r="H2" s="4"/>
      <c r="I2" s="5"/>
      <c r="J2" s="6"/>
      <c r="L2" s="7"/>
      <c r="M2" s="5"/>
      <c r="N2" s="8"/>
    </row>
    <row r="3" spans="1:21" ht="21.75" thickBot="1" x14ac:dyDescent="0.35">
      <c r="B3" s="427" t="s">
        <v>0</v>
      </c>
      <c r="C3" s="428"/>
      <c r="D3" s="9"/>
      <c r="E3" s="10"/>
      <c r="F3" s="10"/>
      <c r="H3" s="429" t="s">
        <v>1</v>
      </c>
      <c r="I3" s="429"/>
      <c r="K3" s="12"/>
      <c r="L3" s="12"/>
      <c r="M3" s="4"/>
      <c r="R3" s="396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430" t="s">
        <v>3</v>
      </c>
      <c r="F4" s="431"/>
      <c r="H4" s="432" t="s">
        <v>4</v>
      </c>
      <c r="I4" s="433"/>
      <c r="J4" s="17"/>
      <c r="K4" s="18"/>
      <c r="L4" s="19"/>
      <c r="M4" s="20" t="s">
        <v>5</v>
      </c>
      <c r="N4" s="21" t="s">
        <v>6</v>
      </c>
      <c r="P4" s="403" t="s">
        <v>7</v>
      </c>
      <c r="Q4" s="404"/>
      <c r="R4" s="397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434">
        <f>SUM(M5:M39)</f>
        <v>1636108</v>
      </c>
      <c r="N40" s="407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406"/>
      <c r="N41" s="408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9" t="s">
        <v>12</v>
      </c>
      <c r="I53" s="410"/>
      <c r="J53" s="114"/>
      <c r="K53" s="411">
        <f>I51+L51</f>
        <v>45634.280000000006</v>
      </c>
      <c r="L53" s="412"/>
      <c r="M53" s="413">
        <f>N40+M40</f>
        <v>1691783</v>
      </c>
      <c r="N53" s="414"/>
      <c r="P53" s="32"/>
      <c r="Q53" s="8"/>
    </row>
    <row r="54" spans="1:17" ht="15.75" x14ac:dyDescent="0.25">
      <c r="D54" s="415" t="s">
        <v>13</v>
      </c>
      <c r="E54" s="415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416" t="s">
        <v>14</v>
      </c>
      <c r="E55" s="416"/>
      <c r="F55" s="111">
        <v>-1631962.77</v>
      </c>
      <c r="I55" s="417" t="s">
        <v>15</v>
      </c>
      <c r="J55" s="418"/>
      <c r="K55" s="419">
        <f>F57+F58+F59</f>
        <v>238822.13999999996</v>
      </c>
      <c r="L55" s="420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421">
        <f>-C4</f>
        <v>-154314.51999999999</v>
      </c>
      <c r="L57" s="422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398" t="s">
        <v>20</v>
      </c>
      <c r="E59" s="399"/>
      <c r="F59" s="129">
        <v>184342.19</v>
      </c>
      <c r="I59" s="400" t="s">
        <v>168</v>
      </c>
      <c r="J59" s="401"/>
      <c r="K59" s="402">
        <f>K55+K57</f>
        <v>84507.619999999966</v>
      </c>
      <c r="L59" s="40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23"/>
      <c r="C1" s="425" t="s">
        <v>135</v>
      </c>
      <c r="D1" s="426"/>
      <c r="E1" s="426"/>
      <c r="F1" s="426"/>
      <c r="G1" s="426"/>
      <c r="H1" s="426"/>
      <c r="I1" s="426"/>
      <c r="J1" s="426"/>
      <c r="K1" s="426"/>
      <c r="L1" s="426"/>
      <c r="M1" s="426"/>
    </row>
    <row r="2" spans="1:21" ht="16.5" thickBot="1" x14ac:dyDescent="0.3">
      <c r="B2" s="424"/>
      <c r="C2" s="2"/>
      <c r="H2" s="4"/>
      <c r="I2" s="5"/>
      <c r="J2" s="6"/>
      <c r="L2" s="7"/>
      <c r="M2" s="5"/>
      <c r="N2" s="8"/>
    </row>
    <row r="3" spans="1:21" ht="21.75" thickBot="1" x14ac:dyDescent="0.35">
      <c r="B3" s="427" t="s">
        <v>0</v>
      </c>
      <c r="C3" s="428"/>
      <c r="D3" s="9"/>
      <c r="E3" s="10"/>
      <c r="F3" s="10"/>
      <c r="H3" s="429" t="s">
        <v>1</v>
      </c>
      <c r="I3" s="429"/>
      <c r="K3" s="12"/>
      <c r="L3" s="12"/>
      <c r="M3" s="4"/>
      <c r="R3" s="396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430" t="s">
        <v>3</v>
      </c>
      <c r="F4" s="431"/>
      <c r="H4" s="432" t="s">
        <v>4</v>
      </c>
      <c r="I4" s="433"/>
      <c r="J4" s="17"/>
      <c r="K4" s="18"/>
      <c r="L4" s="19"/>
      <c r="M4" s="20" t="s">
        <v>5</v>
      </c>
      <c r="N4" s="21" t="s">
        <v>6</v>
      </c>
      <c r="P4" s="403" t="s">
        <v>7</v>
      </c>
      <c r="Q4" s="404"/>
      <c r="R4" s="397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405">
        <f>SUM(M5:M39)</f>
        <v>1793435</v>
      </c>
      <c r="N40" s="407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406"/>
      <c r="N41" s="408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409" t="s">
        <v>12</v>
      </c>
      <c r="I49" s="410"/>
      <c r="J49" s="114"/>
      <c r="K49" s="411">
        <f>I47+L47</f>
        <v>90434.03</v>
      </c>
      <c r="L49" s="412"/>
      <c r="M49" s="413">
        <f>N40+M40</f>
        <v>1857430</v>
      </c>
      <c r="N49" s="414"/>
      <c r="P49" s="32"/>
      <c r="Q49" s="8"/>
    </row>
    <row r="50" spans="1:17" ht="15.75" x14ac:dyDescent="0.25">
      <c r="D50" s="415" t="s">
        <v>13</v>
      </c>
      <c r="E50" s="415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416" t="s">
        <v>14</v>
      </c>
      <c r="E51" s="416"/>
      <c r="F51" s="111">
        <v>-1848136.64</v>
      </c>
      <c r="I51" s="417" t="s">
        <v>15</v>
      </c>
      <c r="J51" s="418"/>
      <c r="K51" s="419">
        <f>F53+F54+F55</f>
        <v>195541.70000000007</v>
      </c>
      <c r="L51" s="420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421">
        <f>-C4</f>
        <v>-184342.19</v>
      </c>
      <c r="L53" s="422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398" t="s">
        <v>20</v>
      </c>
      <c r="E55" s="399"/>
      <c r="F55" s="129">
        <v>219417.37</v>
      </c>
      <c r="I55" s="400" t="s">
        <v>226</v>
      </c>
      <c r="J55" s="401"/>
      <c r="K55" s="402">
        <f>K51+K53</f>
        <v>11199.510000000068</v>
      </c>
      <c r="L55" s="402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R3:R4"/>
    <mergeCell ref="E4:F4"/>
    <mergeCell ref="H4:I4"/>
    <mergeCell ref="P4:Q4"/>
    <mergeCell ref="D50:E50"/>
    <mergeCell ref="N40:N41"/>
    <mergeCell ref="H49:I49"/>
    <mergeCell ref="K49:L49"/>
    <mergeCell ref="M49:N49"/>
    <mergeCell ref="B1:B2"/>
    <mergeCell ref="C1:M1"/>
    <mergeCell ref="B3:C3"/>
    <mergeCell ref="H3:I3"/>
    <mergeCell ref="M40:M41"/>
    <mergeCell ref="D51:E51"/>
    <mergeCell ref="I51:J51"/>
    <mergeCell ref="K51:L51"/>
    <mergeCell ref="K53:L53"/>
    <mergeCell ref="D55:E55"/>
    <mergeCell ref="I55:J55"/>
    <mergeCell ref="K55:L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23"/>
      <c r="C1" s="425" t="s">
        <v>225</v>
      </c>
      <c r="D1" s="426"/>
      <c r="E1" s="426"/>
      <c r="F1" s="426"/>
      <c r="G1" s="426"/>
      <c r="H1" s="426"/>
      <c r="I1" s="426"/>
      <c r="J1" s="426"/>
      <c r="K1" s="426"/>
      <c r="L1" s="426"/>
      <c r="M1" s="426"/>
    </row>
    <row r="2" spans="1:21" ht="16.5" thickBot="1" x14ac:dyDescent="0.3">
      <c r="B2" s="424"/>
      <c r="C2" s="2"/>
      <c r="H2" s="4"/>
      <c r="I2" s="5"/>
      <c r="J2" s="6"/>
      <c r="L2" s="7"/>
      <c r="M2" s="5"/>
      <c r="N2" s="8"/>
    </row>
    <row r="3" spans="1:21" ht="21.75" thickBot="1" x14ac:dyDescent="0.35">
      <c r="B3" s="427" t="s">
        <v>0</v>
      </c>
      <c r="C3" s="428"/>
      <c r="D3" s="9"/>
      <c r="E3" s="10"/>
      <c r="F3" s="10"/>
      <c r="H3" s="429" t="s">
        <v>1</v>
      </c>
      <c r="I3" s="429"/>
      <c r="K3" s="12"/>
      <c r="L3" s="12"/>
      <c r="M3" s="4"/>
      <c r="R3" s="396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430" t="s">
        <v>3</v>
      </c>
      <c r="F4" s="431"/>
      <c r="H4" s="432" t="s">
        <v>4</v>
      </c>
      <c r="I4" s="433"/>
      <c r="J4" s="17"/>
      <c r="K4" s="18"/>
      <c r="L4" s="19"/>
      <c r="M4" s="20" t="s">
        <v>5</v>
      </c>
      <c r="N4" s="21" t="s">
        <v>6</v>
      </c>
      <c r="P4" s="403" t="s">
        <v>7</v>
      </c>
      <c r="Q4" s="404"/>
      <c r="R4" s="397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405">
        <f>SUM(M5:M39)</f>
        <v>2146671</v>
      </c>
      <c r="N40" s="407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406"/>
      <c r="N41" s="408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9" t="s">
        <v>12</v>
      </c>
      <c r="I53" s="410"/>
      <c r="J53" s="114"/>
      <c r="K53" s="411">
        <f>I51+L51</f>
        <v>91272.77</v>
      </c>
      <c r="L53" s="412"/>
      <c r="M53" s="413">
        <f>N40+M40</f>
        <v>2215261</v>
      </c>
      <c r="N53" s="414"/>
      <c r="P53" s="32"/>
      <c r="Q53" s="8"/>
    </row>
    <row r="54" spans="1:17" ht="15.75" x14ac:dyDescent="0.25">
      <c r="D54" s="415" t="s">
        <v>13</v>
      </c>
      <c r="E54" s="415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416" t="s">
        <v>14</v>
      </c>
      <c r="E55" s="416"/>
      <c r="F55" s="111">
        <v>-2227493.48</v>
      </c>
      <c r="I55" s="417" t="s">
        <v>15</v>
      </c>
      <c r="J55" s="418"/>
      <c r="K55" s="419">
        <f>F57+F58+F59</f>
        <v>261521.34000000003</v>
      </c>
      <c r="L55" s="420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421">
        <f>-C4</f>
        <v>-219417.37</v>
      </c>
      <c r="L57" s="422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398" t="s">
        <v>20</v>
      </c>
      <c r="E59" s="399"/>
      <c r="F59" s="129">
        <v>297874.59000000003</v>
      </c>
      <c r="I59" s="400" t="s">
        <v>168</v>
      </c>
      <c r="J59" s="401"/>
      <c r="K59" s="402">
        <f>K55+K57</f>
        <v>42103.97000000003</v>
      </c>
      <c r="L59" s="40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23"/>
      <c r="C1" s="425" t="s">
        <v>277</v>
      </c>
      <c r="D1" s="426"/>
      <c r="E1" s="426"/>
      <c r="F1" s="426"/>
      <c r="G1" s="426"/>
      <c r="H1" s="426"/>
      <c r="I1" s="426"/>
      <c r="J1" s="426"/>
      <c r="K1" s="426"/>
      <c r="L1" s="426"/>
      <c r="M1" s="426"/>
    </row>
    <row r="2" spans="1:21" ht="16.5" thickBot="1" x14ac:dyDescent="0.3">
      <c r="B2" s="424"/>
      <c r="C2" s="2"/>
      <c r="H2" s="4"/>
      <c r="I2" s="5"/>
      <c r="J2" s="6"/>
      <c r="L2" s="7"/>
      <c r="M2" s="5"/>
      <c r="N2" s="8"/>
    </row>
    <row r="3" spans="1:21" ht="21.75" thickBot="1" x14ac:dyDescent="0.35">
      <c r="B3" s="427" t="s">
        <v>0</v>
      </c>
      <c r="C3" s="428"/>
      <c r="D3" s="9"/>
      <c r="E3" s="10"/>
      <c r="F3" s="10"/>
      <c r="H3" s="429" t="s">
        <v>1</v>
      </c>
      <c r="I3" s="429"/>
      <c r="K3" s="12"/>
      <c r="L3" s="12"/>
      <c r="M3" s="4"/>
      <c r="R3" s="396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430" t="s">
        <v>3</v>
      </c>
      <c r="F4" s="431"/>
      <c r="H4" s="432" t="s">
        <v>4</v>
      </c>
      <c r="I4" s="433"/>
      <c r="J4" s="17"/>
      <c r="K4" s="18"/>
      <c r="L4" s="19"/>
      <c r="M4" s="20" t="s">
        <v>5</v>
      </c>
      <c r="N4" s="21" t="s">
        <v>6</v>
      </c>
      <c r="P4" s="403" t="s">
        <v>7</v>
      </c>
      <c r="Q4" s="404"/>
      <c r="R4" s="397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05">
        <f>SUM(M5:M39)</f>
        <v>2144215</v>
      </c>
      <c r="N40" s="407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06"/>
      <c r="N41" s="408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9" t="s">
        <v>12</v>
      </c>
      <c r="I53" s="410"/>
      <c r="J53" s="114"/>
      <c r="K53" s="411">
        <f>I51+L51</f>
        <v>51231.42</v>
      </c>
      <c r="L53" s="412"/>
      <c r="M53" s="413">
        <f>N40+M40</f>
        <v>2206740</v>
      </c>
      <c r="N53" s="414"/>
      <c r="P53" s="32"/>
      <c r="Q53" s="8"/>
    </row>
    <row r="54" spans="1:17" ht="15.75" x14ac:dyDescent="0.25">
      <c r="D54" s="415" t="s">
        <v>13</v>
      </c>
      <c r="E54" s="415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416" t="s">
        <v>14</v>
      </c>
      <c r="E55" s="416"/>
      <c r="F55" s="111">
        <v>-2251924.65</v>
      </c>
      <c r="I55" s="417" t="s">
        <v>15</v>
      </c>
      <c r="J55" s="418"/>
      <c r="K55" s="419">
        <f>F57+F58+F59</f>
        <v>112552.74000000017</v>
      </c>
      <c r="L55" s="420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421">
        <f>-C4</f>
        <v>-297874.59000000003</v>
      </c>
      <c r="L57" s="422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398" t="s">
        <v>20</v>
      </c>
      <c r="E59" s="399"/>
      <c r="F59" s="129">
        <v>149938.81</v>
      </c>
      <c r="I59" s="400" t="s">
        <v>325</v>
      </c>
      <c r="J59" s="401"/>
      <c r="K59" s="402">
        <f>K55+K57</f>
        <v>-185321.84999999986</v>
      </c>
      <c r="L59" s="40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   O C T U B R E     2 0 2 2   </vt:lpstr>
      <vt:lpstr> COMPRAS  OCTUBRE   2022     </vt:lpstr>
      <vt:lpstr>   N O V I E M  B R E    2022  </vt:lpstr>
      <vt:lpstr>COMPRAS NOVIEMBRE 2022</vt:lpstr>
      <vt:lpstr>  D I C I E M B R E    2 0 2 2 </vt:lpstr>
      <vt:lpstr> COMPRAS DICIEMBRE  20222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2022-12-17T21:40:11Z</cp:lastPrinted>
  <dcterms:created xsi:type="dcterms:W3CDTF">2022-01-21T15:38:45Z</dcterms:created>
  <dcterms:modified xsi:type="dcterms:W3CDTF">2022-12-17T21:40:41Z</dcterms:modified>
</cp:coreProperties>
</file>