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35" activeTab="39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74" l="1"/>
  <c r="FM30" i="1" l="1"/>
  <c r="O11" i="65"/>
  <c r="Z18" i="117"/>
  <c r="Y18" i="117"/>
  <c r="D26" i="205"/>
  <c r="C26" i="205"/>
  <c r="CA8" i="1" l="1"/>
  <c r="CA9" i="1"/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U9" i="65" s="1"/>
  <c r="S112" i="38"/>
  <c r="T112" i="38" s="1"/>
  <c r="I112" i="38"/>
  <c r="U10" i="65" l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AJ78" i="188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P48" i="57" l="1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D31" i="205"/>
  <c r="F30" i="205"/>
  <c r="Q6" i="57" l="1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<sst xmlns="http://schemas.openxmlformats.org/spreadsheetml/2006/main" count="4061" uniqueCount="686">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</sst>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0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110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0" fontId="40" fillId="0" borderId="112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FFCCFF"/>
      <color rgb="FF66FFFF"/>
      <color rgb="FF3399FF"/>
      <color rgb="FFFF3399"/>
      <color rgb="FF00FF00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T10" sqref="T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28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17" t="s">
        <v>26</v>
      </c>
      <c r="L1" s="646"/>
      <c r="M1" s="1219" t="s">
        <v>27</v>
      </c>
      <c r="N1" s="921"/>
      <c r="P1" s="97" t="s">
        <v>38</v>
      </c>
      <c r="Q1" s="1215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18"/>
      <c r="L2" s="647" t="s">
        <v>29</v>
      </c>
      <c r="M2" s="1220"/>
      <c r="N2" s="922" t="s">
        <v>29</v>
      </c>
      <c r="O2" s="387" t="s">
        <v>30</v>
      </c>
      <c r="P2" s="98" t="s">
        <v>39</v>
      </c>
      <c r="Q2" s="1216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1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7" t="str">
        <f>PIERNA!C4</f>
        <v>Seaboard</v>
      </c>
      <c r="D4" s="798" t="str">
        <f>PIERNA!D4</f>
        <v>PED. 90393224</v>
      </c>
      <c r="E4" s="799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6" t="s">
        <v>230</v>
      </c>
      <c r="K4" s="984">
        <v>11151</v>
      </c>
      <c r="L4" s="917" t="s">
        <v>233</v>
      </c>
      <c r="M4" s="759">
        <v>37120</v>
      </c>
      <c r="N4" s="774" t="s">
        <v>233</v>
      </c>
      <c r="O4" s="775">
        <v>2111044</v>
      </c>
      <c r="P4" s="1165">
        <v>5278</v>
      </c>
      <c r="Q4" s="911">
        <f>43549.97*19.45</f>
        <v>847046.91649999993</v>
      </c>
      <c r="R4" s="912" t="s">
        <v>563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2" t="s">
        <v>231</v>
      </c>
      <c r="K5" s="916">
        <v>12151</v>
      </c>
      <c r="L5" s="917" t="s">
        <v>233</v>
      </c>
      <c r="M5" s="759">
        <v>37120</v>
      </c>
      <c r="N5" s="774" t="s">
        <v>233</v>
      </c>
      <c r="O5" s="775">
        <v>2111045</v>
      </c>
      <c r="P5" s="1165">
        <v>5278</v>
      </c>
      <c r="Q5" s="911">
        <f>43741.62*19.45</f>
        <v>850774.50899999996</v>
      </c>
      <c r="R5" s="912" t="s">
        <v>563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5" t="s">
        <v>354</v>
      </c>
      <c r="K6" s="984">
        <v>12161</v>
      </c>
      <c r="L6" s="1052" t="s">
        <v>233</v>
      </c>
      <c r="M6" s="759">
        <v>37120</v>
      </c>
      <c r="N6" s="774" t="s">
        <v>389</v>
      </c>
      <c r="O6" s="778">
        <v>1211480</v>
      </c>
      <c r="P6" s="1164">
        <v>5336</v>
      </c>
      <c r="Q6" s="1050">
        <f>44062.9*19.3</f>
        <v>850413.97000000009</v>
      </c>
      <c r="R6" s="1051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4" t="s">
        <v>352</v>
      </c>
      <c r="K7" s="984">
        <v>9851</v>
      </c>
      <c r="L7" s="1052" t="s">
        <v>233</v>
      </c>
      <c r="M7" s="759">
        <v>37120</v>
      </c>
      <c r="N7" s="774" t="s">
        <v>389</v>
      </c>
      <c r="O7" s="778">
        <v>2111540</v>
      </c>
      <c r="P7" s="1164">
        <v>5452</v>
      </c>
      <c r="Q7" s="913">
        <f>45575.34*19.41</f>
        <v>884617.34939999995</v>
      </c>
      <c r="R7" s="912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2" t="s">
        <v>355</v>
      </c>
      <c r="K8" s="758">
        <v>12151</v>
      </c>
      <c r="L8" s="787" t="s">
        <v>388</v>
      </c>
      <c r="M8" s="759">
        <v>37120</v>
      </c>
      <c r="N8" s="780" t="s">
        <v>390</v>
      </c>
      <c r="O8" s="1071">
        <v>2111874</v>
      </c>
      <c r="P8" s="776">
        <v>0</v>
      </c>
      <c r="Q8" s="913">
        <f>40887.03*19.405</f>
        <v>793412.81715000002</v>
      </c>
      <c r="R8" s="915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2" t="s">
        <v>357</v>
      </c>
      <c r="K9" s="984">
        <v>12161</v>
      </c>
      <c r="L9" s="1052" t="s">
        <v>233</v>
      </c>
      <c r="M9" s="759">
        <v>37120</v>
      </c>
      <c r="N9" s="780" t="s">
        <v>390</v>
      </c>
      <c r="O9" s="782">
        <v>1213583</v>
      </c>
      <c r="P9" s="776"/>
      <c r="Q9" s="524">
        <f>43731.05*19.445</f>
        <v>850350.26725000003</v>
      </c>
      <c r="R9" s="783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59" t="s">
        <v>362</v>
      </c>
      <c r="K10" s="758"/>
      <c r="L10" s="787"/>
      <c r="M10" s="759"/>
      <c r="N10" s="780"/>
      <c r="O10" s="782" t="s">
        <v>358</v>
      </c>
      <c r="P10" s="776">
        <v>12</v>
      </c>
      <c r="Q10" s="524">
        <f>134+65000</f>
        <v>65134</v>
      </c>
      <c r="R10" s="783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4" t="s">
        <v>361</v>
      </c>
      <c r="K11" s="758">
        <v>11151</v>
      </c>
      <c r="L11" s="781" t="s">
        <v>390</v>
      </c>
      <c r="M11" s="759">
        <v>27840</v>
      </c>
      <c r="N11" s="780" t="s">
        <v>394</v>
      </c>
      <c r="O11" s="785">
        <v>2111873</v>
      </c>
      <c r="P11" s="776"/>
      <c r="Q11" s="911">
        <f>40942.64*19.405</f>
        <v>794491.92920000001</v>
      </c>
      <c r="R11" s="914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2" t="s">
        <v>351</v>
      </c>
      <c r="K12" s="758">
        <v>11151</v>
      </c>
      <c r="L12" s="781" t="s">
        <v>391</v>
      </c>
      <c r="M12" s="759">
        <v>37120</v>
      </c>
      <c r="N12" s="780" t="s">
        <v>392</v>
      </c>
      <c r="O12" s="785">
        <v>2113851</v>
      </c>
      <c r="P12" s="776"/>
      <c r="Q12" s="911">
        <f>43121.86*19.335</f>
        <v>833761.16310000001</v>
      </c>
      <c r="R12" s="914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08" t="s">
        <v>363</v>
      </c>
      <c r="K13" s="758">
        <v>11151</v>
      </c>
      <c r="L13" s="781" t="s">
        <v>392</v>
      </c>
      <c r="M13" s="759">
        <v>37120</v>
      </c>
      <c r="N13" s="780" t="s">
        <v>386</v>
      </c>
      <c r="O13" s="785">
        <v>1219005</v>
      </c>
      <c r="P13" s="776"/>
      <c r="Q13" s="386">
        <f>42254.91*19.79</f>
        <v>836224.66890000005</v>
      </c>
      <c r="R13" s="783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4" t="s">
        <v>364</v>
      </c>
      <c r="K14" s="758">
        <v>12001</v>
      </c>
      <c r="L14" s="781" t="s">
        <v>386</v>
      </c>
      <c r="M14" s="759">
        <v>37120</v>
      </c>
      <c r="N14" s="780" t="s">
        <v>393</v>
      </c>
      <c r="O14" s="782">
        <v>2113852</v>
      </c>
      <c r="P14" s="776"/>
      <c r="Q14" s="386">
        <f>41091.73*19.185</f>
        <v>788344.84005</v>
      </c>
      <c r="R14" s="786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0" t="s">
        <v>365</v>
      </c>
      <c r="K15" s="758">
        <v>12543</v>
      </c>
      <c r="L15" s="781" t="s">
        <v>392</v>
      </c>
      <c r="M15" s="759">
        <v>37120</v>
      </c>
      <c r="N15" s="787" t="s">
        <v>386</v>
      </c>
      <c r="O15" s="788">
        <v>1220853</v>
      </c>
      <c r="P15" s="776"/>
      <c r="Q15" s="386">
        <f>41553.06*19.88</f>
        <v>826074.83279999986</v>
      </c>
      <c r="R15" s="789" t="s">
        <v>489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0" t="s">
        <v>366</v>
      </c>
      <c r="K16" s="758">
        <v>11151</v>
      </c>
      <c r="L16" s="781" t="s">
        <v>393</v>
      </c>
      <c r="M16" s="759">
        <v>37120</v>
      </c>
      <c r="N16" s="787" t="s">
        <v>394</v>
      </c>
      <c r="O16" s="785">
        <v>2114514</v>
      </c>
      <c r="P16" s="776"/>
      <c r="Q16" s="524">
        <f>40672.07*19.8</f>
        <v>805306.98600000003</v>
      </c>
      <c r="R16" s="783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19" t="s">
        <v>367</v>
      </c>
      <c r="K17" s="758">
        <v>9851</v>
      </c>
      <c r="L17" s="781" t="s">
        <v>393</v>
      </c>
      <c r="M17" s="759">
        <v>37120</v>
      </c>
      <c r="N17" s="787" t="s">
        <v>394</v>
      </c>
      <c r="O17" s="785">
        <v>2114320</v>
      </c>
      <c r="P17" s="776"/>
      <c r="Q17" s="911">
        <f>41349.55*19.335</f>
        <v>799493.54925000004</v>
      </c>
      <c r="R17" s="914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4" t="s">
        <v>424</v>
      </c>
      <c r="K18" s="758">
        <v>12001</v>
      </c>
      <c r="L18" s="781" t="s">
        <v>393</v>
      </c>
      <c r="M18" s="759">
        <v>37120</v>
      </c>
      <c r="N18" s="787" t="s">
        <v>488</v>
      </c>
      <c r="O18" s="775">
        <v>2114513</v>
      </c>
      <c r="P18" s="776"/>
      <c r="Q18" s="524">
        <f>40564.53*19.445</f>
        <v>788777.28584999999</v>
      </c>
      <c r="R18" s="786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4" t="s">
        <v>425</v>
      </c>
      <c r="K19" s="758">
        <v>12161</v>
      </c>
      <c r="L19" s="781" t="s">
        <v>393</v>
      </c>
      <c r="M19" s="759">
        <v>27840</v>
      </c>
      <c r="N19" s="780" t="s">
        <v>497</v>
      </c>
      <c r="O19" s="782">
        <v>2114512</v>
      </c>
      <c r="P19" s="731"/>
      <c r="Q19" s="524">
        <f>40576.27*19.445</f>
        <v>789005.57014999993</v>
      </c>
      <c r="R19" s="774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2" t="s">
        <v>426</v>
      </c>
      <c r="K20" s="758">
        <v>11151</v>
      </c>
      <c r="L20" s="781" t="s">
        <v>394</v>
      </c>
      <c r="M20" s="759">
        <v>37120</v>
      </c>
      <c r="N20" s="780" t="s">
        <v>394</v>
      </c>
      <c r="O20" s="782">
        <v>1220782</v>
      </c>
      <c r="P20" s="776"/>
      <c r="Q20" s="524">
        <f>41547.21*19.56</f>
        <v>812663.42759999994</v>
      </c>
      <c r="R20" s="774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2" t="s">
        <v>430</v>
      </c>
      <c r="K21" s="758">
        <v>12151</v>
      </c>
      <c r="L21" s="781" t="s">
        <v>493</v>
      </c>
      <c r="M21" s="759">
        <v>37120</v>
      </c>
      <c r="N21" s="780" t="s">
        <v>493</v>
      </c>
      <c r="O21" s="785">
        <v>2116427</v>
      </c>
      <c r="P21" s="776"/>
      <c r="Q21" s="524">
        <f>42604.72*19.74</f>
        <v>841017.17279999994</v>
      </c>
      <c r="R21" s="774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4" t="s">
        <v>431</v>
      </c>
      <c r="K22" s="758">
        <v>12151</v>
      </c>
      <c r="L22" s="781" t="s">
        <v>493</v>
      </c>
      <c r="M22" s="759">
        <v>37120</v>
      </c>
      <c r="N22" s="780" t="s">
        <v>493</v>
      </c>
      <c r="O22" s="785">
        <v>2116428</v>
      </c>
      <c r="P22" s="792"/>
      <c r="Q22" s="524">
        <f>42500.53*19.74</f>
        <v>838960.46219999995</v>
      </c>
      <c r="R22" s="774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2" t="s">
        <v>432</v>
      </c>
      <c r="K23" s="758">
        <v>9851</v>
      </c>
      <c r="L23" s="781" t="s">
        <v>493</v>
      </c>
      <c r="M23" s="759">
        <v>37120</v>
      </c>
      <c r="N23" s="780" t="s">
        <v>493</v>
      </c>
      <c r="O23" s="775">
        <v>2116429</v>
      </c>
      <c r="P23" s="776"/>
      <c r="Q23" s="524">
        <f>42921.39*19.81</f>
        <v>850272.73589999997</v>
      </c>
      <c r="R23" s="774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4" t="s">
        <v>433</v>
      </c>
      <c r="K24" s="758">
        <v>11001</v>
      </c>
      <c r="L24" s="781" t="s">
        <v>493</v>
      </c>
      <c r="M24" s="759">
        <v>37120</v>
      </c>
      <c r="N24" s="780" t="s">
        <v>494</v>
      </c>
      <c r="O24" s="782">
        <v>1231770</v>
      </c>
      <c r="P24" s="776"/>
      <c r="Q24" s="524">
        <f>42032.13*19.825</f>
        <v>833286.97724999988</v>
      </c>
      <c r="R24" s="774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2" t="s">
        <v>434</v>
      </c>
      <c r="K25" s="758">
        <v>12151</v>
      </c>
      <c r="L25" s="781" t="s">
        <v>493</v>
      </c>
      <c r="M25" s="759">
        <v>37120</v>
      </c>
      <c r="N25" s="780" t="s">
        <v>494</v>
      </c>
      <c r="O25" s="782">
        <v>1231769</v>
      </c>
      <c r="P25" s="792"/>
      <c r="Q25" s="524">
        <f>41171.97*19.84</f>
        <v>816851.8848</v>
      </c>
      <c r="R25" s="777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4" t="s">
        <v>436</v>
      </c>
      <c r="K26" s="758">
        <v>9851</v>
      </c>
      <c r="L26" s="773" t="s">
        <v>494</v>
      </c>
      <c r="M26" s="759">
        <v>37120</v>
      </c>
      <c r="N26" s="774" t="s">
        <v>496</v>
      </c>
      <c r="O26" s="782">
        <v>1233100</v>
      </c>
      <c r="P26" s="776"/>
      <c r="Q26" s="524">
        <f>43530.26*19.785</f>
        <v>861246.19410000008</v>
      </c>
      <c r="R26" s="774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4" t="s">
        <v>437</v>
      </c>
      <c r="K27" s="758">
        <v>12001</v>
      </c>
      <c r="L27" s="773" t="s">
        <v>493</v>
      </c>
      <c r="M27" s="759">
        <v>37120</v>
      </c>
      <c r="N27" s="774" t="s">
        <v>494</v>
      </c>
      <c r="O27" s="782">
        <v>2116430</v>
      </c>
      <c r="P27" s="792"/>
      <c r="Q27" s="524">
        <f>43046.01*19.72</f>
        <v>848867.31720000005</v>
      </c>
      <c r="R27" s="774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4" t="s">
        <v>438</v>
      </c>
      <c r="K28" s="758"/>
      <c r="L28" s="773"/>
      <c r="M28" s="759">
        <v>27840</v>
      </c>
      <c r="N28" s="774" t="s">
        <v>553</v>
      </c>
      <c r="O28" s="782">
        <v>2116432</v>
      </c>
      <c r="P28" s="776"/>
      <c r="Q28" s="524">
        <f>44213.17*19.69</f>
        <v>870557.3173</v>
      </c>
      <c r="R28" s="777" t="s">
        <v>387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1" t="s">
        <v>439</v>
      </c>
      <c r="K29" s="696">
        <v>12001</v>
      </c>
      <c r="L29" s="773" t="s">
        <v>496</v>
      </c>
      <c r="M29" s="759">
        <v>37120</v>
      </c>
      <c r="N29" s="774" t="s">
        <v>497</v>
      </c>
      <c r="O29" s="775">
        <v>2117525</v>
      </c>
      <c r="P29" s="776"/>
      <c r="Q29" s="524">
        <f>42368.24*19.79</f>
        <v>838467.46959999995</v>
      </c>
      <c r="R29" s="777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2" t="s">
        <v>440</v>
      </c>
      <c r="K30" s="758">
        <v>12001</v>
      </c>
      <c r="L30" s="773" t="s">
        <v>495</v>
      </c>
      <c r="M30" s="759">
        <v>27840</v>
      </c>
      <c r="N30" s="774" t="s">
        <v>553</v>
      </c>
      <c r="O30" s="775">
        <v>2116431</v>
      </c>
      <c r="P30" s="776"/>
      <c r="Q30" s="524">
        <f>44053.78*19.69</f>
        <v>867418.92820000008</v>
      </c>
      <c r="R30" s="777" t="s">
        <v>387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2" t="s">
        <v>441</v>
      </c>
      <c r="K31" s="758">
        <v>12161</v>
      </c>
      <c r="L31" s="773" t="s">
        <v>496</v>
      </c>
      <c r="M31" s="759">
        <v>37120</v>
      </c>
      <c r="N31" s="774" t="s">
        <v>497</v>
      </c>
      <c r="O31" s="775">
        <v>2117526</v>
      </c>
      <c r="P31" s="776"/>
      <c r="Q31" s="524">
        <f>42267.19*19.88</f>
        <v>840271.73719999997</v>
      </c>
      <c r="R31" s="777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2" t="str">
        <f>PIERNA!KG5</f>
        <v>PED. 91307670</v>
      </c>
      <c r="E32" s="943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2" t="s">
        <v>447</v>
      </c>
      <c r="K32" s="758">
        <v>12161</v>
      </c>
      <c r="L32" s="773" t="s">
        <v>553</v>
      </c>
      <c r="M32" s="759">
        <v>37120</v>
      </c>
      <c r="N32" s="774" t="s">
        <v>554</v>
      </c>
      <c r="O32" s="775">
        <v>2118200</v>
      </c>
      <c r="P32" s="776"/>
      <c r="Q32" s="524">
        <f>41167.67*19.88</f>
        <v>818413.27959999989</v>
      </c>
      <c r="R32" s="777" t="s">
        <v>489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2" t="str">
        <f>PIERNA!KQ5</f>
        <v>PED. 91354477</v>
      </c>
      <c r="E33" s="943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2" t="s">
        <v>448</v>
      </c>
      <c r="K33" s="696">
        <v>11151</v>
      </c>
      <c r="L33" s="773" t="s">
        <v>553</v>
      </c>
      <c r="M33" s="759">
        <v>37120</v>
      </c>
      <c r="N33" s="774" t="s">
        <v>554</v>
      </c>
      <c r="O33" s="775">
        <v>1238364</v>
      </c>
      <c r="P33" s="793"/>
      <c r="Q33" s="524">
        <f>41312.79*19.71</f>
        <v>814275.09090000007</v>
      </c>
      <c r="R33" s="777" t="s">
        <v>492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2" t="s">
        <v>449</v>
      </c>
      <c r="K34" s="758">
        <v>12001</v>
      </c>
      <c r="L34" s="773" t="s">
        <v>554</v>
      </c>
      <c r="M34" s="759">
        <v>37120</v>
      </c>
      <c r="N34" s="774" t="s">
        <v>555</v>
      </c>
      <c r="O34" s="778">
        <v>2118754</v>
      </c>
      <c r="P34" s="776"/>
      <c r="Q34" s="525">
        <f>41098.92*19.88</f>
        <v>817046.52959999989</v>
      </c>
      <c r="R34" s="779" t="s">
        <v>489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2" t="s">
        <v>450</v>
      </c>
      <c r="K35" s="758">
        <v>11151</v>
      </c>
      <c r="L35" s="773" t="s">
        <v>554</v>
      </c>
      <c r="M35" s="759">
        <v>37120</v>
      </c>
      <c r="N35" s="774" t="s">
        <v>555</v>
      </c>
      <c r="O35" s="778">
        <v>1239758</v>
      </c>
      <c r="P35" s="793"/>
      <c r="Q35" s="386">
        <f>40653.15*19.67</f>
        <v>799647.46050000004</v>
      </c>
      <c r="R35" s="777" t="s">
        <v>460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2" t="s">
        <v>451</v>
      </c>
      <c r="K36" s="758">
        <v>11151</v>
      </c>
      <c r="L36" s="773" t="s">
        <v>555</v>
      </c>
      <c r="M36" s="759">
        <v>37120</v>
      </c>
      <c r="N36" s="780" t="s">
        <v>556</v>
      </c>
      <c r="O36" s="778">
        <v>2118201</v>
      </c>
      <c r="P36" s="793"/>
      <c r="Q36" s="386">
        <f>40458.59*19.62</f>
        <v>793797.53579999995</v>
      </c>
      <c r="R36" s="774" t="s">
        <v>490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2" t="s">
        <v>452</v>
      </c>
      <c r="K37" s="758">
        <v>10101</v>
      </c>
      <c r="L37" s="773" t="s">
        <v>554</v>
      </c>
      <c r="M37" s="759">
        <v>37120</v>
      </c>
      <c r="N37" s="774" t="s">
        <v>555</v>
      </c>
      <c r="O37" s="782">
        <v>2118756</v>
      </c>
      <c r="P37" s="776"/>
      <c r="Q37" s="524">
        <f>41169.63*19.62</f>
        <v>807748.14060000004</v>
      </c>
      <c r="R37" s="774" t="s">
        <v>462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4" t="s">
        <v>453</v>
      </c>
      <c r="K38" s="758">
        <v>10101</v>
      </c>
      <c r="L38" s="795" t="s">
        <v>555</v>
      </c>
      <c r="M38" s="759">
        <v>37120</v>
      </c>
      <c r="N38" s="774" t="s">
        <v>556</v>
      </c>
      <c r="O38" s="782">
        <v>1243711</v>
      </c>
      <c r="P38" s="776"/>
      <c r="Q38" s="524">
        <f>39717.88*19.495</f>
        <v>774300.07059999998</v>
      </c>
      <c r="R38" s="777" t="s">
        <v>543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6" t="s">
        <v>454</v>
      </c>
      <c r="K39" s="386">
        <v>12161</v>
      </c>
      <c r="L39" s="795" t="s">
        <v>556</v>
      </c>
      <c r="M39" s="759">
        <v>37120</v>
      </c>
      <c r="N39" s="774" t="s">
        <v>557</v>
      </c>
      <c r="O39" s="775">
        <v>2120376</v>
      </c>
      <c r="P39" s="776"/>
      <c r="Q39" s="524">
        <f>40079.81*19.84</f>
        <v>795183.43039999995</v>
      </c>
      <c r="R39" s="777" t="s">
        <v>491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>
        <v>12001</v>
      </c>
      <c r="L40" s="773" t="s">
        <v>556</v>
      </c>
      <c r="M40" s="759">
        <v>37120</v>
      </c>
      <c r="N40" s="774" t="s">
        <v>557</v>
      </c>
      <c r="O40" s="775">
        <v>2120377</v>
      </c>
      <c r="P40" s="776"/>
      <c r="Q40" s="524">
        <f>40329.65*19.84</f>
        <v>800140.25600000005</v>
      </c>
      <c r="R40" s="777" t="s">
        <v>491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>
        <v>12161</v>
      </c>
      <c r="L41" s="773" t="s">
        <v>554</v>
      </c>
      <c r="M41" s="759">
        <v>27840</v>
      </c>
      <c r="N41" s="774" t="s">
        <v>558</v>
      </c>
      <c r="O41" s="775">
        <v>2118755</v>
      </c>
      <c r="P41" s="776"/>
      <c r="Q41" s="524">
        <f>41623.36*19.62</f>
        <v>816650.3232000001</v>
      </c>
      <c r="R41" s="777" t="s">
        <v>462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>
        <v>12151</v>
      </c>
      <c r="L42" s="773" t="s">
        <v>555</v>
      </c>
      <c r="M42" s="759">
        <v>27840</v>
      </c>
      <c r="N42" s="774" t="s">
        <v>558</v>
      </c>
      <c r="O42" s="775">
        <v>2118757</v>
      </c>
      <c r="P42" s="776"/>
      <c r="Q42" s="524">
        <f>41001.07*19.825</f>
        <v>812846.21274999995</v>
      </c>
      <c r="R42" s="777" t="s">
        <v>464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>
        <v>11151</v>
      </c>
      <c r="L43" s="773" t="s">
        <v>557</v>
      </c>
      <c r="M43" s="759">
        <v>37120</v>
      </c>
      <c r="N43" s="774" t="s">
        <v>557</v>
      </c>
      <c r="O43" s="775">
        <v>2120378</v>
      </c>
      <c r="P43" s="776"/>
      <c r="Q43" s="524">
        <f>39456.7*19.785</f>
        <v>780650.80949999997</v>
      </c>
      <c r="R43" s="777" t="s">
        <v>459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564</v>
      </c>
      <c r="K44" s="382">
        <v>11151</v>
      </c>
      <c r="L44" s="594" t="s">
        <v>555</v>
      </c>
      <c r="M44" s="759">
        <v>27840</v>
      </c>
      <c r="N44" s="780" t="s">
        <v>558</v>
      </c>
      <c r="O44" s="385">
        <v>2119673</v>
      </c>
      <c r="P44" s="384"/>
      <c r="Q44" s="386">
        <f>41440.77*19.825</f>
        <v>821563.26524999994</v>
      </c>
      <c r="R44" s="1163" t="s">
        <v>464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533</v>
      </c>
      <c r="K45" s="382">
        <v>12001</v>
      </c>
      <c r="L45" s="594" t="s">
        <v>559</v>
      </c>
      <c r="M45" s="382">
        <v>37120</v>
      </c>
      <c r="N45" s="595" t="s">
        <v>560</v>
      </c>
      <c r="O45" s="385">
        <v>2121338</v>
      </c>
      <c r="P45" s="384"/>
      <c r="Q45" s="386">
        <f>41121.55*19.755</f>
        <v>812356.22025000001</v>
      </c>
      <c r="R45" s="1163" t="s">
        <v>552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534</v>
      </c>
      <c r="K46" s="382">
        <v>12151</v>
      </c>
      <c r="L46" s="594" t="s">
        <v>559</v>
      </c>
      <c r="M46" s="382">
        <v>37120</v>
      </c>
      <c r="N46" s="595" t="s">
        <v>560</v>
      </c>
      <c r="O46" s="385">
        <v>2121710</v>
      </c>
      <c r="P46" s="384"/>
      <c r="Q46" s="386">
        <f>41897.13*19.755</f>
        <v>827677.80314999993</v>
      </c>
      <c r="R46" s="1163" t="s">
        <v>548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535</v>
      </c>
      <c r="K47" s="382">
        <v>11151</v>
      </c>
      <c r="L47" s="594" t="s">
        <v>559</v>
      </c>
      <c r="M47" s="581">
        <v>37120</v>
      </c>
      <c r="N47" s="595" t="s">
        <v>560</v>
      </c>
      <c r="O47" s="388">
        <v>1251040</v>
      </c>
      <c r="P47" s="384"/>
      <c r="Q47" s="386">
        <f>41038.39*19.385</f>
        <v>795529.19015000004</v>
      </c>
      <c r="R47" s="1163" t="s">
        <v>545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540</v>
      </c>
      <c r="K48" s="382">
        <v>12161</v>
      </c>
      <c r="L48" s="594" t="s">
        <v>560</v>
      </c>
      <c r="M48" s="582">
        <v>37120</v>
      </c>
      <c r="N48" s="595" t="s">
        <v>561</v>
      </c>
      <c r="O48" s="385">
        <v>2122567</v>
      </c>
      <c r="P48" s="384"/>
      <c r="Q48" s="386">
        <f>39019.09*19.4</f>
        <v>756970.3459999999</v>
      </c>
      <c r="R48" s="1163" t="s">
        <v>543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541</v>
      </c>
      <c r="K49" s="382">
        <v>16951</v>
      </c>
      <c r="L49" s="594" t="s">
        <v>561</v>
      </c>
      <c r="M49" s="582">
        <v>37120</v>
      </c>
      <c r="N49" s="595" t="s">
        <v>562</v>
      </c>
      <c r="O49" s="385">
        <v>2122566</v>
      </c>
      <c r="P49" s="384"/>
      <c r="Q49" s="386">
        <f>39410.18*19.755</f>
        <v>778548.10589999997</v>
      </c>
      <c r="R49" s="1163" t="s">
        <v>548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1163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1163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4"/>
      <c r="P98" s="804"/>
      <c r="Q98" s="899"/>
      <c r="R98" s="811"/>
      <c r="S98" s="65"/>
      <c r="T98" s="170"/>
    </row>
    <row r="99" spans="1:20" s="152" customFormat="1" ht="26.25" customHeight="1" x14ac:dyDescent="0.25">
      <c r="A99" s="100">
        <v>61</v>
      </c>
      <c r="B99" s="901" t="s">
        <v>353</v>
      </c>
      <c r="C99" s="803" t="s">
        <v>71</v>
      </c>
      <c r="D99" s="1037"/>
      <c r="E99" s="1045">
        <v>44893</v>
      </c>
      <c r="F99" s="1039">
        <v>2810.63</v>
      </c>
      <c r="G99" s="803">
        <v>94</v>
      </c>
      <c r="H99" s="1040">
        <v>2810.63</v>
      </c>
      <c r="I99" s="467">
        <f>H99-F99</f>
        <v>0</v>
      </c>
      <c r="J99" s="968"/>
      <c r="K99" s="759"/>
      <c r="L99" s="773"/>
      <c r="M99" s="759"/>
      <c r="N99" s="969"/>
      <c r="O99" s="770"/>
      <c r="P99" s="763"/>
      <c r="Q99" s="1041"/>
      <c r="R99" s="1042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3" t="s">
        <v>178</v>
      </c>
      <c r="D100" s="1044"/>
      <c r="E100" s="1046">
        <v>44894</v>
      </c>
      <c r="F100" s="1068">
        <v>248.57</v>
      </c>
      <c r="G100" s="1069">
        <v>21</v>
      </c>
      <c r="H100" s="1047">
        <v>248.57</v>
      </c>
      <c r="I100" s="467">
        <f>H100-F100</f>
        <v>0</v>
      </c>
      <c r="J100" s="968"/>
      <c r="K100" s="759"/>
      <c r="L100" s="773"/>
      <c r="M100" s="759"/>
      <c r="N100" s="969"/>
      <c r="O100" s="1089" t="s">
        <v>382</v>
      </c>
      <c r="P100" s="763"/>
      <c r="Q100" s="523">
        <v>21128.45</v>
      </c>
      <c r="R100" s="1094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2" t="s">
        <v>468</v>
      </c>
      <c r="C101" s="1120" t="s">
        <v>484</v>
      </c>
      <c r="D101" s="1044" t="s">
        <v>485</v>
      </c>
      <c r="E101" s="1046">
        <v>44896</v>
      </c>
      <c r="F101" s="1068">
        <f>74.1+62.32+77.38+71.36</f>
        <v>285.15999999999997</v>
      </c>
      <c r="G101" s="1069"/>
      <c r="H101" s="1047">
        <v>285.16000000000003</v>
      </c>
      <c r="I101" s="467">
        <f t="shared" ref="I101:I102" si="18">H101-F101</f>
        <v>0</v>
      </c>
      <c r="J101" s="968"/>
      <c r="K101" s="759"/>
      <c r="L101" s="773"/>
      <c r="M101" s="759"/>
      <c r="N101" s="969"/>
      <c r="O101" s="1112" t="s">
        <v>486</v>
      </c>
      <c r="P101" s="1100"/>
      <c r="Q101" s="1103">
        <f>74.1*38+62.32*78+77.38*90+71.36*110</f>
        <v>22490.559999999998</v>
      </c>
      <c r="R101" s="1121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21" t="s">
        <v>80</v>
      </c>
      <c r="C102" s="907" t="s">
        <v>179</v>
      </c>
      <c r="D102" s="900"/>
      <c r="E102" s="902">
        <v>44897</v>
      </c>
      <c r="F102" s="904">
        <v>1004.87</v>
      </c>
      <c r="G102" s="900">
        <v>84</v>
      </c>
      <c r="H102" s="904">
        <v>1004.87</v>
      </c>
      <c r="I102" s="467">
        <f t="shared" si="18"/>
        <v>0</v>
      </c>
      <c r="J102" s="971"/>
      <c r="K102" s="759"/>
      <c r="L102" s="972"/>
      <c r="M102" s="759"/>
      <c r="N102" s="1074"/>
      <c r="O102" s="1223" t="s">
        <v>356</v>
      </c>
      <c r="P102" s="1096"/>
      <c r="Q102" s="1093">
        <v>99482.13</v>
      </c>
      <c r="R102" s="1179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22"/>
      <c r="C103" s="1048" t="s">
        <v>178</v>
      </c>
      <c r="D103" s="1037"/>
      <c r="E103" s="1038">
        <v>44897</v>
      </c>
      <c r="F103" s="1039">
        <v>106.18</v>
      </c>
      <c r="G103" s="803">
        <v>9</v>
      </c>
      <c r="H103" s="1040">
        <v>106.18</v>
      </c>
      <c r="I103" s="467">
        <f t="shared" ref="I103:I134" si="21">H103-F103</f>
        <v>0</v>
      </c>
      <c r="J103" s="970"/>
      <c r="K103" s="973"/>
      <c r="L103" s="974"/>
      <c r="M103" s="759"/>
      <c r="N103" s="1074"/>
      <c r="O103" s="1224"/>
      <c r="P103" s="1096"/>
      <c r="Q103" s="1093">
        <v>9025.2999999999993</v>
      </c>
      <c r="R103" s="1180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7" t="s">
        <v>468</v>
      </c>
      <c r="C104" s="1111" t="s">
        <v>474</v>
      </c>
      <c r="D104" s="1037" t="s">
        <v>469</v>
      </c>
      <c r="E104" s="1038">
        <v>44897</v>
      </c>
      <c r="F104" s="1039">
        <v>7423.12</v>
      </c>
      <c r="G104" s="803">
        <v>8</v>
      </c>
      <c r="H104" s="1040">
        <v>7423.12</v>
      </c>
      <c r="I104" s="467">
        <f t="shared" si="21"/>
        <v>0</v>
      </c>
      <c r="J104" s="970"/>
      <c r="K104" s="973"/>
      <c r="L104" s="974"/>
      <c r="M104" s="759"/>
      <c r="N104" s="1074"/>
      <c r="O104" s="1105" t="s">
        <v>470</v>
      </c>
      <c r="P104" s="1096"/>
      <c r="Q104" s="1093">
        <v>181867</v>
      </c>
      <c r="R104" s="1106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9" t="s">
        <v>97</v>
      </c>
      <c r="C105" s="900" t="s">
        <v>359</v>
      </c>
      <c r="D105" s="900"/>
      <c r="E105" s="902">
        <v>44898</v>
      </c>
      <c r="F105" s="904">
        <v>5008.4799999999996</v>
      </c>
      <c r="G105" s="900">
        <v>184</v>
      </c>
      <c r="H105" s="904">
        <v>5008.4799999999996</v>
      </c>
      <c r="I105" s="467">
        <f t="shared" si="21"/>
        <v>0</v>
      </c>
      <c r="J105" s="971"/>
      <c r="K105" s="759"/>
      <c r="L105" s="972"/>
      <c r="M105" s="759"/>
      <c r="N105" s="977"/>
      <c r="O105" s="1097" t="s">
        <v>456</v>
      </c>
      <c r="P105" s="1085" t="s">
        <v>457</v>
      </c>
      <c r="Q105" s="526">
        <v>443250.48</v>
      </c>
      <c r="R105" s="1095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7" t="s">
        <v>177</v>
      </c>
      <c r="C106" s="900" t="s">
        <v>359</v>
      </c>
      <c r="D106" s="920"/>
      <c r="E106" s="902">
        <v>44900</v>
      </c>
      <c r="F106" s="904">
        <v>9016.44</v>
      </c>
      <c r="G106" s="900">
        <v>331</v>
      </c>
      <c r="H106" s="904">
        <v>9016.44</v>
      </c>
      <c r="I106" s="467">
        <f t="shared" si="21"/>
        <v>0</v>
      </c>
      <c r="J106" s="971"/>
      <c r="K106" s="759"/>
      <c r="L106" s="972"/>
      <c r="M106" s="759"/>
      <c r="N106" s="977"/>
      <c r="O106" s="764" t="s">
        <v>360</v>
      </c>
      <c r="P106" s="761"/>
      <c r="Q106" s="526">
        <v>775413.84</v>
      </c>
      <c r="R106" s="769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03" t="s">
        <v>371</v>
      </c>
      <c r="C107" s="1048" t="s">
        <v>43</v>
      </c>
      <c r="D107" s="1037"/>
      <c r="E107" s="1038">
        <v>44900</v>
      </c>
      <c r="F107" s="1039">
        <v>1502.74</v>
      </c>
      <c r="G107" s="803">
        <v>331</v>
      </c>
      <c r="H107" s="1040">
        <v>1502.74</v>
      </c>
      <c r="I107" s="467">
        <f t="shared" si="21"/>
        <v>0</v>
      </c>
      <c r="J107" s="968"/>
      <c r="K107" s="759"/>
      <c r="L107" s="972"/>
      <c r="M107" s="759"/>
      <c r="N107" s="976"/>
      <c r="O107" s="1206" t="s">
        <v>374</v>
      </c>
      <c r="P107" s="978"/>
      <c r="Q107" s="526">
        <v>66120.56</v>
      </c>
      <c r="R107" s="1200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04"/>
      <c r="C108" s="1056" t="s">
        <v>372</v>
      </c>
      <c r="D108" s="373"/>
      <c r="E108" s="902">
        <v>44900</v>
      </c>
      <c r="F108" s="904">
        <v>150</v>
      </c>
      <c r="G108" s="900">
        <v>15</v>
      </c>
      <c r="H108" s="904">
        <v>150</v>
      </c>
      <c r="I108" s="467">
        <f t="shared" si="21"/>
        <v>0</v>
      </c>
      <c r="J108" s="968"/>
      <c r="K108" s="759"/>
      <c r="L108" s="972"/>
      <c r="M108" s="759"/>
      <c r="N108" s="976"/>
      <c r="O108" s="1207"/>
      <c r="P108" s="978"/>
      <c r="Q108" s="526">
        <v>12750</v>
      </c>
      <c r="R108" s="1201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04"/>
      <c r="C109" s="907" t="s">
        <v>75</v>
      </c>
      <c r="D109" s="900"/>
      <c r="E109" s="902">
        <v>44900</v>
      </c>
      <c r="F109" s="904">
        <v>5</v>
      </c>
      <c r="G109" s="900">
        <v>1</v>
      </c>
      <c r="H109" s="904">
        <v>5</v>
      </c>
      <c r="I109" s="910">
        <f t="shared" si="21"/>
        <v>0</v>
      </c>
      <c r="J109" s="968"/>
      <c r="K109" s="759"/>
      <c r="L109" s="972"/>
      <c r="M109" s="759"/>
      <c r="N109" s="976"/>
      <c r="O109" s="1207"/>
      <c r="P109" s="759"/>
      <c r="Q109" s="526">
        <v>1500</v>
      </c>
      <c r="R109" s="1201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05"/>
      <c r="C110" s="907" t="s">
        <v>373</v>
      </c>
      <c r="D110" s="900"/>
      <c r="E110" s="902">
        <v>44900</v>
      </c>
      <c r="F110" s="904">
        <v>20</v>
      </c>
      <c r="G110" s="900">
        <v>1</v>
      </c>
      <c r="H110" s="904">
        <v>20</v>
      </c>
      <c r="I110" s="409">
        <f t="shared" si="21"/>
        <v>0</v>
      </c>
      <c r="J110" s="968"/>
      <c r="K110" s="759"/>
      <c r="L110" s="972"/>
      <c r="M110" s="759"/>
      <c r="N110" s="976"/>
      <c r="O110" s="1208"/>
      <c r="P110" s="759"/>
      <c r="Q110" s="526">
        <v>4600</v>
      </c>
      <c r="R110" s="1202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9" t="s">
        <v>468</v>
      </c>
      <c r="C111" s="907" t="s">
        <v>481</v>
      </c>
      <c r="D111" s="1110" t="s">
        <v>482</v>
      </c>
      <c r="E111" s="1117">
        <v>44901</v>
      </c>
      <c r="F111" s="904">
        <v>23628</v>
      </c>
      <c r="G111" s="900"/>
      <c r="H111" s="904">
        <v>23628</v>
      </c>
      <c r="I111" s="467">
        <f t="shared" si="21"/>
        <v>0</v>
      </c>
      <c r="J111" s="968"/>
      <c r="K111" s="759"/>
      <c r="L111" s="972"/>
      <c r="M111" s="759"/>
      <c r="N111" s="976"/>
      <c r="O111" s="1090" t="s">
        <v>483</v>
      </c>
      <c r="P111" s="1118"/>
      <c r="Q111" s="526">
        <v>23628</v>
      </c>
      <c r="R111" s="1088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8" t="s">
        <v>180</v>
      </c>
      <c r="C112" s="918" t="s">
        <v>181</v>
      </c>
      <c r="D112" s="755"/>
      <c r="E112" s="812">
        <v>44902</v>
      </c>
      <c r="F112" s="903">
        <v>1984.8</v>
      </c>
      <c r="G112" s="679">
        <v>5</v>
      </c>
      <c r="H112" s="906">
        <v>1984.8</v>
      </c>
      <c r="I112" s="467">
        <f t="shared" ref="I112:I113" si="28">H112-F112</f>
        <v>0</v>
      </c>
      <c r="J112" s="968"/>
      <c r="K112" s="759"/>
      <c r="L112" s="972"/>
      <c r="M112" s="759">
        <v>4176</v>
      </c>
      <c r="N112" s="976" t="s">
        <v>547</v>
      </c>
      <c r="O112" s="1072" t="s">
        <v>379</v>
      </c>
      <c r="P112" s="1087"/>
      <c r="Q112" s="526">
        <f>150000+42336</f>
        <v>192336</v>
      </c>
      <c r="R112" s="769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5" customFormat="1" ht="43.5" customHeight="1" thickBot="1" x14ac:dyDescent="0.3">
      <c r="A113" s="100">
        <v>75</v>
      </c>
      <c r="B113" s="1116" t="s">
        <v>468</v>
      </c>
      <c r="C113" s="1048" t="s">
        <v>478</v>
      </c>
      <c r="D113" s="1037" t="s">
        <v>479</v>
      </c>
      <c r="E113" s="1038">
        <v>44902</v>
      </c>
      <c r="F113" s="1039">
        <v>272</v>
      </c>
      <c r="G113" s="803"/>
      <c r="H113" s="1040">
        <v>272</v>
      </c>
      <c r="I113" s="467">
        <f t="shared" si="28"/>
        <v>0</v>
      </c>
      <c r="J113" s="968"/>
      <c r="K113" s="759"/>
      <c r="L113" s="972"/>
      <c r="M113" s="759"/>
      <c r="N113" s="1074"/>
      <c r="O113" s="1112" t="s">
        <v>480</v>
      </c>
      <c r="P113" s="1113"/>
      <c r="Q113" s="1086">
        <v>34000</v>
      </c>
      <c r="R113" s="1114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189" t="s">
        <v>422</v>
      </c>
      <c r="C114" s="907" t="s">
        <v>77</v>
      </c>
      <c r="D114" s="900"/>
      <c r="E114" s="560">
        <v>44900</v>
      </c>
      <c r="F114" s="904">
        <v>1109.3900000000001</v>
      </c>
      <c r="G114" s="900">
        <v>40</v>
      </c>
      <c r="H114" s="904">
        <v>1109.3900000000001</v>
      </c>
      <c r="I114" s="467">
        <f t="shared" si="21"/>
        <v>0</v>
      </c>
      <c r="J114" s="968"/>
      <c r="K114" s="759"/>
      <c r="L114" s="972"/>
      <c r="M114" s="759"/>
      <c r="N114" s="1074"/>
      <c r="O114" s="1192">
        <v>19343</v>
      </c>
      <c r="P114" s="1212" t="s">
        <v>457</v>
      </c>
      <c r="Q114" s="1086">
        <v>99845.1</v>
      </c>
      <c r="R114" s="1209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190"/>
      <c r="C115" s="907" t="s">
        <v>423</v>
      </c>
      <c r="D115" s="900"/>
      <c r="E115" s="560">
        <v>44900</v>
      </c>
      <c r="F115" s="904">
        <v>3050.42</v>
      </c>
      <c r="G115" s="900">
        <v>115</v>
      </c>
      <c r="H115" s="904">
        <v>3050.42</v>
      </c>
      <c r="I115" s="467">
        <f t="shared" si="21"/>
        <v>0</v>
      </c>
      <c r="J115" s="968"/>
      <c r="K115" s="759"/>
      <c r="L115" s="975"/>
      <c r="M115" s="759"/>
      <c r="N115" s="1075"/>
      <c r="O115" s="1193"/>
      <c r="P115" s="1213"/>
      <c r="Q115" s="1086">
        <v>222680.66</v>
      </c>
      <c r="R115" s="1210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191"/>
      <c r="C116" s="907" t="s">
        <v>395</v>
      </c>
      <c r="D116" s="900"/>
      <c r="E116" s="560">
        <v>44900</v>
      </c>
      <c r="F116" s="904">
        <v>2944.1</v>
      </c>
      <c r="G116" s="900">
        <v>125</v>
      </c>
      <c r="H116" s="904">
        <v>2944.1</v>
      </c>
      <c r="I116" s="467">
        <f t="shared" si="21"/>
        <v>0</v>
      </c>
      <c r="J116" s="968"/>
      <c r="K116" s="759"/>
      <c r="L116" s="975"/>
      <c r="M116" s="759"/>
      <c r="N116" s="1075"/>
      <c r="O116" s="1194"/>
      <c r="P116" s="1214"/>
      <c r="Q116" s="1086">
        <v>247304.4</v>
      </c>
      <c r="R116" s="1211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7" t="s">
        <v>468</v>
      </c>
      <c r="C117" s="907" t="s">
        <v>476</v>
      </c>
      <c r="D117" s="1110" t="s">
        <v>475</v>
      </c>
      <c r="E117" s="560">
        <v>44902</v>
      </c>
      <c r="F117" s="904">
        <f>89.34+101.98+78.24+11.36+78.9+43.92+2.5+90.96</f>
        <v>497.20000000000005</v>
      </c>
      <c r="G117" s="900"/>
      <c r="H117" s="904">
        <v>497.2</v>
      </c>
      <c r="I117" s="467">
        <f t="shared" si="21"/>
        <v>0</v>
      </c>
      <c r="J117" s="968"/>
      <c r="K117" s="759"/>
      <c r="L117" s="975"/>
      <c r="M117" s="759"/>
      <c r="N117" s="1075"/>
      <c r="O117" s="1108" t="s">
        <v>477</v>
      </c>
      <c r="P117" s="1109"/>
      <c r="Q117" s="1086">
        <f>89.34*80+101.98*90+78.24*110+11.36*90+78.9*90+43.92*90+2.5*80+90.96*78</f>
        <v>44302.880000000005</v>
      </c>
      <c r="R117" s="1091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7" t="s">
        <v>468</v>
      </c>
      <c r="C118" s="907" t="s">
        <v>473</v>
      </c>
      <c r="D118" s="1110" t="s">
        <v>472</v>
      </c>
      <c r="E118" s="560">
        <v>44903</v>
      </c>
      <c r="F118" s="904">
        <f>14.78+87.72+20.76+112.18+123.34+78.74</f>
        <v>437.52</v>
      </c>
      <c r="G118" s="900"/>
      <c r="H118" s="904">
        <v>437.52</v>
      </c>
      <c r="I118" s="467">
        <f t="shared" si="21"/>
        <v>0</v>
      </c>
      <c r="J118" s="968"/>
      <c r="K118" s="759"/>
      <c r="L118" s="975"/>
      <c r="M118" s="759"/>
      <c r="N118" s="1075"/>
      <c r="O118" s="1108" t="s">
        <v>471</v>
      </c>
      <c r="P118" s="1109"/>
      <c r="Q118" s="1086">
        <f>14.78*90+87.72*80+20.76*80+112.18*90+123.34*90+78.74*110</f>
        <v>39866.800000000003</v>
      </c>
      <c r="R118" s="1091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7" t="s">
        <v>422</v>
      </c>
      <c r="C119" s="907" t="s">
        <v>427</v>
      </c>
      <c r="D119" s="920"/>
      <c r="E119" s="1078">
        <v>44905</v>
      </c>
      <c r="F119" s="904">
        <v>2835.98</v>
      </c>
      <c r="G119" s="900">
        <v>120</v>
      </c>
      <c r="H119" s="904">
        <v>2835.98</v>
      </c>
      <c r="I119" s="467">
        <f t="shared" si="21"/>
        <v>0</v>
      </c>
      <c r="J119" s="968"/>
      <c r="K119" s="759"/>
      <c r="L119" s="975"/>
      <c r="M119" s="759"/>
      <c r="N119" s="977"/>
      <c r="O119" s="1076">
        <v>19336</v>
      </c>
      <c r="P119" s="1092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9" t="s">
        <v>371</v>
      </c>
      <c r="C120" s="900" t="s">
        <v>428</v>
      </c>
      <c r="D120" s="900"/>
      <c r="E120" s="902">
        <v>44907</v>
      </c>
      <c r="F120" s="904">
        <v>150</v>
      </c>
      <c r="G120" s="900">
        <v>15</v>
      </c>
      <c r="H120" s="904">
        <v>150</v>
      </c>
      <c r="I120" s="467">
        <f t="shared" si="21"/>
        <v>0</v>
      </c>
      <c r="J120" s="968"/>
      <c r="K120" s="759"/>
      <c r="L120" s="972"/>
      <c r="M120" s="759"/>
      <c r="N120" s="976"/>
      <c r="O120" s="771" t="s">
        <v>429</v>
      </c>
      <c r="P120" s="898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0" t="s">
        <v>97</v>
      </c>
      <c r="C121" s="900" t="s">
        <v>435</v>
      </c>
      <c r="D121" s="920"/>
      <c r="E121" s="1084">
        <v>44909</v>
      </c>
      <c r="F121" s="904">
        <v>5032.8</v>
      </c>
      <c r="G121" s="900">
        <v>166</v>
      </c>
      <c r="H121" s="904">
        <v>5029.8</v>
      </c>
      <c r="I121" s="705">
        <f t="shared" si="21"/>
        <v>-3</v>
      </c>
      <c r="J121" s="968"/>
      <c r="K121" s="759"/>
      <c r="L121" s="972"/>
      <c r="M121" s="759"/>
      <c r="N121" s="976"/>
      <c r="O121" s="1101" t="s">
        <v>546</v>
      </c>
      <c r="P121" s="1085" t="s">
        <v>457</v>
      </c>
      <c r="Q121" s="526">
        <v>624067.19999999995</v>
      </c>
      <c r="R121" s="1104" t="s">
        <v>545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195" t="s">
        <v>180</v>
      </c>
      <c r="C122" s="1079" t="s">
        <v>442</v>
      </c>
      <c r="D122" s="1081"/>
      <c r="E122" s="1198">
        <v>44914</v>
      </c>
      <c r="F122" s="1083">
        <v>59.25</v>
      </c>
      <c r="G122" s="900"/>
      <c r="H122" s="904">
        <v>59.25</v>
      </c>
      <c r="I122" s="705">
        <f t="shared" si="21"/>
        <v>0</v>
      </c>
      <c r="J122" s="968"/>
      <c r="K122" s="759"/>
      <c r="L122" s="972"/>
      <c r="M122" s="759"/>
      <c r="N122" s="1074"/>
      <c r="O122" s="1181" t="s">
        <v>466</v>
      </c>
      <c r="P122" s="1098"/>
      <c r="Q122" s="1093">
        <v>8235.75</v>
      </c>
      <c r="R122" s="1184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196"/>
      <c r="C123" s="907" t="s">
        <v>443</v>
      </c>
      <c r="D123" s="1082"/>
      <c r="E123" s="1199"/>
      <c r="F123" s="1083">
        <v>70.45</v>
      </c>
      <c r="G123" s="900"/>
      <c r="H123" s="904">
        <v>70.45</v>
      </c>
      <c r="I123" s="105">
        <f t="shared" si="21"/>
        <v>0</v>
      </c>
      <c r="J123" s="968"/>
      <c r="K123" s="759"/>
      <c r="L123" s="972"/>
      <c r="M123" s="759"/>
      <c r="N123" s="1074"/>
      <c r="O123" s="1182"/>
      <c r="P123" s="1099"/>
      <c r="Q123" s="1103">
        <v>9792.5499999999993</v>
      </c>
      <c r="R123" s="1185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196"/>
      <c r="C124" s="907" t="s">
        <v>443</v>
      </c>
      <c r="D124" s="1082"/>
      <c r="E124" s="1199"/>
      <c r="F124" s="1083">
        <v>38.5</v>
      </c>
      <c r="G124" s="900"/>
      <c r="H124" s="904">
        <v>38.5</v>
      </c>
      <c r="I124" s="105">
        <f t="shared" si="21"/>
        <v>0</v>
      </c>
      <c r="J124" s="968"/>
      <c r="K124" s="759"/>
      <c r="L124" s="972"/>
      <c r="M124" s="759"/>
      <c r="N124" s="1074"/>
      <c r="O124" s="1182"/>
      <c r="P124" s="1100"/>
      <c r="Q124" s="1103">
        <v>5197.5</v>
      </c>
      <c r="R124" s="1185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196"/>
      <c r="C125" s="907" t="s">
        <v>444</v>
      </c>
      <c r="D125" s="1082"/>
      <c r="E125" s="1199"/>
      <c r="F125" s="1083">
        <v>60.9</v>
      </c>
      <c r="G125" s="900"/>
      <c r="H125" s="904">
        <v>60.9</v>
      </c>
      <c r="I125" s="105">
        <f t="shared" si="21"/>
        <v>0</v>
      </c>
      <c r="J125" s="968"/>
      <c r="K125" s="759"/>
      <c r="L125" s="972"/>
      <c r="M125" s="759"/>
      <c r="N125" s="1074"/>
      <c r="O125" s="1182"/>
      <c r="P125" s="1100"/>
      <c r="Q125" s="1103">
        <v>8160.6</v>
      </c>
      <c r="R125" s="1185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196"/>
      <c r="C126" s="907" t="s">
        <v>445</v>
      </c>
      <c r="D126" s="1082"/>
      <c r="E126" s="1199"/>
      <c r="F126" s="1083">
        <v>105.55</v>
      </c>
      <c r="G126" s="900"/>
      <c r="H126" s="904">
        <v>105.55</v>
      </c>
      <c r="I126" s="105">
        <f t="shared" si="21"/>
        <v>0</v>
      </c>
      <c r="J126" s="968"/>
      <c r="K126" s="759"/>
      <c r="L126" s="972"/>
      <c r="M126" s="759"/>
      <c r="N126" s="1074"/>
      <c r="O126" s="1182"/>
      <c r="P126" s="1100"/>
      <c r="Q126" s="1103">
        <v>13615.95</v>
      </c>
      <c r="R126" s="1185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197"/>
      <c r="C127" s="907" t="s">
        <v>446</v>
      </c>
      <c r="D127" s="1082"/>
      <c r="E127" s="1199"/>
      <c r="F127" s="1083">
        <v>120</v>
      </c>
      <c r="G127" s="900"/>
      <c r="H127" s="904">
        <v>120</v>
      </c>
      <c r="I127" s="105">
        <f t="shared" si="21"/>
        <v>0</v>
      </c>
      <c r="J127" s="968"/>
      <c r="K127" s="759"/>
      <c r="L127" s="972"/>
      <c r="M127" s="759"/>
      <c r="N127" s="1074"/>
      <c r="O127" s="1183"/>
      <c r="P127" s="1100"/>
      <c r="Q127" s="1103">
        <v>9480</v>
      </c>
      <c r="R127" s="1186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25" t="s">
        <v>80</v>
      </c>
      <c r="C128" s="907" t="s">
        <v>179</v>
      </c>
      <c r="D128" s="1082"/>
      <c r="E128" s="1228">
        <v>44911</v>
      </c>
      <c r="F128" s="1083">
        <v>1008.29</v>
      </c>
      <c r="G128" s="900">
        <v>82</v>
      </c>
      <c r="H128" s="904">
        <v>1008.29</v>
      </c>
      <c r="I128" s="105">
        <f t="shared" si="21"/>
        <v>0</v>
      </c>
      <c r="J128" s="968"/>
      <c r="K128" s="759"/>
      <c r="L128" s="972"/>
      <c r="M128" s="759"/>
      <c r="N128" s="1074"/>
      <c r="O128" s="1231" t="s">
        <v>514</v>
      </c>
      <c r="P128" s="1100"/>
      <c r="Q128" s="1103">
        <v>99820.71</v>
      </c>
      <c r="R128" s="1174" t="s">
        <v>549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26"/>
      <c r="C129" s="1135" t="s">
        <v>515</v>
      </c>
      <c r="D129" s="1136"/>
      <c r="E129" s="1229"/>
      <c r="F129" s="1137">
        <v>503.78</v>
      </c>
      <c r="G129" s="679">
        <v>42</v>
      </c>
      <c r="H129" s="906">
        <v>503.78</v>
      </c>
      <c r="I129" s="105">
        <f t="shared" si="21"/>
        <v>0</v>
      </c>
      <c r="J129" s="968"/>
      <c r="K129" s="759"/>
      <c r="L129" s="972"/>
      <c r="M129" s="759"/>
      <c r="N129" s="1074"/>
      <c r="O129" s="1232"/>
      <c r="P129" s="1100"/>
      <c r="Q129" s="1103">
        <v>47859.1</v>
      </c>
      <c r="R129" s="1175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27"/>
      <c r="C130" s="1135" t="s">
        <v>178</v>
      </c>
      <c r="D130" s="1136"/>
      <c r="E130" s="1230"/>
      <c r="F130" s="1137">
        <v>508.54</v>
      </c>
      <c r="G130" s="679">
        <v>43</v>
      </c>
      <c r="H130" s="906">
        <v>508.54</v>
      </c>
      <c r="I130" s="105">
        <f t="shared" si="21"/>
        <v>0</v>
      </c>
      <c r="J130" s="968"/>
      <c r="K130" s="759"/>
      <c r="L130" s="972"/>
      <c r="M130" s="759"/>
      <c r="N130" s="1074"/>
      <c r="O130" s="1233"/>
      <c r="P130" s="1100"/>
      <c r="Q130" s="1103">
        <v>43225.9</v>
      </c>
      <c r="R130" s="1176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34" t="s">
        <v>371</v>
      </c>
      <c r="C131" s="1135" t="s">
        <v>43</v>
      </c>
      <c r="D131" s="1139"/>
      <c r="E131" s="1236">
        <v>44914</v>
      </c>
      <c r="F131" s="1137">
        <v>1003.34</v>
      </c>
      <c r="G131" s="679">
        <v>22</v>
      </c>
      <c r="H131" s="903">
        <v>1003.34</v>
      </c>
      <c r="I131" s="105">
        <f t="shared" si="21"/>
        <v>0</v>
      </c>
      <c r="J131" s="968"/>
      <c r="K131" s="759"/>
      <c r="L131" s="972"/>
      <c r="M131" s="759"/>
      <c r="N131" s="1074"/>
      <c r="O131" s="1238" t="s">
        <v>516</v>
      </c>
      <c r="P131" s="1100"/>
      <c r="Q131" s="1170"/>
      <c r="R131" s="1171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35"/>
      <c r="C132" s="1135" t="s">
        <v>428</v>
      </c>
      <c r="D132" s="1140"/>
      <c r="E132" s="1237"/>
      <c r="F132" s="1137">
        <v>150</v>
      </c>
      <c r="G132" s="679">
        <v>15</v>
      </c>
      <c r="H132" s="903">
        <v>150</v>
      </c>
      <c r="I132" s="105">
        <f t="shared" si="21"/>
        <v>0</v>
      </c>
      <c r="J132" s="968"/>
      <c r="K132" s="759"/>
      <c r="L132" s="972"/>
      <c r="M132" s="759"/>
      <c r="N132" s="1074"/>
      <c r="O132" s="1239"/>
      <c r="P132" s="1100"/>
      <c r="Q132" s="1170"/>
      <c r="R132" s="1172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8" t="s">
        <v>517</v>
      </c>
      <c r="C133" s="801" t="s">
        <v>518</v>
      </c>
      <c r="D133" s="678"/>
      <c r="E133" s="812">
        <v>44915</v>
      </c>
      <c r="F133" s="903">
        <v>1063.33</v>
      </c>
      <c r="G133" s="679">
        <v>52</v>
      </c>
      <c r="H133" s="903">
        <v>1085.3399999999999</v>
      </c>
      <c r="I133" s="105">
        <f t="shared" si="21"/>
        <v>22.009999999999991</v>
      </c>
      <c r="J133" s="968"/>
      <c r="K133" s="759"/>
      <c r="L133" s="972"/>
      <c r="M133" s="759"/>
      <c r="N133" s="976"/>
      <c r="O133" s="1097">
        <v>1666</v>
      </c>
      <c r="P133" s="1162" t="s">
        <v>457</v>
      </c>
      <c r="Q133" s="523">
        <v>150992.85999999999</v>
      </c>
      <c r="R133" s="760" t="s">
        <v>543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42" t="s">
        <v>80</v>
      </c>
      <c r="C134" s="801" t="s">
        <v>81</v>
      </c>
      <c r="D134" s="692"/>
      <c r="E134" s="677">
        <v>44916</v>
      </c>
      <c r="F134" s="903">
        <v>511.68</v>
      </c>
      <c r="G134" s="679">
        <v>29</v>
      </c>
      <c r="H134" s="903">
        <v>511.68</v>
      </c>
      <c r="I134" s="105">
        <f t="shared" si="21"/>
        <v>0</v>
      </c>
      <c r="J134" s="441"/>
      <c r="K134" s="382"/>
      <c r="L134" s="649"/>
      <c r="M134" s="382"/>
      <c r="N134" s="979"/>
      <c r="O134" s="1146" t="s">
        <v>519</v>
      </c>
      <c r="P134" s="762"/>
      <c r="Q134" s="523">
        <v>18420.48</v>
      </c>
      <c r="R134" s="760" t="s">
        <v>550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256" t="s">
        <v>97</v>
      </c>
      <c r="C135" s="1135" t="s">
        <v>520</v>
      </c>
      <c r="D135" s="678"/>
      <c r="E135" s="756">
        <v>44916</v>
      </c>
      <c r="F135" s="903">
        <v>524.9</v>
      </c>
      <c r="G135" s="679">
        <v>17</v>
      </c>
      <c r="H135" s="903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5"/>
      <c r="O135" s="1258" t="s">
        <v>544</v>
      </c>
      <c r="P135" s="1187" t="s">
        <v>457</v>
      </c>
      <c r="Q135" s="523">
        <v>44616.5</v>
      </c>
      <c r="R135" s="1177" t="s">
        <v>545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57"/>
      <c r="C136" s="1141" t="s">
        <v>521</v>
      </c>
      <c r="D136" s="526"/>
      <c r="E136" s="756">
        <v>44916</v>
      </c>
      <c r="F136" s="1144">
        <v>255.24</v>
      </c>
      <c r="G136" s="275">
        <v>10</v>
      </c>
      <c r="H136" s="905">
        <v>255.24</v>
      </c>
      <c r="I136" s="467">
        <f t="shared" si="44"/>
        <v>0</v>
      </c>
      <c r="J136" s="505"/>
      <c r="K136" s="382"/>
      <c r="L136" s="649"/>
      <c r="M136" s="382"/>
      <c r="N136" s="923"/>
      <c r="O136" s="1259"/>
      <c r="P136" s="1188"/>
      <c r="Q136" s="526">
        <v>20674.439999999999</v>
      </c>
      <c r="R136" s="1178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3" t="s">
        <v>177</v>
      </c>
      <c r="C137" s="801" t="s">
        <v>101</v>
      </c>
      <c r="D137" s="373"/>
      <c r="E137" s="756">
        <v>44917</v>
      </c>
      <c r="F137" s="905">
        <v>3945.8</v>
      </c>
      <c r="G137" s="575">
        <v>4</v>
      </c>
      <c r="H137" s="905">
        <v>3945.8</v>
      </c>
      <c r="I137" s="340">
        <f t="shared" si="44"/>
        <v>0</v>
      </c>
      <c r="J137" s="442"/>
      <c r="K137" s="382"/>
      <c r="L137" s="649"/>
      <c r="M137" s="382"/>
      <c r="N137" s="979"/>
      <c r="O137" s="1147" t="s">
        <v>522</v>
      </c>
      <c r="P137" s="763"/>
      <c r="Q137" s="523">
        <v>97855.84</v>
      </c>
      <c r="R137" s="765" t="s">
        <v>551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42" t="s">
        <v>526</v>
      </c>
      <c r="C138" s="800" t="s">
        <v>527</v>
      </c>
      <c r="D138" s="626"/>
      <c r="E138" s="1152">
        <v>44919</v>
      </c>
      <c r="F138" s="905">
        <v>5020</v>
      </c>
      <c r="G138" s="575">
        <v>220</v>
      </c>
      <c r="H138" s="905">
        <v>5020</v>
      </c>
      <c r="I138" s="340">
        <f t="shared" si="44"/>
        <v>0</v>
      </c>
      <c r="J138" s="442"/>
      <c r="K138" s="382"/>
      <c r="L138" s="649"/>
      <c r="M138" s="382"/>
      <c r="N138" s="979"/>
      <c r="O138" s="1154">
        <v>383278</v>
      </c>
      <c r="P138" s="763"/>
      <c r="Q138" s="1170"/>
      <c r="R138" s="1173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260" t="s">
        <v>97</v>
      </c>
      <c r="C139" s="1135" t="s">
        <v>435</v>
      </c>
      <c r="D139" s="1149"/>
      <c r="E139" s="1263">
        <v>44919</v>
      </c>
      <c r="F139" s="1151">
        <v>3952.07</v>
      </c>
      <c r="G139" s="575">
        <v>130</v>
      </c>
      <c r="H139" s="905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5"/>
      <c r="O139" s="1253"/>
      <c r="P139" s="1099"/>
      <c r="Q139" s="1170"/>
      <c r="R139" s="1173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261"/>
      <c r="C140" s="1135" t="s">
        <v>520</v>
      </c>
      <c r="D140" s="1150"/>
      <c r="E140" s="1264"/>
      <c r="F140" s="1151">
        <v>495.17</v>
      </c>
      <c r="G140" s="575">
        <v>17</v>
      </c>
      <c r="H140" s="905">
        <v>495.17</v>
      </c>
      <c r="I140" s="105">
        <f t="shared" si="47"/>
        <v>0</v>
      </c>
      <c r="J140" s="441"/>
      <c r="K140" s="382"/>
      <c r="L140" s="649"/>
      <c r="M140" s="382"/>
      <c r="N140" s="1145"/>
      <c r="O140" s="1266"/>
      <c r="P140" s="1099"/>
      <c r="Q140" s="1170"/>
      <c r="R140" s="1173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262"/>
      <c r="C141" s="1135" t="s">
        <v>528</v>
      </c>
      <c r="D141" s="1150"/>
      <c r="E141" s="1265"/>
      <c r="F141" s="1151">
        <v>495.07</v>
      </c>
      <c r="G141" s="575">
        <v>20</v>
      </c>
      <c r="H141" s="905">
        <v>495.07</v>
      </c>
      <c r="I141" s="105">
        <f t="shared" si="47"/>
        <v>0</v>
      </c>
      <c r="J141" s="441"/>
      <c r="K141" s="382"/>
      <c r="L141" s="649"/>
      <c r="M141" s="382"/>
      <c r="N141" s="1145"/>
      <c r="O141" s="1254"/>
      <c r="P141" s="1099"/>
      <c r="Q141" s="1170"/>
      <c r="R141" s="1173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6" t="s">
        <v>177</v>
      </c>
      <c r="C142" s="801" t="s">
        <v>101</v>
      </c>
      <c r="D142" s="693"/>
      <c r="E142" s="1153">
        <v>44921</v>
      </c>
      <c r="F142" s="905">
        <v>3696.3</v>
      </c>
      <c r="G142" s="575">
        <v>4</v>
      </c>
      <c r="H142" s="905">
        <v>3696.3</v>
      </c>
      <c r="I142" s="105">
        <f t="shared" si="47"/>
        <v>0</v>
      </c>
      <c r="J142" s="441"/>
      <c r="K142" s="382"/>
      <c r="L142" s="649"/>
      <c r="M142" s="382"/>
      <c r="N142" s="979"/>
      <c r="O142" s="1155" t="s">
        <v>529</v>
      </c>
      <c r="P142" s="762"/>
      <c r="Q142" s="1170"/>
      <c r="R142" s="1173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43" t="s">
        <v>422</v>
      </c>
      <c r="C143" s="1135" t="s">
        <v>530</v>
      </c>
      <c r="D143" s="693"/>
      <c r="E143" s="1248">
        <v>44921</v>
      </c>
      <c r="F143" s="905">
        <v>1531.83</v>
      </c>
      <c r="G143" s="575">
        <v>59</v>
      </c>
      <c r="H143" s="905">
        <v>1531.83</v>
      </c>
      <c r="I143" s="105">
        <f t="shared" si="47"/>
        <v>0</v>
      </c>
      <c r="J143" s="441"/>
      <c r="K143" s="382"/>
      <c r="L143" s="649"/>
      <c r="M143" s="382"/>
      <c r="N143" s="1145"/>
      <c r="O143" s="1245"/>
      <c r="P143" s="1099"/>
      <c r="Q143" s="1170"/>
      <c r="R143" s="1173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44"/>
      <c r="C144" s="1135" t="s">
        <v>102</v>
      </c>
      <c r="D144" s="693"/>
      <c r="E144" s="1249"/>
      <c r="F144" s="905">
        <v>1291.1099999999999</v>
      </c>
      <c r="G144" s="575">
        <v>44</v>
      </c>
      <c r="H144" s="905">
        <v>1291.1099999999999</v>
      </c>
      <c r="I144" s="105">
        <f t="shared" si="47"/>
        <v>0</v>
      </c>
      <c r="J144" s="441"/>
      <c r="K144" s="382"/>
      <c r="L144" s="649"/>
      <c r="M144" s="382"/>
      <c r="N144" s="1145"/>
      <c r="O144" s="1246"/>
      <c r="P144" s="1099"/>
      <c r="Q144" s="1170"/>
      <c r="R144" s="1173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35"/>
      <c r="C145" s="1135" t="s">
        <v>508</v>
      </c>
      <c r="D145" s="373"/>
      <c r="E145" s="1250"/>
      <c r="F145" s="905">
        <v>577.23</v>
      </c>
      <c r="G145" s="575">
        <v>19</v>
      </c>
      <c r="H145" s="905">
        <v>577.23</v>
      </c>
      <c r="I145" s="105">
        <f t="shared" si="47"/>
        <v>0</v>
      </c>
      <c r="J145" s="441"/>
      <c r="K145" s="382"/>
      <c r="L145" s="649"/>
      <c r="M145" s="382"/>
      <c r="N145" s="1145"/>
      <c r="O145" s="1247"/>
      <c r="P145" s="1100"/>
      <c r="Q145" s="1170"/>
      <c r="R145" s="1173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6" t="s">
        <v>531</v>
      </c>
      <c r="C146" s="1167" t="s">
        <v>532</v>
      </c>
      <c r="D146" s="693"/>
      <c r="E146" s="560">
        <v>44921</v>
      </c>
      <c r="F146" s="905">
        <v>18568</v>
      </c>
      <c r="G146" s="575">
        <v>620</v>
      </c>
      <c r="H146" s="905">
        <v>18568</v>
      </c>
      <c r="I146" s="105">
        <f t="shared" si="47"/>
        <v>0</v>
      </c>
      <c r="J146" s="1168" t="s">
        <v>565</v>
      </c>
      <c r="K146" s="382">
        <v>11151</v>
      </c>
      <c r="L146" s="649" t="s">
        <v>556</v>
      </c>
      <c r="M146" s="382">
        <v>27840</v>
      </c>
      <c r="N146" s="979" t="s">
        <v>559</v>
      </c>
      <c r="O146" s="1169">
        <v>2119827</v>
      </c>
      <c r="P146" s="762"/>
      <c r="Q146" s="523">
        <f>43391.95*19.84</f>
        <v>860896.28799999994</v>
      </c>
      <c r="R146" s="765" t="s">
        <v>491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243" t="s">
        <v>97</v>
      </c>
      <c r="C147" s="1135" t="s">
        <v>520</v>
      </c>
      <c r="D147" s="693"/>
      <c r="E147" s="1158">
        <v>44924</v>
      </c>
      <c r="F147" s="905">
        <v>1028.68</v>
      </c>
      <c r="G147" s="575">
        <v>35</v>
      </c>
      <c r="H147" s="905">
        <v>1028.68</v>
      </c>
      <c r="I147" s="105">
        <f t="shared" si="47"/>
        <v>0</v>
      </c>
      <c r="J147" s="441"/>
      <c r="K147" s="382"/>
      <c r="L147" s="649"/>
      <c r="M147" s="382"/>
      <c r="N147" s="1145"/>
      <c r="O147" s="1159"/>
      <c r="P147" s="1099"/>
      <c r="Q147" s="1170"/>
      <c r="R147" s="1173"/>
      <c r="S147" s="65"/>
      <c r="T147" s="170"/>
    </row>
    <row r="148" spans="1:20" s="152" customFormat="1" ht="30.75" customHeight="1" thickBot="1" x14ac:dyDescent="0.3">
      <c r="A148" s="100">
        <v>110</v>
      </c>
      <c r="B148" s="1255"/>
      <c r="C148" s="1135" t="s">
        <v>537</v>
      </c>
      <c r="D148" s="693"/>
      <c r="E148" s="1158">
        <v>44924</v>
      </c>
      <c r="F148" s="905">
        <v>978.48</v>
      </c>
      <c r="G148" s="575">
        <v>35</v>
      </c>
      <c r="H148" s="905">
        <v>978.48</v>
      </c>
      <c r="I148" s="105">
        <f t="shared" si="47"/>
        <v>0</v>
      </c>
      <c r="J148" s="441"/>
      <c r="K148" s="382"/>
      <c r="L148" s="649"/>
      <c r="M148" s="382"/>
      <c r="N148" s="1145"/>
      <c r="O148" s="1159"/>
      <c r="P148" s="1099"/>
      <c r="Q148" s="1170"/>
      <c r="R148" s="1173"/>
      <c r="S148" s="65"/>
      <c r="T148" s="170"/>
    </row>
    <row r="149" spans="1:20" s="152" customFormat="1" ht="24" customHeight="1" x14ac:dyDescent="0.25">
      <c r="A149" s="100">
        <v>111</v>
      </c>
      <c r="B149" s="1251" t="s">
        <v>371</v>
      </c>
      <c r="C149" s="1135" t="s">
        <v>43</v>
      </c>
      <c r="D149" s="693"/>
      <c r="E149" s="1248">
        <v>44925</v>
      </c>
      <c r="F149" s="905">
        <v>1502.74</v>
      </c>
      <c r="G149" s="575">
        <v>331</v>
      </c>
      <c r="H149" s="905">
        <v>1502.74</v>
      </c>
      <c r="I149" s="105">
        <f t="shared" si="47"/>
        <v>0</v>
      </c>
      <c r="J149" s="443"/>
      <c r="K149" s="382"/>
      <c r="L149" s="649"/>
      <c r="M149" s="382"/>
      <c r="N149" s="1157"/>
      <c r="O149" s="1253" t="s">
        <v>536</v>
      </c>
      <c r="P149" s="1100"/>
      <c r="Q149" s="523">
        <v>66120.56</v>
      </c>
      <c r="R149" s="1177" t="s">
        <v>545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252"/>
      <c r="C150" s="1135" t="s">
        <v>372</v>
      </c>
      <c r="D150" s="373"/>
      <c r="E150" s="1250"/>
      <c r="F150" s="905">
        <v>100</v>
      </c>
      <c r="G150" s="575">
        <v>10</v>
      </c>
      <c r="H150" s="905">
        <v>100</v>
      </c>
      <c r="I150" s="105">
        <f t="shared" si="47"/>
        <v>0</v>
      </c>
      <c r="J150" s="576"/>
      <c r="K150" s="382"/>
      <c r="L150" s="649"/>
      <c r="M150" s="382"/>
      <c r="N150" s="1157"/>
      <c r="O150" s="1254"/>
      <c r="P150" s="1100"/>
      <c r="Q150" s="523">
        <v>8500</v>
      </c>
      <c r="R150" s="1178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240" t="s">
        <v>422</v>
      </c>
      <c r="C151" s="1135" t="s">
        <v>71</v>
      </c>
      <c r="D151" s="373"/>
      <c r="E151" s="757">
        <v>44925</v>
      </c>
      <c r="F151" s="905">
        <v>5922.77</v>
      </c>
      <c r="G151" s="575">
        <v>205</v>
      </c>
      <c r="H151" s="905">
        <v>5922.77</v>
      </c>
      <c r="I151" s="105">
        <f t="shared" si="47"/>
        <v>0</v>
      </c>
      <c r="J151" s="576"/>
      <c r="K151" s="382"/>
      <c r="L151" s="649"/>
      <c r="M151" s="382"/>
      <c r="N151" s="1157"/>
      <c r="O151" s="1241"/>
      <c r="P151" s="1100"/>
      <c r="Q151" s="1170"/>
      <c r="R151" s="1173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35"/>
      <c r="C152" s="1135" t="s">
        <v>542</v>
      </c>
      <c r="D152" s="373"/>
      <c r="E152" s="757">
        <v>44925</v>
      </c>
      <c r="F152" s="905">
        <v>713.92</v>
      </c>
      <c r="G152" s="575">
        <v>27</v>
      </c>
      <c r="H152" s="905">
        <v>713.92</v>
      </c>
      <c r="I152" s="105">
        <f t="shared" si="47"/>
        <v>0</v>
      </c>
      <c r="J152" s="576"/>
      <c r="K152" s="382"/>
      <c r="L152" s="649"/>
      <c r="M152" s="382"/>
      <c r="N152" s="1157"/>
      <c r="O152" s="1242"/>
      <c r="P152" s="1100"/>
      <c r="Q152" s="1170"/>
      <c r="R152" s="1173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8"/>
      <c r="C153" s="801"/>
      <c r="D153" s="373"/>
      <c r="E153" s="757"/>
      <c r="F153" s="905"/>
      <c r="G153" s="575"/>
      <c r="H153" s="905"/>
      <c r="I153" s="105">
        <f t="shared" si="47"/>
        <v>0</v>
      </c>
      <c r="J153" s="576"/>
      <c r="K153" s="382"/>
      <c r="L153" s="649"/>
      <c r="M153" s="382"/>
      <c r="N153" s="649"/>
      <c r="O153" s="1102"/>
      <c r="P153" s="763"/>
      <c r="Q153" s="523"/>
      <c r="R153" s="76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1"/>
      <c r="C154" s="801"/>
      <c r="D154" s="693"/>
      <c r="E154" s="560"/>
      <c r="F154" s="905"/>
      <c r="G154" s="575"/>
      <c r="H154" s="905"/>
      <c r="I154" s="105">
        <f t="shared" ref="I154" si="48">H154-F154</f>
        <v>0</v>
      </c>
      <c r="J154" s="441"/>
      <c r="K154" s="382"/>
      <c r="L154" s="649"/>
      <c r="M154" s="382"/>
      <c r="N154" s="979"/>
      <c r="O154" s="767"/>
      <c r="P154" s="762"/>
      <c r="Q154" s="523"/>
      <c r="R154" s="76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2"/>
      <c r="C155" s="801"/>
      <c r="D155" s="373"/>
      <c r="E155" s="560"/>
      <c r="F155" s="905"/>
      <c r="G155" s="575"/>
      <c r="H155" s="905"/>
      <c r="I155" s="409">
        <f t="shared" si="47"/>
        <v>0</v>
      </c>
      <c r="J155" s="443"/>
      <c r="K155" s="382"/>
      <c r="L155" s="649"/>
      <c r="M155" s="382"/>
      <c r="N155" s="649"/>
      <c r="O155" s="766"/>
      <c r="P155" s="763"/>
      <c r="Q155" s="523"/>
      <c r="R155" s="76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1"/>
      <c r="C156" s="801"/>
      <c r="D156" s="373"/>
      <c r="E156" s="560"/>
      <c r="F156" s="905"/>
      <c r="G156" s="575"/>
      <c r="H156" s="905"/>
      <c r="I156" s="105">
        <f t="shared" si="47"/>
        <v>0</v>
      </c>
      <c r="J156" s="443"/>
      <c r="K156" s="382"/>
      <c r="L156" s="649"/>
      <c r="M156" s="382"/>
      <c r="N156" s="649"/>
      <c r="O156" s="767"/>
      <c r="P156" s="763"/>
      <c r="Q156" s="523"/>
      <c r="R156" s="76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1"/>
      <c r="C157" s="801"/>
      <c r="D157" s="373"/>
      <c r="E157" s="560"/>
      <c r="F157" s="556"/>
      <c r="G157" s="575"/>
      <c r="H157" s="905"/>
      <c r="I157" s="105">
        <f t="shared" si="47"/>
        <v>0</v>
      </c>
      <c r="J157" s="443"/>
      <c r="K157" s="382"/>
      <c r="L157" s="649"/>
      <c r="M157" s="382"/>
      <c r="N157" s="649"/>
      <c r="O157" s="767"/>
      <c r="P157" s="763"/>
      <c r="Q157" s="523"/>
      <c r="R157" s="76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1"/>
      <c r="C158" s="801"/>
      <c r="D158" s="373"/>
      <c r="E158" s="560"/>
      <c r="F158" s="556"/>
      <c r="G158" s="575"/>
      <c r="H158" s="905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1"/>
      <c r="C159" s="801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1"/>
      <c r="C160" s="801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3"/>
      <c r="C161" s="801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1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2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3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0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0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3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4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4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4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4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4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4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4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5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5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5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5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5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5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5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5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5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5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5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5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5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5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5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6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954492.36000000045</v>
      </c>
      <c r="I194" s="468">
        <f>PIERNA!I37</f>
        <v>74.990000000001601</v>
      </c>
      <c r="J194" s="46"/>
      <c r="K194" s="164">
        <f>SUM(K5:K193)</f>
        <v>512266</v>
      </c>
      <c r="L194" s="652"/>
      <c r="M194" s="164">
        <f>SUM(M5:M193)</f>
        <v>1600336</v>
      </c>
      <c r="N194" s="927"/>
      <c r="O194" s="391"/>
      <c r="P194" s="117"/>
      <c r="Q194" s="532">
        <f>SUM(Q5:Q193)</f>
        <v>40992052.420400001</v>
      </c>
      <c r="R194" s="666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28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B135:B136"/>
    <mergeCell ref="O135:O136"/>
    <mergeCell ref="B139:B141"/>
    <mergeCell ref="E139:E141"/>
    <mergeCell ref="O139:O141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28:B130"/>
    <mergeCell ref="E128:E130"/>
    <mergeCell ref="O128:O130"/>
    <mergeCell ref="B131:B132"/>
    <mergeCell ref="E131:E132"/>
    <mergeCell ref="O131:O132"/>
    <mergeCell ref="Q1:Q2"/>
    <mergeCell ref="K1:K2"/>
    <mergeCell ref="M1:M2"/>
    <mergeCell ref="B102:B103"/>
    <mergeCell ref="O102:O103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R128:R130"/>
    <mergeCell ref="R149:R150"/>
    <mergeCell ref="R102:R103"/>
    <mergeCell ref="O122:O127"/>
    <mergeCell ref="R122:R127"/>
    <mergeCell ref="P135:P136"/>
    <mergeCell ref="R135:R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5" sqref="G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90" t="s">
        <v>52</v>
      </c>
      <c r="B5" s="1291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90"/>
      <c r="B6" s="1291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90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644</v>
      </c>
      <c r="H9" s="71">
        <v>86</v>
      </c>
      <c r="I9" s="105">
        <f>E6-F9+E5+E7</f>
        <v>4450.6000000000004</v>
      </c>
    </row>
    <row r="10" spans="1:9" x14ac:dyDescent="0.25">
      <c r="A10" s="194"/>
      <c r="B10" s="502"/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647</v>
      </c>
      <c r="H10" s="71">
        <v>86</v>
      </c>
      <c r="I10" s="105">
        <f>I9-F10</f>
        <v>4431.4100000000008</v>
      </c>
    </row>
    <row r="11" spans="1:9" x14ac:dyDescent="0.25">
      <c r="A11" s="182"/>
      <c r="B11" s="502"/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669</v>
      </c>
      <c r="H11" s="71">
        <v>86</v>
      </c>
      <c r="I11" s="105">
        <f t="shared" ref="I11:I33" si="1">I10-F11</f>
        <v>3585.6800000000007</v>
      </c>
    </row>
    <row r="12" spans="1:9" x14ac:dyDescent="0.25">
      <c r="A12" s="182"/>
      <c r="B12" s="502"/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673</v>
      </c>
      <c r="H12" s="71">
        <v>86</v>
      </c>
      <c r="I12" s="105">
        <f t="shared" si="1"/>
        <v>3536.3700000000008</v>
      </c>
    </row>
    <row r="13" spans="1:9" x14ac:dyDescent="0.25">
      <c r="A13" s="82" t="s">
        <v>33</v>
      </c>
      <c r="B13" s="502"/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678</v>
      </c>
      <c r="H13" s="71">
        <v>86</v>
      </c>
      <c r="I13" s="105">
        <f t="shared" si="1"/>
        <v>3466.8700000000008</v>
      </c>
    </row>
    <row r="14" spans="1:9" x14ac:dyDescent="0.25">
      <c r="A14" s="73"/>
      <c r="B14" s="502"/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682</v>
      </c>
      <c r="H14" s="71">
        <v>86</v>
      </c>
      <c r="I14" s="105">
        <f t="shared" si="1"/>
        <v>3394.900000000001</v>
      </c>
    </row>
    <row r="15" spans="1:9" x14ac:dyDescent="0.25">
      <c r="A15" s="73"/>
      <c r="B15" s="502"/>
      <c r="C15" s="15"/>
      <c r="D15" s="69"/>
      <c r="E15" s="202"/>
      <c r="F15" s="69">
        <f t="shared" si="0"/>
        <v>0</v>
      </c>
      <c r="G15" s="70"/>
      <c r="H15" s="71"/>
      <c r="I15" s="105">
        <f t="shared" si="1"/>
        <v>3394.900000000001</v>
      </c>
    </row>
    <row r="16" spans="1:9" x14ac:dyDescent="0.25">
      <c r="B16" s="502"/>
      <c r="C16" s="15"/>
      <c r="D16" s="69"/>
      <c r="E16" s="202"/>
      <c r="F16" s="69">
        <f t="shared" si="0"/>
        <v>0</v>
      </c>
      <c r="G16" s="70"/>
      <c r="H16" s="71"/>
      <c r="I16" s="105">
        <f t="shared" si="1"/>
        <v>3394.900000000001</v>
      </c>
    </row>
    <row r="17" spans="1:9" x14ac:dyDescent="0.25">
      <c r="B17" s="502"/>
      <c r="C17" s="15"/>
      <c r="D17" s="69"/>
      <c r="E17" s="202"/>
      <c r="F17" s="69">
        <f t="shared" si="0"/>
        <v>0</v>
      </c>
      <c r="G17" s="70"/>
      <c r="H17" s="71"/>
      <c r="I17" s="105">
        <f t="shared" si="1"/>
        <v>3394.900000000001</v>
      </c>
    </row>
    <row r="18" spans="1:9" x14ac:dyDescent="0.25">
      <c r="B18" s="502"/>
      <c r="C18" s="15"/>
      <c r="D18" s="69"/>
      <c r="E18" s="202"/>
      <c r="F18" s="69">
        <f t="shared" si="0"/>
        <v>0</v>
      </c>
      <c r="G18" s="70"/>
      <c r="H18" s="71"/>
      <c r="I18" s="105">
        <f t="shared" si="1"/>
        <v>3394.900000000001</v>
      </c>
    </row>
    <row r="19" spans="1:9" x14ac:dyDescent="0.25">
      <c r="B19" s="502"/>
      <c r="C19" s="15"/>
      <c r="D19" s="69"/>
      <c r="E19" s="202"/>
      <c r="F19" s="69">
        <f t="shared" si="0"/>
        <v>0</v>
      </c>
      <c r="G19" s="70"/>
      <c r="H19" s="71"/>
      <c r="I19" s="105">
        <f t="shared" si="1"/>
        <v>3394.900000000001</v>
      </c>
    </row>
    <row r="20" spans="1:9" x14ac:dyDescent="0.25">
      <c r="B20" s="502"/>
      <c r="C20" s="15"/>
      <c r="D20" s="69"/>
      <c r="E20" s="202"/>
      <c r="F20" s="69">
        <f t="shared" si="0"/>
        <v>0</v>
      </c>
      <c r="G20" s="70"/>
      <c r="H20" s="71"/>
      <c r="I20" s="105">
        <f t="shared" si="1"/>
        <v>3394.900000000001</v>
      </c>
    </row>
    <row r="21" spans="1:9" x14ac:dyDescent="0.25">
      <c r="A21" s="122"/>
      <c r="C21" s="500"/>
      <c r="D21" s="69"/>
      <c r="E21" s="202"/>
      <c r="F21" s="69">
        <f t="shared" si="0"/>
        <v>0</v>
      </c>
      <c r="G21" s="70"/>
      <c r="H21" s="71"/>
      <c r="I21" s="105">
        <f t="shared" si="1"/>
        <v>3394.900000000001</v>
      </c>
    </row>
    <row r="22" spans="1:9" x14ac:dyDescent="0.25">
      <c r="A22" s="122"/>
      <c r="C22" s="500"/>
      <c r="D22" s="69"/>
      <c r="E22" s="202"/>
      <c r="F22" s="69">
        <f t="shared" si="0"/>
        <v>0</v>
      </c>
      <c r="G22" s="70"/>
      <c r="H22" s="71"/>
      <c r="I22" s="105">
        <f t="shared" si="1"/>
        <v>3394.900000000001</v>
      </c>
    </row>
    <row r="23" spans="1:9" x14ac:dyDescent="0.25">
      <c r="A23" s="123"/>
      <c r="C23" s="500"/>
      <c r="D23" s="69"/>
      <c r="E23" s="202"/>
      <c r="F23" s="69">
        <f t="shared" si="0"/>
        <v>0</v>
      </c>
      <c r="G23" s="70"/>
      <c r="H23" s="71"/>
      <c r="I23" s="105">
        <f t="shared" si="1"/>
        <v>3394.900000000001</v>
      </c>
    </row>
    <row r="24" spans="1:9" x14ac:dyDescent="0.25">
      <c r="A24" s="122"/>
      <c r="C24" s="500"/>
      <c r="D24" s="69"/>
      <c r="E24" s="202"/>
      <c r="F24" s="69">
        <f t="shared" si="0"/>
        <v>0</v>
      </c>
      <c r="G24" s="70"/>
      <c r="H24" s="71"/>
      <c r="I24" s="105">
        <f t="shared" si="1"/>
        <v>3394.900000000001</v>
      </c>
    </row>
    <row r="25" spans="1:9" x14ac:dyDescent="0.25">
      <c r="A25" s="122"/>
      <c r="C25" s="500"/>
      <c r="D25" s="69"/>
      <c r="E25" s="202"/>
      <c r="F25" s="69">
        <f t="shared" si="0"/>
        <v>0</v>
      </c>
      <c r="G25" s="70"/>
      <c r="H25" s="71"/>
      <c r="I25" s="105">
        <f t="shared" si="1"/>
        <v>3394.900000000001</v>
      </c>
    </row>
    <row r="26" spans="1:9" x14ac:dyDescent="0.25">
      <c r="A26" s="122"/>
      <c r="C26" s="500"/>
      <c r="D26" s="69"/>
      <c r="E26" s="202"/>
      <c r="F26" s="69">
        <f t="shared" si="0"/>
        <v>0</v>
      </c>
      <c r="G26" s="70"/>
      <c r="H26" s="71"/>
      <c r="I26" s="105">
        <f t="shared" si="1"/>
        <v>3394.900000000001</v>
      </c>
    </row>
    <row r="27" spans="1:9" x14ac:dyDescent="0.25">
      <c r="A27" s="122"/>
      <c r="C27" s="500"/>
      <c r="D27" s="69"/>
      <c r="E27" s="202"/>
      <c r="F27" s="69">
        <f t="shared" si="0"/>
        <v>0</v>
      </c>
      <c r="G27" s="70"/>
      <c r="H27" s="71"/>
      <c r="I27" s="105">
        <f t="shared" si="1"/>
        <v>3394.900000000001</v>
      </c>
    </row>
    <row r="28" spans="1:9" x14ac:dyDescent="0.25">
      <c r="A28" s="122"/>
      <c r="C28" s="500"/>
      <c r="D28" s="69"/>
      <c r="E28" s="202"/>
      <c r="F28" s="69">
        <f t="shared" si="0"/>
        <v>0</v>
      </c>
      <c r="G28" s="70"/>
      <c r="H28" s="71"/>
      <c r="I28" s="105">
        <f t="shared" si="1"/>
        <v>3394.900000000001</v>
      </c>
    </row>
    <row r="29" spans="1:9" x14ac:dyDescent="0.25">
      <c r="A29" s="122"/>
      <c r="C29" s="500"/>
      <c r="D29" s="69"/>
      <c r="E29" s="202"/>
      <c r="F29" s="69">
        <f t="shared" si="0"/>
        <v>0</v>
      </c>
      <c r="G29" s="70"/>
      <c r="H29" s="71"/>
      <c r="I29" s="105">
        <f t="shared" si="1"/>
        <v>3394.900000000001</v>
      </c>
    </row>
    <row r="30" spans="1:9" x14ac:dyDescent="0.25">
      <c r="A30" s="122"/>
      <c r="C30" s="500"/>
      <c r="D30" s="69"/>
      <c r="E30" s="202"/>
      <c r="F30" s="69">
        <f t="shared" si="0"/>
        <v>0</v>
      </c>
      <c r="G30" s="70"/>
      <c r="H30" s="71"/>
      <c r="I30" s="105">
        <f t="shared" si="1"/>
        <v>3394.900000000001</v>
      </c>
    </row>
    <row r="31" spans="1:9" x14ac:dyDescent="0.25">
      <c r="A31" s="122"/>
      <c r="C31" s="500"/>
      <c r="D31" s="69"/>
      <c r="E31" s="202"/>
      <c r="F31" s="69">
        <f t="shared" si="0"/>
        <v>0</v>
      </c>
      <c r="G31" s="70"/>
      <c r="H31" s="71"/>
      <c r="I31" s="105">
        <f t="shared" si="1"/>
        <v>3394.900000000001</v>
      </c>
    </row>
    <row r="32" spans="1:9" x14ac:dyDescent="0.25">
      <c r="A32" s="122"/>
      <c r="C32" s="500"/>
      <c r="D32" s="69"/>
      <c r="E32" s="202"/>
      <c r="F32" s="69">
        <f t="shared" si="0"/>
        <v>0</v>
      </c>
      <c r="G32" s="70"/>
      <c r="H32" s="71"/>
      <c r="I32" s="105">
        <f t="shared" si="1"/>
        <v>3394.900000000001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3394.900000000001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46</v>
      </c>
      <c r="D35" s="503">
        <f>SUM(D9:D34)</f>
        <v>1081.03</v>
      </c>
      <c r="F35" s="6">
        <f>SUM(F9:F34)</f>
        <v>1081.03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138</v>
      </c>
    </row>
    <row r="39" spans="1:9" ht="15.75" thickBot="1" x14ac:dyDescent="0.3"/>
    <row r="40" spans="1:9" ht="15.75" thickBot="1" x14ac:dyDescent="0.3">
      <c r="C40" s="1280" t="s">
        <v>11</v>
      </c>
      <c r="D40" s="1281"/>
      <c r="E40" s="57">
        <f>E5+E6-F35+E7</f>
        <v>3394.9000000000005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82" t="s">
        <v>144</v>
      </c>
      <c r="B1" s="1282"/>
      <c r="C1" s="1282"/>
      <c r="D1" s="1282"/>
      <c r="E1" s="1282"/>
      <c r="F1" s="1282"/>
      <c r="G1" s="1282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90"/>
      <c r="B5" s="1292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90"/>
      <c r="B6" s="1292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80" t="s">
        <v>11</v>
      </c>
      <c r="D40" s="128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78" t="s">
        <v>323</v>
      </c>
      <c r="B1" s="1278"/>
      <c r="C1" s="1278"/>
      <c r="D1" s="1278"/>
      <c r="E1" s="1278"/>
      <c r="F1" s="1278"/>
      <c r="G1" s="1278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93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83" t="s">
        <v>52</v>
      </c>
      <c r="B5" s="1294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83"/>
      <c r="B6" s="1294"/>
      <c r="C6" s="469"/>
      <c r="D6" s="229"/>
      <c r="E6" s="78"/>
      <c r="F6" s="62"/>
      <c r="G6" s="47">
        <f>F35</f>
        <v>699.13</v>
      </c>
      <c r="H6" s="7">
        <f>E6-G6+E7+E5-G5+E4+E8</f>
        <v>1282.69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4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3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8">
        <v>106</v>
      </c>
      <c r="E14" s="839">
        <v>44869</v>
      </c>
      <c r="F14" s="838">
        <f t="shared" si="0"/>
        <v>106</v>
      </c>
      <c r="G14" s="840" t="s">
        <v>242</v>
      </c>
      <c r="H14" s="841">
        <v>86</v>
      </c>
      <c r="I14" s="60">
        <f t="shared" si="2"/>
        <v>1621.08</v>
      </c>
    </row>
    <row r="15" spans="1:9" x14ac:dyDescent="0.25">
      <c r="A15" s="73"/>
      <c r="B15" s="844">
        <f t="shared" si="1"/>
        <v>61</v>
      </c>
      <c r="C15" s="15">
        <v>4</v>
      </c>
      <c r="D15" s="838">
        <v>102.73</v>
      </c>
      <c r="E15" s="839">
        <v>44877</v>
      </c>
      <c r="F15" s="838">
        <f t="shared" si="0"/>
        <v>102.73</v>
      </c>
      <c r="G15" s="840" t="s">
        <v>270</v>
      </c>
      <c r="H15" s="841">
        <v>86</v>
      </c>
      <c r="I15" s="843">
        <f t="shared" si="2"/>
        <v>1518.35</v>
      </c>
    </row>
    <row r="16" spans="1:9" x14ac:dyDescent="0.25">
      <c r="B16" s="235">
        <f t="shared" si="1"/>
        <v>52</v>
      </c>
      <c r="C16" s="15">
        <v>9</v>
      </c>
      <c r="D16" s="537">
        <v>235.66</v>
      </c>
      <c r="E16" s="998">
        <v>44905</v>
      </c>
      <c r="F16" s="994">
        <f t="shared" si="0"/>
        <v>235.66</v>
      </c>
      <c r="G16" s="995" t="s">
        <v>667</v>
      </c>
      <c r="H16" s="996">
        <v>86</v>
      </c>
      <c r="I16" s="736">
        <f t="shared" si="2"/>
        <v>1282.6899999999998</v>
      </c>
    </row>
    <row r="17" spans="1:9" x14ac:dyDescent="0.25">
      <c r="B17" s="235">
        <f t="shared" si="1"/>
        <v>52</v>
      </c>
      <c r="C17" s="15"/>
      <c r="D17" s="537"/>
      <c r="E17" s="998"/>
      <c r="F17" s="994">
        <f t="shared" si="0"/>
        <v>0</v>
      </c>
      <c r="G17" s="995"/>
      <c r="H17" s="996"/>
      <c r="I17" s="736">
        <f t="shared" si="2"/>
        <v>1282.6899999999998</v>
      </c>
    </row>
    <row r="18" spans="1:9" x14ac:dyDescent="0.25">
      <c r="A18" s="122"/>
      <c r="B18" s="235">
        <f t="shared" si="1"/>
        <v>52</v>
      </c>
      <c r="C18" s="15"/>
      <c r="D18" s="537"/>
      <c r="E18" s="998"/>
      <c r="F18" s="994">
        <f t="shared" si="0"/>
        <v>0</v>
      </c>
      <c r="G18" s="995"/>
      <c r="H18" s="996"/>
      <c r="I18" s="736">
        <f t="shared" si="2"/>
        <v>1282.6899999999998</v>
      </c>
    </row>
    <row r="19" spans="1:9" x14ac:dyDescent="0.25">
      <c r="A19" s="122"/>
      <c r="B19" s="235">
        <f t="shared" si="1"/>
        <v>52</v>
      </c>
      <c r="C19" s="15"/>
      <c r="D19" s="537"/>
      <c r="E19" s="998"/>
      <c r="F19" s="994">
        <f t="shared" si="0"/>
        <v>0</v>
      </c>
      <c r="G19" s="995"/>
      <c r="H19" s="996"/>
      <c r="I19" s="736">
        <f t="shared" si="2"/>
        <v>1282.6899999999998</v>
      </c>
    </row>
    <row r="20" spans="1:9" x14ac:dyDescent="0.25">
      <c r="A20" s="122"/>
      <c r="B20" s="235">
        <f t="shared" si="1"/>
        <v>52</v>
      </c>
      <c r="C20" s="15"/>
      <c r="D20" s="537"/>
      <c r="E20" s="998"/>
      <c r="F20" s="994">
        <f t="shared" si="0"/>
        <v>0</v>
      </c>
      <c r="G20" s="995"/>
      <c r="H20" s="996"/>
      <c r="I20" s="736">
        <f t="shared" si="2"/>
        <v>1282.6899999999998</v>
      </c>
    </row>
    <row r="21" spans="1:9" x14ac:dyDescent="0.25">
      <c r="A21" s="122"/>
      <c r="B21" s="235">
        <f t="shared" si="1"/>
        <v>52</v>
      </c>
      <c r="C21" s="15"/>
      <c r="D21" s="537"/>
      <c r="E21" s="998"/>
      <c r="F21" s="994">
        <f t="shared" si="0"/>
        <v>0</v>
      </c>
      <c r="G21" s="995"/>
      <c r="H21" s="996"/>
      <c r="I21" s="736">
        <f t="shared" si="2"/>
        <v>1282.6899999999998</v>
      </c>
    </row>
    <row r="22" spans="1:9" x14ac:dyDescent="0.25">
      <c r="A22" s="122"/>
      <c r="B22" s="235">
        <f t="shared" si="1"/>
        <v>52</v>
      </c>
      <c r="C22" s="15"/>
      <c r="D22" s="537"/>
      <c r="E22" s="998"/>
      <c r="F22" s="994">
        <f t="shared" si="0"/>
        <v>0</v>
      </c>
      <c r="G22" s="995"/>
      <c r="H22" s="996"/>
      <c r="I22" s="736">
        <f t="shared" si="2"/>
        <v>1282.6899999999998</v>
      </c>
    </row>
    <row r="23" spans="1:9" x14ac:dyDescent="0.25">
      <c r="A23" s="123"/>
      <c r="B23" s="235">
        <f t="shared" si="1"/>
        <v>52</v>
      </c>
      <c r="C23" s="15"/>
      <c r="D23" s="537"/>
      <c r="E23" s="998"/>
      <c r="F23" s="994">
        <f t="shared" si="0"/>
        <v>0</v>
      </c>
      <c r="G23" s="995"/>
      <c r="H23" s="996"/>
      <c r="I23" s="736">
        <f t="shared" si="2"/>
        <v>1282.6899999999998</v>
      </c>
    </row>
    <row r="24" spans="1:9" x14ac:dyDescent="0.25">
      <c r="A24" s="122"/>
      <c r="B24" s="235">
        <f t="shared" si="1"/>
        <v>52</v>
      </c>
      <c r="C24" s="15"/>
      <c r="D24" s="537"/>
      <c r="E24" s="998"/>
      <c r="F24" s="994">
        <f t="shared" si="0"/>
        <v>0</v>
      </c>
      <c r="G24" s="995"/>
      <c r="H24" s="996"/>
      <c r="I24" s="736">
        <f t="shared" si="2"/>
        <v>1282.6899999999998</v>
      </c>
    </row>
    <row r="25" spans="1:9" x14ac:dyDescent="0.25">
      <c r="A25" s="122"/>
      <c r="B25" s="235">
        <f t="shared" si="1"/>
        <v>52</v>
      </c>
      <c r="C25" s="15"/>
      <c r="D25" s="537"/>
      <c r="E25" s="998"/>
      <c r="F25" s="994">
        <f t="shared" si="0"/>
        <v>0</v>
      </c>
      <c r="G25" s="995"/>
      <c r="H25" s="996"/>
      <c r="I25" s="736">
        <f t="shared" si="2"/>
        <v>1282.6899999999998</v>
      </c>
    </row>
    <row r="26" spans="1:9" x14ac:dyDescent="0.25">
      <c r="A26" s="122"/>
      <c r="B26" s="235">
        <f t="shared" si="1"/>
        <v>52</v>
      </c>
      <c r="C26" s="15"/>
      <c r="D26" s="537"/>
      <c r="E26" s="998"/>
      <c r="F26" s="994">
        <f t="shared" si="0"/>
        <v>0</v>
      </c>
      <c r="G26" s="995"/>
      <c r="H26" s="996"/>
      <c r="I26" s="736">
        <f t="shared" si="2"/>
        <v>1282.6899999999998</v>
      </c>
    </row>
    <row r="27" spans="1:9" x14ac:dyDescent="0.25">
      <c r="A27" s="122"/>
      <c r="B27" s="235">
        <f t="shared" si="1"/>
        <v>52</v>
      </c>
      <c r="C27" s="15"/>
      <c r="D27" s="537"/>
      <c r="E27" s="998"/>
      <c r="F27" s="994">
        <v>0</v>
      </c>
      <c r="G27" s="995"/>
      <c r="H27" s="996"/>
      <c r="I27" s="736">
        <f t="shared" si="2"/>
        <v>1282.6899999999998</v>
      </c>
    </row>
    <row r="28" spans="1:9" x14ac:dyDescent="0.25">
      <c r="A28" s="122"/>
      <c r="B28" s="235">
        <f t="shared" si="1"/>
        <v>52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1282.6899999999998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1282.6899999999998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1282.6899999999998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27</v>
      </c>
      <c r="D35" s="6">
        <f>SUM(D10:D34)</f>
        <v>699.13</v>
      </c>
      <c r="F35" s="6">
        <f>SUM(F10:F34)</f>
        <v>699.13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52</v>
      </c>
    </row>
    <row r="39" spans="1:9" ht="15.75" thickBot="1" x14ac:dyDescent="0.3"/>
    <row r="40" spans="1:9" ht="15.75" thickBot="1" x14ac:dyDescent="0.3">
      <c r="C40" s="1280" t="s">
        <v>11</v>
      </c>
      <c r="D40" s="1281"/>
      <c r="E40" s="57">
        <f>E4+E5+E6+E7-F35</f>
        <v>1282.69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83"/>
      <c r="B5" s="1295"/>
      <c r="C5" s="234"/>
      <c r="D5" s="134"/>
      <c r="E5" s="78"/>
      <c r="F5" s="62"/>
      <c r="G5" s="5"/>
      <c r="H5" t="s">
        <v>41</v>
      </c>
    </row>
    <row r="6" spans="1:9" ht="15.75" x14ac:dyDescent="0.25">
      <c r="A6" s="1283"/>
      <c r="B6" s="1295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80" t="s">
        <v>11</v>
      </c>
      <c r="D40" s="128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pane ySplit="7" topLeftCell="A8" activePane="bottomLeft" state="frozen"/>
      <selection pane="bottomLeft" activeCell="G15" sqref="G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78" t="s">
        <v>324</v>
      </c>
      <c r="B1" s="1278"/>
      <c r="C1" s="1278"/>
      <c r="D1" s="1278"/>
      <c r="E1" s="1278"/>
      <c r="F1" s="1278"/>
      <c r="G1" s="1278"/>
      <c r="H1" s="11">
        <v>1</v>
      </c>
      <c r="K1" s="1282" t="s">
        <v>340</v>
      </c>
      <c r="L1" s="1282"/>
      <c r="M1" s="1282"/>
      <c r="N1" s="1282"/>
      <c r="O1" s="1282"/>
      <c r="P1" s="1282"/>
      <c r="Q1" s="128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90" t="s">
        <v>80</v>
      </c>
      <c r="B5" s="1295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766.5100000000001</v>
      </c>
      <c r="H5" s="7">
        <f>E5-G5+E4+E6</f>
        <v>257.99999999999989</v>
      </c>
      <c r="K5" s="1290" t="s">
        <v>80</v>
      </c>
      <c r="L5" s="1295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90"/>
      <c r="B6" s="1296"/>
      <c r="C6" s="156">
        <v>40</v>
      </c>
      <c r="D6" s="149">
        <v>44873</v>
      </c>
      <c r="E6" s="132">
        <v>513.49</v>
      </c>
      <c r="F6" s="73">
        <v>28</v>
      </c>
      <c r="K6" s="1290"/>
      <c r="L6" s="1296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0"/>
      <c r="N10" s="702"/>
      <c r="O10" s="845"/>
      <c r="P10" s="737">
        <f t="shared" si="1"/>
        <v>0</v>
      </c>
      <c r="Q10" s="700"/>
      <c r="R10" s="701"/>
      <c r="S10" s="846">
        <f>S9-P10</f>
        <v>511.68</v>
      </c>
    </row>
    <row r="11" spans="1:19" ht="15" customHeight="1" x14ac:dyDescent="0.25">
      <c r="A11" s="55" t="s">
        <v>33</v>
      </c>
      <c r="B11" s="986">
        <f t="shared" si="2"/>
        <v>29</v>
      </c>
      <c r="C11" s="987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5">
        <f t="shared" ref="I11:I34" si="4">I10-F11</f>
        <v>533.27</v>
      </c>
      <c r="K11" s="55" t="s">
        <v>33</v>
      </c>
      <c r="L11" s="535">
        <f t="shared" si="3"/>
        <v>29</v>
      </c>
      <c r="M11" s="987"/>
      <c r="N11" s="702"/>
      <c r="O11" s="845"/>
      <c r="P11" s="737">
        <f t="shared" si="1"/>
        <v>0</v>
      </c>
      <c r="Q11" s="700"/>
      <c r="R11" s="701"/>
      <c r="S11" s="846">
        <f t="shared" ref="S11:S34" si="5">S10-P11</f>
        <v>511.68</v>
      </c>
    </row>
    <row r="12" spans="1:19" ht="15" customHeight="1" x14ac:dyDescent="0.25">
      <c r="A12" s="19"/>
      <c r="B12" s="536">
        <f t="shared" si="2"/>
        <v>23</v>
      </c>
      <c r="C12" s="15">
        <v>6</v>
      </c>
      <c r="D12" s="537">
        <v>110.96</v>
      </c>
      <c r="E12" s="741">
        <v>44893</v>
      </c>
      <c r="F12" s="742">
        <f t="shared" si="0"/>
        <v>110.96</v>
      </c>
      <c r="G12" s="330" t="s">
        <v>567</v>
      </c>
      <c r="H12" s="331">
        <v>47</v>
      </c>
      <c r="I12" s="214">
        <f t="shared" si="4"/>
        <v>422.31</v>
      </c>
      <c r="K12" s="19"/>
      <c r="L12" s="535">
        <f t="shared" si="3"/>
        <v>29</v>
      </c>
      <c r="M12" s="820"/>
      <c r="N12" s="994"/>
      <c r="O12" s="999"/>
      <c r="P12" s="1000">
        <f t="shared" si="1"/>
        <v>0</v>
      </c>
      <c r="Q12" s="995"/>
      <c r="R12" s="996"/>
      <c r="S12" s="846">
        <f t="shared" si="5"/>
        <v>511.68</v>
      </c>
    </row>
    <row r="13" spans="1:19" ht="15" customHeight="1" x14ac:dyDescent="0.25">
      <c r="B13" s="536">
        <f t="shared" si="2"/>
        <v>22</v>
      </c>
      <c r="C13" s="15">
        <v>1</v>
      </c>
      <c r="D13" s="537">
        <v>18.84</v>
      </c>
      <c r="E13" s="741">
        <v>44895</v>
      </c>
      <c r="F13" s="742">
        <f t="shared" si="0"/>
        <v>18.84</v>
      </c>
      <c r="G13" s="330" t="s">
        <v>577</v>
      </c>
      <c r="H13" s="331">
        <v>47</v>
      </c>
      <c r="I13" s="214">
        <f t="shared" si="4"/>
        <v>403.47</v>
      </c>
      <c r="L13" s="535">
        <f t="shared" si="3"/>
        <v>29</v>
      </c>
      <c r="M13" s="820"/>
      <c r="N13" s="994"/>
      <c r="O13" s="999"/>
      <c r="P13" s="1000">
        <f t="shared" si="1"/>
        <v>0</v>
      </c>
      <c r="Q13" s="995"/>
      <c r="R13" s="996"/>
      <c r="S13" s="846">
        <f t="shared" si="5"/>
        <v>511.68</v>
      </c>
    </row>
    <row r="14" spans="1:19" ht="15" customHeight="1" x14ac:dyDescent="0.25">
      <c r="B14" s="536">
        <f t="shared" si="2"/>
        <v>14</v>
      </c>
      <c r="C14" s="53">
        <v>8</v>
      </c>
      <c r="D14" s="537">
        <v>145.47</v>
      </c>
      <c r="E14" s="741">
        <v>44902</v>
      </c>
      <c r="F14" s="742">
        <f t="shared" si="0"/>
        <v>145.47</v>
      </c>
      <c r="G14" s="330" t="s">
        <v>632</v>
      </c>
      <c r="H14" s="331">
        <v>47</v>
      </c>
      <c r="I14" s="214">
        <f t="shared" si="4"/>
        <v>258</v>
      </c>
      <c r="L14" s="535">
        <f t="shared" si="3"/>
        <v>29</v>
      </c>
      <c r="M14" s="987"/>
      <c r="N14" s="994"/>
      <c r="O14" s="999"/>
      <c r="P14" s="1000">
        <f t="shared" si="1"/>
        <v>0</v>
      </c>
      <c r="Q14" s="995"/>
      <c r="R14" s="996"/>
      <c r="S14" s="846">
        <f t="shared" si="5"/>
        <v>511.68</v>
      </c>
    </row>
    <row r="15" spans="1:19" ht="15" customHeight="1" x14ac:dyDescent="0.25">
      <c r="B15" s="536">
        <f t="shared" si="2"/>
        <v>14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258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14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258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14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258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14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258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14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258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14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258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14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258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14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258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14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258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14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258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14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258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14</v>
      </c>
      <c r="C26" s="15"/>
      <c r="D26" s="537"/>
      <c r="E26" s="999"/>
      <c r="F26" s="1000">
        <f>D26</f>
        <v>0</v>
      </c>
      <c r="G26" s="995"/>
      <c r="H26" s="996"/>
      <c r="I26" s="846">
        <f t="shared" si="4"/>
        <v>258</v>
      </c>
      <c r="L26" s="536">
        <f t="shared" si="3"/>
        <v>29</v>
      </c>
      <c r="M26" s="15"/>
      <c r="N26" s="537"/>
      <c r="O26" s="999"/>
      <c r="P26" s="1000">
        <f>N26</f>
        <v>0</v>
      </c>
      <c r="Q26" s="995"/>
      <c r="R26" s="996"/>
      <c r="S26" s="846">
        <f t="shared" si="5"/>
        <v>511.68</v>
      </c>
    </row>
    <row r="27" spans="1:19" ht="15" customHeight="1" x14ac:dyDescent="0.25">
      <c r="B27" s="536">
        <f t="shared" si="2"/>
        <v>14</v>
      </c>
      <c r="C27" s="15"/>
      <c r="D27" s="537">
        <v>0</v>
      </c>
      <c r="E27" s="999"/>
      <c r="F27" s="1000">
        <f t="shared" si="6"/>
        <v>0</v>
      </c>
      <c r="G27" s="995"/>
      <c r="H27" s="996"/>
      <c r="I27" s="846">
        <f t="shared" si="4"/>
        <v>258</v>
      </c>
      <c r="L27" s="536">
        <f t="shared" si="3"/>
        <v>29</v>
      </c>
      <c r="M27" s="15"/>
      <c r="N27" s="537">
        <v>0</v>
      </c>
      <c r="O27" s="999"/>
      <c r="P27" s="1000">
        <f t="shared" ref="P27:P35" si="7">N27</f>
        <v>0</v>
      </c>
      <c r="Q27" s="995"/>
      <c r="R27" s="996"/>
      <c r="S27" s="846">
        <f t="shared" si="5"/>
        <v>511.68</v>
      </c>
    </row>
    <row r="28" spans="1:19" ht="15" customHeight="1" x14ac:dyDescent="0.25">
      <c r="A28" s="47"/>
      <c r="B28" s="536">
        <f t="shared" si="2"/>
        <v>14</v>
      </c>
      <c r="C28" s="15"/>
      <c r="D28" s="537">
        <v>0</v>
      </c>
      <c r="E28" s="999"/>
      <c r="F28" s="1000">
        <f t="shared" si="6"/>
        <v>0</v>
      </c>
      <c r="G28" s="995"/>
      <c r="H28" s="996"/>
      <c r="I28" s="846">
        <f t="shared" si="4"/>
        <v>258</v>
      </c>
      <c r="K28" s="47"/>
      <c r="L28" s="536">
        <f t="shared" si="3"/>
        <v>29</v>
      </c>
      <c r="M28" s="15"/>
      <c r="N28" s="537">
        <v>0</v>
      </c>
      <c r="O28" s="999"/>
      <c r="P28" s="1000">
        <f t="shared" si="7"/>
        <v>0</v>
      </c>
      <c r="Q28" s="995"/>
      <c r="R28" s="996"/>
      <c r="S28" s="846">
        <f t="shared" si="5"/>
        <v>511.68</v>
      </c>
    </row>
    <row r="29" spans="1:19" ht="15" customHeight="1" x14ac:dyDescent="0.25">
      <c r="A29" s="47"/>
      <c r="B29" s="536">
        <f t="shared" si="2"/>
        <v>14</v>
      </c>
      <c r="C29" s="15"/>
      <c r="D29" s="537">
        <v>0</v>
      </c>
      <c r="E29" s="999"/>
      <c r="F29" s="1000">
        <f t="shared" si="6"/>
        <v>0</v>
      </c>
      <c r="G29" s="995"/>
      <c r="H29" s="996"/>
      <c r="I29" s="846">
        <f t="shared" si="4"/>
        <v>258</v>
      </c>
      <c r="K29" s="47"/>
      <c r="L29" s="536">
        <f t="shared" si="3"/>
        <v>29</v>
      </c>
      <c r="M29" s="15"/>
      <c r="N29" s="537">
        <v>0</v>
      </c>
      <c r="O29" s="999"/>
      <c r="P29" s="1000">
        <f t="shared" si="7"/>
        <v>0</v>
      </c>
      <c r="Q29" s="995"/>
      <c r="R29" s="996"/>
      <c r="S29" s="846">
        <f t="shared" si="5"/>
        <v>511.68</v>
      </c>
    </row>
    <row r="30" spans="1:19" ht="15" customHeight="1" x14ac:dyDescent="0.25">
      <c r="A30" s="47"/>
      <c r="B30" s="536">
        <f t="shared" si="2"/>
        <v>14</v>
      </c>
      <c r="C30" s="15"/>
      <c r="D30" s="537">
        <v>0</v>
      </c>
      <c r="E30" s="999"/>
      <c r="F30" s="1000">
        <f t="shared" si="6"/>
        <v>0</v>
      </c>
      <c r="G30" s="995"/>
      <c r="H30" s="996"/>
      <c r="I30" s="846">
        <f t="shared" si="4"/>
        <v>258</v>
      </c>
      <c r="K30" s="47"/>
      <c r="L30" s="536">
        <f t="shared" si="3"/>
        <v>29</v>
      </c>
      <c r="M30" s="15"/>
      <c r="N30" s="537">
        <v>0</v>
      </c>
      <c r="O30" s="999"/>
      <c r="P30" s="1000">
        <f t="shared" si="7"/>
        <v>0</v>
      </c>
      <c r="Q30" s="995"/>
      <c r="R30" s="996"/>
      <c r="S30" s="846">
        <f t="shared" si="5"/>
        <v>511.68</v>
      </c>
    </row>
    <row r="31" spans="1:19" ht="15" customHeight="1" x14ac:dyDescent="0.25">
      <c r="A31" s="47"/>
      <c r="B31" s="536">
        <f t="shared" si="2"/>
        <v>14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258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14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258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14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258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14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258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14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41</v>
      </c>
      <c r="D36" s="105">
        <f>SUM(D8:D35)</f>
        <v>766.5100000000001</v>
      </c>
      <c r="E36" s="75"/>
      <c r="F36" s="105">
        <f>SUM(F8:F35)</f>
        <v>766.5100000000001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67" t="s">
        <v>21</v>
      </c>
      <c r="E38" s="1268"/>
      <c r="F38" s="141">
        <f>E4+E5-F36+E6</f>
        <v>257.99999999999989</v>
      </c>
      <c r="L38" s="534"/>
      <c r="N38" s="1267" t="s">
        <v>21</v>
      </c>
      <c r="O38" s="1268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14</v>
      </c>
      <c r="K39" s="125"/>
      <c r="N39" s="1123" t="s">
        <v>4</v>
      </c>
      <c r="O39" s="1124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83"/>
      <c r="B5" s="1297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83"/>
      <c r="B6" s="1298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7" t="s">
        <v>21</v>
      </c>
      <c r="E42" s="1268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83" t="s">
        <v>97</v>
      </c>
      <c r="B5" s="1299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83"/>
      <c r="B6" s="1300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7" t="s">
        <v>21</v>
      </c>
      <c r="E31" s="1268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01" t="s">
        <v>85</v>
      </c>
      <c r="C4" s="128"/>
      <c r="D4" s="134"/>
      <c r="E4" s="180"/>
      <c r="F4" s="137"/>
      <c r="G4" s="38"/>
    </row>
    <row r="5" spans="1:15" ht="15.75" x14ac:dyDescent="0.25">
      <c r="A5" s="1283"/>
      <c r="B5" s="129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7" t="s">
        <v>21</v>
      </c>
      <c r="E31" s="1268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67" t="s">
        <v>21</v>
      </c>
      <c r="E31" s="1268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1"/>
      <c r="B1" s="1271"/>
      <c r="C1" s="1271"/>
      <c r="D1" s="1271"/>
      <c r="E1" s="1271"/>
      <c r="F1" s="1271"/>
      <c r="G1" s="127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90" t="s">
        <v>95</v>
      </c>
      <c r="B5" s="130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90"/>
      <c r="B6" s="130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7" t="s">
        <v>21</v>
      </c>
      <c r="E32" s="126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T1" zoomScaleNormal="100" workbookViewId="0">
      <pane ySplit="7" topLeftCell="A8" activePane="bottomLeft" state="frozen"/>
      <selection activeCell="AO1" sqref="AO1"/>
      <selection pane="bottomLeft" activeCell="FA5" sqref="FA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77" t="s">
        <v>319</v>
      </c>
      <c r="L1" s="1277"/>
      <c r="M1" s="1277"/>
      <c r="N1" s="1277"/>
      <c r="O1" s="1277"/>
      <c r="P1" s="1277"/>
      <c r="Q1" s="1277"/>
      <c r="R1" s="269">
        <f>I1+1</f>
        <v>1</v>
      </c>
      <c r="S1" s="269"/>
      <c r="U1" s="1271" t="str">
        <f>K1</f>
        <v>ENTRADA DEL MES DE    DICIEMBRE    2022</v>
      </c>
      <c r="V1" s="1271"/>
      <c r="W1" s="1271"/>
      <c r="X1" s="1271"/>
      <c r="Y1" s="1271"/>
      <c r="Z1" s="1271"/>
      <c r="AA1" s="1271"/>
      <c r="AB1" s="269">
        <f>R1+1</f>
        <v>2</v>
      </c>
      <c r="AC1" s="395"/>
      <c r="AE1" s="1271" t="str">
        <f>U1</f>
        <v>ENTRADA DEL MES DE    DICIEMBRE    2022</v>
      </c>
      <c r="AF1" s="1271"/>
      <c r="AG1" s="1271"/>
      <c r="AH1" s="1271"/>
      <c r="AI1" s="1271"/>
      <c r="AJ1" s="1271"/>
      <c r="AK1" s="1271"/>
      <c r="AL1" s="269">
        <f>AB1+1</f>
        <v>3</v>
      </c>
      <c r="AM1" s="269"/>
      <c r="AO1" s="1271" t="str">
        <f>AE1</f>
        <v>ENTRADA DEL MES DE    DICIEMBRE    2022</v>
      </c>
      <c r="AP1" s="1271"/>
      <c r="AQ1" s="1271"/>
      <c r="AR1" s="1271"/>
      <c r="AS1" s="1271"/>
      <c r="AT1" s="1271"/>
      <c r="AU1" s="1271"/>
      <c r="AV1" s="269">
        <f>AL1+1</f>
        <v>4</v>
      </c>
      <c r="AW1" s="395"/>
      <c r="AY1" s="1271" t="str">
        <f>AO1</f>
        <v>ENTRADA DEL MES DE    DICIEMBRE    2022</v>
      </c>
      <c r="AZ1" s="1271"/>
      <c r="BA1" s="1271"/>
      <c r="BB1" s="1271"/>
      <c r="BC1" s="1271"/>
      <c r="BD1" s="1271"/>
      <c r="BE1" s="1271"/>
      <c r="BF1" s="269">
        <f>AV1+1</f>
        <v>5</v>
      </c>
      <c r="BG1" s="411"/>
      <c r="BI1" s="1271" t="str">
        <f>AY1</f>
        <v>ENTRADA DEL MES DE    DICIEMBRE    2022</v>
      </c>
      <c r="BJ1" s="1271"/>
      <c r="BK1" s="1271"/>
      <c r="BL1" s="1271"/>
      <c r="BM1" s="1271"/>
      <c r="BN1" s="1271"/>
      <c r="BO1" s="1271"/>
      <c r="BP1" s="269">
        <f>BF1+1</f>
        <v>6</v>
      </c>
      <c r="BQ1" s="395"/>
      <c r="BS1" s="1271" t="str">
        <f>BI1</f>
        <v>ENTRADA DEL MES DE    DICIEMBRE    2022</v>
      </c>
      <c r="BT1" s="1271"/>
      <c r="BU1" s="1271"/>
      <c r="BV1" s="1271"/>
      <c r="BW1" s="1271"/>
      <c r="BX1" s="1271"/>
      <c r="BY1" s="1271"/>
      <c r="BZ1" s="269">
        <f>BP1+1</f>
        <v>7</v>
      </c>
      <c r="CC1" s="1271" t="str">
        <f>BS1</f>
        <v>ENTRADA DEL MES DE    DICIEMBRE    2022</v>
      </c>
      <c r="CD1" s="1271"/>
      <c r="CE1" s="1271"/>
      <c r="CF1" s="1271"/>
      <c r="CG1" s="1271"/>
      <c r="CH1" s="1271"/>
      <c r="CI1" s="1271"/>
      <c r="CJ1" s="269">
        <f>BZ1+1</f>
        <v>8</v>
      </c>
      <c r="CM1" s="1271" t="str">
        <f>CC1</f>
        <v>ENTRADA DEL MES DE    DICIEMBRE    2022</v>
      </c>
      <c r="CN1" s="1271"/>
      <c r="CO1" s="1271"/>
      <c r="CP1" s="1271"/>
      <c r="CQ1" s="1271"/>
      <c r="CR1" s="1271"/>
      <c r="CS1" s="1271"/>
      <c r="CT1" s="269">
        <f>CJ1+1</f>
        <v>9</v>
      </c>
      <c r="CU1" s="395"/>
      <c r="CW1" s="1271" t="str">
        <f>CM1</f>
        <v>ENTRADA DEL MES DE    DICIEMBRE    2022</v>
      </c>
      <c r="CX1" s="1271"/>
      <c r="CY1" s="1271"/>
      <c r="CZ1" s="1271"/>
      <c r="DA1" s="1271"/>
      <c r="DB1" s="1271"/>
      <c r="DC1" s="1271"/>
      <c r="DD1" s="269">
        <f>CT1+1</f>
        <v>10</v>
      </c>
      <c r="DE1" s="395"/>
      <c r="DG1" s="1271" t="str">
        <f>CW1</f>
        <v>ENTRADA DEL MES DE    DICIEMBRE    2022</v>
      </c>
      <c r="DH1" s="1271"/>
      <c r="DI1" s="1271"/>
      <c r="DJ1" s="1271"/>
      <c r="DK1" s="1271"/>
      <c r="DL1" s="1271"/>
      <c r="DM1" s="1271"/>
      <c r="DN1" s="269">
        <f>DD1+1</f>
        <v>11</v>
      </c>
      <c r="DO1" s="395"/>
      <c r="DQ1" s="1271" t="str">
        <f>DG1</f>
        <v>ENTRADA DEL MES DE    DICIEMBRE    2022</v>
      </c>
      <c r="DR1" s="1271"/>
      <c r="DS1" s="1271"/>
      <c r="DT1" s="1271"/>
      <c r="DU1" s="1271"/>
      <c r="DV1" s="1271"/>
      <c r="DW1" s="1271"/>
      <c r="DX1" s="269">
        <f>DN1+1</f>
        <v>12</v>
      </c>
      <c r="EA1" s="1271" t="str">
        <f>DQ1</f>
        <v>ENTRADA DEL MES DE    DICIEMBRE    2022</v>
      </c>
      <c r="EB1" s="1271"/>
      <c r="EC1" s="1271"/>
      <c r="ED1" s="1271"/>
      <c r="EE1" s="1271"/>
      <c r="EF1" s="1271"/>
      <c r="EG1" s="1271"/>
      <c r="EH1" s="269">
        <f>DX1+1</f>
        <v>13</v>
      </c>
      <c r="EI1" s="395"/>
      <c r="EK1" s="1271" t="str">
        <f>EA1</f>
        <v>ENTRADA DEL MES DE    DICIEMBRE    2022</v>
      </c>
      <c r="EL1" s="1271"/>
      <c r="EM1" s="1271"/>
      <c r="EN1" s="1271"/>
      <c r="EO1" s="1271"/>
      <c r="EP1" s="1271"/>
      <c r="EQ1" s="1271"/>
      <c r="ER1" s="269">
        <f>EH1+1</f>
        <v>14</v>
      </c>
      <c r="ES1" s="395"/>
      <c r="EU1" s="1271" t="str">
        <f>EK1</f>
        <v>ENTRADA DEL MES DE    DICIEMBRE    2022</v>
      </c>
      <c r="EV1" s="1271"/>
      <c r="EW1" s="1271"/>
      <c r="EX1" s="1271"/>
      <c r="EY1" s="1271"/>
      <c r="EZ1" s="1271"/>
      <c r="FA1" s="1271"/>
      <c r="FB1" s="269">
        <f>ER1+1</f>
        <v>15</v>
      </c>
      <c r="FC1" s="395"/>
      <c r="FE1" s="1271" t="str">
        <f>EU1</f>
        <v>ENTRADA DEL MES DE    DICIEMBRE    2022</v>
      </c>
      <c r="FF1" s="1271"/>
      <c r="FG1" s="1271"/>
      <c r="FH1" s="1271"/>
      <c r="FI1" s="1271"/>
      <c r="FJ1" s="1271"/>
      <c r="FK1" s="1271"/>
      <c r="FL1" s="269">
        <f>FB1+1</f>
        <v>16</v>
      </c>
      <c r="FM1" s="395"/>
      <c r="FO1" s="1271" t="str">
        <f>FE1</f>
        <v>ENTRADA DEL MES DE    DICIEMBRE    2022</v>
      </c>
      <c r="FP1" s="1271"/>
      <c r="FQ1" s="1271"/>
      <c r="FR1" s="1271"/>
      <c r="FS1" s="1271"/>
      <c r="FT1" s="1271"/>
      <c r="FU1" s="1271"/>
      <c r="FV1" s="269">
        <f>FL1+1</f>
        <v>17</v>
      </c>
      <c r="FW1" s="395"/>
      <c r="FY1" s="1271" t="str">
        <f>FO1</f>
        <v>ENTRADA DEL MES DE    DICIEMBRE    2022</v>
      </c>
      <c r="FZ1" s="1271"/>
      <c r="GA1" s="1271"/>
      <c r="GB1" s="1271"/>
      <c r="GC1" s="1271"/>
      <c r="GD1" s="1271"/>
      <c r="GE1" s="1271"/>
      <c r="GF1" s="269">
        <f>FV1+1</f>
        <v>18</v>
      </c>
      <c r="GG1" s="395"/>
      <c r="GH1" s="75" t="s">
        <v>37</v>
      </c>
      <c r="GI1" s="1271" t="str">
        <f>FY1</f>
        <v>ENTRADA DEL MES DE    DICIEMBRE    2022</v>
      </c>
      <c r="GJ1" s="1271"/>
      <c r="GK1" s="1271"/>
      <c r="GL1" s="1271"/>
      <c r="GM1" s="1271"/>
      <c r="GN1" s="1271"/>
      <c r="GO1" s="1271"/>
      <c r="GP1" s="269">
        <f>GF1+1</f>
        <v>19</v>
      </c>
      <c r="GQ1" s="395"/>
      <c r="GS1" s="1271" t="str">
        <f>GI1</f>
        <v>ENTRADA DEL MES DE    DICIEMBRE    2022</v>
      </c>
      <c r="GT1" s="1271"/>
      <c r="GU1" s="1271"/>
      <c r="GV1" s="1271"/>
      <c r="GW1" s="1271"/>
      <c r="GX1" s="1271"/>
      <c r="GY1" s="1271"/>
      <c r="GZ1" s="269">
        <f>GP1+1</f>
        <v>20</v>
      </c>
      <c r="HA1" s="395"/>
      <c r="HC1" s="1271" t="str">
        <f>GS1</f>
        <v>ENTRADA DEL MES DE    DICIEMBRE    2022</v>
      </c>
      <c r="HD1" s="1271"/>
      <c r="HE1" s="1271"/>
      <c r="HF1" s="1271"/>
      <c r="HG1" s="1271"/>
      <c r="HH1" s="1271"/>
      <c r="HI1" s="1271"/>
      <c r="HJ1" s="269">
        <f>GZ1+1</f>
        <v>21</v>
      </c>
      <c r="HK1" s="395"/>
      <c r="HM1" s="1271" t="str">
        <f>HC1</f>
        <v>ENTRADA DEL MES DE    DICIEMBRE    2022</v>
      </c>
      <c r="HN1" s="1271"/>
      <c r="HO1" s="1271"/>
      <c r="HP1" s="1271"/>
      <c r="HQ1" s="1271"/>
      <c r="HR1" s="1271"/>
      <c r="HS1" s="1271"/>
      <c r="HT1" s="269">
        <f>HJ1+1</f>
        <v>22</v>
      </c>
      <c r="HU1" s="395"/>
      <c r="HW1" s="1271" t="str">
        <f>HM1</f>
        <v>ENTRADA DEL MES DE    DICIEMBRE    2022</v>
      </c>
      <c r="HX1" s="1271"/>
      <c r="HY1" s="1271"/>
      <c r="HZ1" s="1271"/>
      <c r="IA1" s="1271"/>
      <c r="IB1" s="1271"/>
      <c r="IC1" s="1271"/>
      <c r="ID1" s="269">
        <f>HT1+1</f>
        <v>23</v>
      </c>
      <c r="IE1" s="395"/>
      <c r="IG1" s="1271" t="str">
        <f>HW1</f>
        <v>ENTRADA DEL MES DE    DICIEMBRE    2022</v>
      </c>
      <c r="IH1" s="1271"/>
      <c r="II1" s="1271"/>
      <c r="IJ1" s="1271"/>
      <c r="IK1" s="1271"/>
      <c r="IL1" s="1271"/>
      <c r="IM1" s="1271"/>
      <c r="IN1" s="269">
        <f>ID1+1</f>
        <v>24</v>
      </c>
      <c r="IO1" s="395"/>
      <c r="IQ1" s="1271" t="str">
        <f>IG1</f>
        <v>ENTRADA DEL MES DE    DICIEMBRE    2022</v>
      </c>
      <c r="IR1" s="1271"/>
      <c r="IS1" s="1271"/>
      <c r="IT1" s="1271"/>
      <c r="IU1" s="1271"/>
      <c r="IV1" s="1271"/>
      <c r="IW1" s="1271"/>
      <c r="IX1" s="269">
        <f>IN1+1</f>
        <v>25</v>
      </c>
      <c r="IY1" s="395"/>
      <c r="JA1" s="1271" t="str">
        <f>IQ1</f>
        <v>ENTRADA DEL MES DE    DICIEMBRE    2022</v>
      </c>
      <c r="JB1" s="1271"/>
      <c r="JC1" s="1271"/>
      <c r="JD1" s="1271"/>
      <c r="JE1" s="1271"/>
      <c r="JF1" s="1271"/>
      <c r="JG1" s="1271"/>
      <c r="JH1" s="269">
        <f>IX1+1</f>
        <v>26</v>
      </c>
      <c r="JI1" s="395"/>
      <c r="JK1" s="1272" t="str">
        <f>JA1</f>
        <v>ENTRADA DEL MES DE    DICIEMBRE    2022</v>
      </c>
      <c r="JL1" s="1272"/>
      <c r="JM1" s="1272"/>
      <c r="JN1" s="1272"/>
      <c r="JO1" s="1272"/>
      <c r="JP1" s="1272"/>
      <c r="JQ1" s="1272"/>
      <c r="JR1" s="269">
        <f>JH1+1</f>
        <v>27</v>
      </c>
      <c r="JS1" s="395"/>
      <c r="JU1" s="1271" t="str">
        <f>JK1</f>
        <v>ENTRADA DEL MES DE    DICIEMBRE    2022</v>
      </c>
      <c r="JV1" s="1271"/>
      <c r="JW1" s="1271"/>
      <c r="JX1" s="1271"/>
      <c r="JY1" s="1271"/>
      <c r="JZ1" s="1271"/>
      <c r="KA1" s="1271"/>
      <c r="KB1" s="269">
        <f>JR1+1</f>
        <v>28</v>
      </c>
      <c r="KC1" s="395"/>
      <c r="KE1" s="1271" t="str">
        <f>JU1</f>
        <v>ENTRADA DEL MES DE    DICIEMBRE    2022</v>
      </c>
      <c r="KF1" s="1271"/>
      <c r="KG1" s="1271"/>
      <c r="KH1" s="1271"/>
      <c r="KI1" s="1271"/>
      <c r="KJ1" s="1271"/>
      <c r="KK1" s="1271"/>
      <c r="KL1" s="269">
        <f>KB1+1</f>
        <v>29</v>
      </c>
      <c r="KM1" s="395"/>
      <c r="KO1" s="1271" t="str">
        <f>KE1</f>
        <v>ENTRADA DEL MES DE    DICIEMBRE    2022</v>
      </c>
      <c r="KP1" s="1271"/>
      <c r="KQ1" s="1271"/>
      <c r="KR1" s="1271"/>
      <c r="KS1" s="1271"/>
      <c r="KT1" s="1271"/>
      <c r="KU1" s="1271"/>
      <c r="KV1" s="269">
        <f>KL1+1</f>
        <v>30</v>
      </c>
      <c r="KW1" s="395"/>
      <c r="KY1" s="1271" t="str">
        <f>KO1</f>
        <v>ENTRADA DEL MES DE    DICIEMBRE    2022</v>
      </c>
      <c r="KZ1" s="1271"/>
      <c r="LA1" s="1271"/>
      <c r="LB1" s="1271"/>
      <c r="LC1" s="1271"/>
      <c r="LD1" s="1271"/>
      <c r="LE1" s="1271"/>
      <c r="LF1" s="269">
        <f>KV1+1</f>
        <v>31</v>
      </c>
      <c r="LG1" s="395"/>
      <c r="LI1" s="1271" t="str">
        <f>KY1</f>
        <v>ENTRADA DEL MES DE    DICIEMBRE    2022</v>
      </c>
      <c r="LJ1" s="1271"/>
      <c r="LK1" s="1271"/>
      <c r="LL1" s="1271"/>
      <c r="LM1" s="1271"/>
      <c r="LN1" s="1271"/>
      <c r="LO1" s="1271"/>
      <c r="LP1" s="269">
        <f>LF1+1</f>
        <v>32</v>
      </c>
      <c r="LQ1" s="395"/>
      <c r="LS1" s="1271" t="str">
        <f>LI1</f>
        <v>ENTRADA DEL MES DE    DICIEMBRE    2022</v>
      </c>
      <c r="LT1" s="1271"/>
      <c r="LU1" s="1271"/>
      <c r="LV1" s="1271"/>
      <c r="LW1" s="1271"/>
      <c r="LX1" s="1271"/>
      <c r="LY1" s="1271"/>
      <c r="LZ1" s="269">
        <f>LP1+1</f>
        <v>33</v>
      </c>
      <c r="MC1" s="1271" t="str">
        <f>LS1</f>
        <v>ENTRADA DEL MES DE    DICIEMBRE    2022</v>
      </c>
      <c r="MD1" s="1271"/>
      <c r="ME1" s="1271"/>
      <c r="MF1" s="1271"/>
      <c r="MG1" s="1271"/>
      <c r="MH1" s="1271"/>
      <c r="MI1" s="1271"/>
      <c r="MJ1" s="269">
        <f>LZ1+1</f>
        <v>34</v>
      </c>
      <c r="MK1" s="269"/>
      <c r="MM1" s="1271" t="str">
        <f>MC1</f>
        <v>ENTRADA DEL MES DE    DICIEMBRE    2022</v>
      </c>
      <c r="MN1" s="1271"/>
      <c r="MO1" s="1271"/>
      <c r="MP1" s="1271"/>
      <c r="MQ1" s="1271"/>
      <c r="MR1" s="1271"/>
      <c r="MS1" s="1271"/>
      <c r="MT1" s="269">
        <f>MJ1+1</f>
        <v>35</v>
      </c>
      <c r="MU1" s="269"/>
      <c r="MW1" s="1271" t="str">
        <f>MM1</f>
        <v>ENTRADA DEL MES DE    DICIEMBRE    2022</v>
      </c>
      <c r="MX1" s="1271"/>
      <c r="MY1" s="1271"/>
      <c r="MZ1" s="1271"/>
      <c r="NA1" s="1271"/>
      <c r="NB1" s="1271"/>
      <c r="NC1" s="1271"/>
      <c r="ND1" s="269">
        <f>MT1+1</f>
        <v>36</v>
      </c>
      <c r="NE1" s="269"/>
      <c r="NG1" s="1271" t="str">
        <f>MW1</f>
        <v>ENTRADA DEL MES DE    DICIEMBRE    2022</v>
      </c>
      <c r="NH1" s="1271"/>
      <c r="NI1" s="1271"/>
      <c r="NJ1" s="1271"/>
      <c r="NK1" s="1271"/>
      <c r="NL1" s="1271"/>
      <c r="NM1" s="1271"/>
      <c r="NN1" s="269">
        <f>ND1+1</f>
        <v>37</v>
      </c>
      <c r="NO1" s="269"/>
      <c r="NQ1" s="1271" t="str">
        <f>NG1</f>
        <v>ENTRADA DEL MES DE    DICIEMBRE    2022</v>
      </c>
      <c r="NR1" s="1271"/>
      <c r="NS1" s="1271"/>
      <c r="NT1" s="1271"/>
      <c r="NU1" s="1271"/>
      <c r="NV1" s="1271"/>
      <c r="NW1" s="1271"/>
      <c r="NX1" s="269">
        <f>NN1+1</f>
        <v>38</v>
      </c>
      <c r="NY1" s="269"/>
      <c r="OA1" s="1271" t="str">
        <f>NQ1</f>
        <v>ENTRADA DEL MES DE    DICIEMBRE    2022</v>
      </c>
      <c r="OB1" s="1271"/>
      <c r="OC1" s="1271"/>
      <c r="OD1" s="1271"/>
      <c r="OE1" s="1271"/>
      <c r="OF1" s="1271"/>
      <c r="OG1" s="1271"/>
      <c r="OH1" s="269">
        <f>NX1+1</f>
        <v>39</v>
      </c>
      <c r="OI1" s="269"/>
      <c r="OK1" s="1271" t="str">
        <f>OA1</f>
        <v>ENTRADA DEL MES DE    DICIEMBRE    2022</v>
      </c>
      <c r="OL1" s="1271"/>
      <c r="OM1" s="1271"/>
      <c r="ON1" s="1271"/>
      <c r="OO1" s="1271"/>
      <c r="OP1" s="1271"/>
      <c r="OQ1" s="1271"/>
      <c r="OR1" s="269">
        <f>OH1+1</f>
        <v>40</v>
      </c>
      <c r="OS1" s="269"/>
      <c r="OU1" s="1271" t="str">
        <f>OK1</f>
        <v>ENTRADA DEL MES DE    DICIEMBRE    2022</v>
      </c>
      <c r="OV1" s="1271"/>
      <c r="OW1" s="1271"/>
      <c r="OX1" s="1271"/>
      <c r="OY1" s="1271"/>
      <c r="OZ1" s="1271"/>
      <c r="PA1" s="1271"/>
      <c r="PB1" s="269">
        <f>OR1+1</f>
        <v>41</v>
      </c>
      <c r="PC1" s="269"/>
      <c r="PE1" s="1271" t="str">
        <f>OU1</f>
        <v>ENTRADA DEL MES DE    DICIEMBRE    2022</v>
      </c>
      <c r="PF1" s="1271"/>
      <c r="PG1" s="1271"/>
      <c r="PH1" s="1271"/>
      <c r="PI1" s="1271"/>
      <c r="PJ1" s="1271"/>
      <c r="PK1" s="1271"/>
      <c r="PL1" s="269">
        <f>PB1+1</f>
        <v>42</v>
      </c>
      <c r="PM1" s="269"/>
      <c r="PO1" s="1271" t="str">
        <f>PE1</f>
        <v>ENTRADA DEL MES DE    DICIEMBRE    2022</v>
      </c>
      <c r="PP1" s="1271"/>
      <c r="PQ1" s="1271"/>
      <c r="PR1" s="1271"/>
      <c r="PS1" s="1271"/>
      <c r="PT1" s="1271"/>
      <c r="PU1" s="1271"/>
      <c r="PV1" s="269">
        <f>PL1+1</f>
        <v>43</v>
      </c>
      <c r="PX1" s="1271" t="str">
        <f>PO1</f>
        <v>ENTRADA DEL MES DE    DICIEMBRE    2022</v>
      </c>
      <c r="PY1" s="1271"/>
      <c r="PZ1" s="1271"/>
      <c r="QA1" s="1271"/>
      <c r="QB1" s="1271"/>
      <c r="QC1" s="1271"/>
      <c r="QD1" s="1271"/>
      <c r="QE1" s="269">
        <f>PV1+1</f>
        <v>44</v>
      </c>
      <c r="QG1" s="1271" t="str">
        <f>PX1</f>
        <v>ENTRADA DEL MES DE    DICIEMBRE    2022</v>
      </c>
      <c r="QH1" s="1271"/>
      <c r="QI1" s="1271"/>
      <c r="QJ1" s="1271"/>
      <c r="QK1" s="1271"/>
      <c r="QL1" s="1271"/>
      <c r="QM1" s="1271"/>
      <c r="QN1" s="269">
        <f>QE1+1</f>
        <v>45</v>
      </c>
      <c r="QP1" s="1271" t="str">
        <f>QG1</f>
        <v>ENTRADA DEL MES DE    DICIEMBRE    2022</v>
      </c>
      <c r="QQ1" s="1271"/>
      <c r="QR1" s="1271"/>
      <c r="QS1" s="1271"/>
      <c r="QT1" s="1271"/>
      <c r="QU1" s="1271"/>
      <c r="QV1" s="1271"/>
      <c r="QW1" s="269">
        <f>QN1+1</f>
        <v>46</v>
      </c>
      <c r="QY1" s="1271" t="str">
        <f>QP1</f>
        <v>ENTRADA DEL MES DE    DICIEMBRE    2022</v>
      </c>
      <c r="QZ1" s="1271"/>
      <c r="RA1" s="1271"/>
      <c r="RB1" s="1271"/>
      <c r="RC1" s="1271"/>
      <c r="RD1" s="1271"/>
      <c r="RE1" s="1271"/>
      <c r="RF1" s="269">
        <f>QW1+1</f>
        <v>47</v>
      </c>
      <c r="RH1" s="1271" t="str">
        <f>QY1</f>
        <v>ENTRADA DEL MES DE    DICIEMBRE    2022</v>
      </c>
      <c r="RI1" s="1271"/>
      <c r="RJ1" s="1271"/>
      <c r="RK1" s="1271"/>
      <c r="RL1" s="1271"/>
      <c r="RM1" s="1271"/>
      <c r="RN1" s="1271"/>
      <c r="RO1" s="269">
        <f>RF1+1</f>
        <v>48</v>
      </c>
      <c r="RQ1" s="1271" t="str">
        <f>RH1</f>
        <v>ENTRADA DEL MES DE    DICIEMBRE    2022</v>
      </c>
      <c r="RR1" s="1271"/>
      <c r="RS1" s="1271"/>
      <c r="RT1" s="1271"/>
      <c r="RU1" s="1271"/>
      <c r="RV1" s="1271"/>
      <c r="RW1" s="1271"/>
      <c r="RX1" s="269">
        <f>RO1+1</f>
        <v>49</v>
      </c>
      <c r="RZ1" s="1271" t="str">
        <f>RQ1</f>
        <v>ENTRADA DEL MES DE    DICIEMBRE    2022</v>
      </c>
      <c r="SA1" s="1271"/>
      <c r="SB1" s="1271"/>
      <c r="SC1" s="1271"/>
      <c r="SD1" s="1271"/>
      <c r="SE1" s="1271"/>
      <c r="SF1" s="1271"/>
      <c r="SG1" s="269">
        <f>RX1+1</f>
        <v>50</v>
      </c>
      <c r="SI1" s="1271" t="str">
        <f>RZ1</f>
        <v>ENTRADA DEL MES DE    DICIEMBRE    2022</v>
      </c>
      <c r="SJ1" s="1271"/>
      <c r="SK1" s="1271"/>
      <c r="SL1" s="1271"/>
      <c r="SM1" s="1271"/>
      <c r="SN1" s="1271"/>
      <c r="SO1" s="1271"/>
      <c r="SP1" s="269">
        <f>SG1+1</f>
        <v>51</v>
      </c>
      <c r="SR1" s="1271" t="str">
        <f>SI1</f>
        <v>ENTRADA DEL MES DE    DICIEMBRE    2022</v>
      </c>
      <c r="SS1" s="1271"/>
      <c r="ST1" s="1271"/>
      <c r="SU1" s="1271"/>
      <c r="SV1" s="1271"/>
      <c r="SW1" s="1271"/>
      <c r="SX1" s="1271"/>
      <c r="SY1" s="269">
        <f>SP1+1</f>
        <v>52</v>
      </c>
      <c r="TA1" s="1271" t="str">
        <f>SR1</f>
        <v>ENTRADA DEL MES DE    DICIEMBRE    2022</v>
      </c>
      <c r="TB1" s="1271"/>
      <c r="TC1" s="1271"/>
      <c r="TD1" s="1271"/>
      <c r="TE1" s="1271"/>
      <c r="TF1" s="1271"/>
      <c r="TG1" s="1271"/>
      <c r="TH1" s="269">
        <f>SY1+1</f>
        <v>53</v>
      </c>
      <c r="TJ1" s="1271" t="str">
        <f>TA1</f>
        <v>ENTRADA DEL MES DE    DICIEMBRE    2022</v>
      </c>
      <c r="TK1" s="1271"/>
      <c r="TL1" s="1271"/>
      <c r="TM1" s="1271"/>
      <c r="TN1" s="1271"/>
      <c r="TO1" s="1271"/>
      <c r="TP1" s="1271"/>
      <c r="TQ1" s="269">
        <f>TH1+1</f>
        <v>54</v>
      </c>
      <c r="TS1" s="1271" t="str">
        <f>TJ1</f>
        <v>ENTRADA DEL MES DE    DICIEMBRE    2022</v>
      </c>
      <c r="TT1" s="1271"/>
      <c r="TU1" s="1271"/>
      <c r="TV1" s="1271"/>
      <c r="TW1" s="1271"/>
      <c r="TX1" s="1271"/>
      <c r="TY1" s="1271"/>
      <c r="TZ1" s="269">
        <f>TQ1+1</f>
        <v>55</v>
      </c>
      <c r="UB1" s="1271" t="str">
        <f>TS1</f>
        <v>ENTRADA DEL MES DE    DICIEMBRE    2022</v>
      </c>
      <c r="UC1" s="1271"/>
      <c r="UD1" s="1271"/>
      <c r="UE1" s="1271"/>
      <c r="UF1" s="1271"/>
      <c r="UG1" s="1271"/>
      <c r="UH1" s="1271"/>
      <c r="UI1" s="269">
        <f>TZ1+1</f>
        <v>56</v>
      </c>
      <c r="UK1" s="1271" t="str">
        <f>UB1</f>
        <v>ENTRADA DEL MES DE    DICIEMBRE    2022</v>
      </c>
      <c r="UL1" s="1271"/>
      <c r="UM1" s="1271"/>
      <c r="UN1" s="1271"/>
      <c r="UO1" s="1271"/>
      <c r="UP1" s="1271"/>
      <c r="UQ1" s="1271"/>
      <c r="UR1" s="269">
        <f>UI1+1</f>
        <v>57</v>
      </c>
      <c r="UT1" s="1271" t="str">
        <f>UK1</f>
        <v>ENTRADA DEL MES DE    DICIEMBRE    2022</v>
      </c>
      <c r="UU1" s="1271"/>
      <c r="UV1" s="1271"/>
      <c r="UW1" s="1271"/>
      <c r="UX1" s="1271"/>
      <c r="UY1" s="1271"/>
      <c r="UZ1" s="1271"/>
      <c r="VA1" s="269">
        <f>UR1+1</f>
        <v>58</v>
      </c>
      <c r="VC1" s="1271" t="str">
        <f>UT1</f>
        <v>ENTRADA DEL MES DE    DICIEMBRE    2022</v>
      </c>
      <c r="VD1" s="1271"/>
      <c r="VE1" s="1271"/>
      <c r="VF1" s="1271"/>
      <c r="VG1" s="1271"/>
      <c r="VH1" s="1271"/>
      <c r="VI1" s="1271"/>
      <c r="VJ1" s="269">
        <f>VA1+1</f>
        <v>59</v>
      </c>
      <c r="VL1" s="1271" t="str">
        <f>VC1</f>
        <v>ENTRADA DEL MES DE    DICIEMBRE    2022</v>
      </c>
      <c r="VM1" s="1271"/>
      <c r="VN1" s="1271"/>
      <c r="VO1" s="1271"/>
      <c r="VP1" s="1271"/>
      <c r="VQ1" s="1271"/>
      <c r="VR1" s="1271"/>
      <c r="VS1" s="269">
        <f>VJ1+1</f>
        <v>60</v>
      </c>
      <c r="VU1" s="1271" t="str">
        <f>VL1</f>
        <v>ENTRADA DEL MES DE    DICIEMBRE    2022</v>
      </c>
      <c r="VV1" s="1271"/>
      <c r="VW1" s="1271"/>
      <c r="VX1" s="1271"/>
      <c r="VY1" s="1271"/>
      <c r="VZ1" s="1271"/>
      <c r="WA1" s="1271"/>
      <c r="WB1" s="269">
        <f>VS1+1</f>
        <v>61</v>
      </c>
      <c r="WD1" s="1271" t="str">
        <f>VU1</f>
        <v>ENTRADA DEL MES DE    DICIEMBRE    2022</v>
      </c>
      <c r="WE1" s="1271"/>
      <c r="WF1" s="1271"/>
      <c r="WG1" s="1271"/>
      <c r="WH1" s="1271"/>
      <c r="WI1" s="1271"/>
      <c r="WJ1" s="1271"/>
      <c r="WK1" s="269">
        <f>WB1+1</f>
        <v>62</v>
      </c>
      <c r="WM1" s="1271" t="str">
        <f>WD1</f>
        <v>ENTRADA DEL MES DE    DICIEMBRE    2022</v>
      </c>
      <c r="WN1" s="1271"/>
      <c r="WO1" s="1271"/>
      <c r="WP1" s="1271"/>
      <c r="WQ1" s="1271"/>
      <c r="WR1" s="1271"/>
      <c r="WS1" s="1271"/>
      <c r="WT1" s="269">
        <f>WK1+1</f>
        <v>63</v>
      </c>
      <c r="WV1" s="1271" t="str">
        <f>WM1</f>
        <v>ENTRADA DEL MES DE    DICIEMBRE    2022</v>
      </c>
      <c r="WW1" s="1271"/>
      <c r="WX1" s="1271"/>
      <c r="WY1" s="1271"/>
      <c r="WZ1" s="1271"/>
      <c r="XA1" s="1271"/>
      <c r="XB1" s="1271"/>
      <c r="XC1" s="269">
        <f>WT1+1</f>
        <v>64</v>
      </c>
      <c r="XE1" s="1271" t="str">
        <f>WV1</f>
        <v>ENTRADA DEL MES DE    DICIEMBRE    2022</v>
      </c>
      <c r="XF1" s="1271"/>
      <c r="XG1" s="1271"/>
      <c r="XH1" s="1271"/>
      <c r="XI1" s="1271"/>
      <c r="XJ1" s="1271"/>
      <c r="XK1" s="1271"/>
      <c r="XL1" s="269">
        <f>XC1+1</f>
        <v>65</v>
      </c>
      <c r="XN1" s="1271" t="str">
        <f>XE1</f>
        <v>ENTRADA DEL MES DE    DICIEMBRE    2022</v>
      </c>
      <c r="XO1" s="1271"/>
      <c r="XP1" s="1271"/>
      <c r="XQ1" s="1271"/>
      <c r="XR1" s="1271"/>
      <c r="XS1" s="1271"/>
      <c r="XT1" s="1271"/>
      <c r="XU1" s="269">
        <f>XL1+1</f>
        <v>66</v>
      </c>
      <c r="XW1" s="1271" t="str">
        <f>XN1</f>
        <v>ENTRADA DEL MES DE    DICIEMBRE    2022</v>
      </c>
      <c r="XX1" s="1271"/>
      <c r="XY1" s="1271"/>
      <c r="XZ1" s="1271"/>
      <c r="YA1" s="1271"/>
      <c r="YB1" s="1271"/>
      <c r="YC1" s="1271"/>
      <c r="YD1" s="269">
        <f>XU1+1</f>
        <v>67</v>
      </c>
      <c r="YF1" s="1271" t="str">
        <f>XW1</f>
        <v>ENTRADA DEL MES DE    DICIEMBRE    2022</v>
      </c>
      <c r="YG1" s="1271"/>
      <c r="YH1" s="1271"/>
      <c r="YI1" s="1271"/>
      <c r="YJ1" s="1271"/>
      <c r="YK1" s="1271"/>
      <c r="YL1" s="1271"/>
      <c r="YM1" s="269">
        <f>YD1+1</f>
        <v>68</v>
      </c>
      <c r="YO1" s="1271" t="str">
        <f>YF1</f>
        <v>ENTRADA DEL MES DE    DICIEMBRE    2022</v>
      </c>
      <c r="YP1" s="1271"/>
      <c r="YQ1" s="1271"/>
      <c r="YR1" s="1271"/>
      <c r="YS1" s="1271"/>
      <c r="YT1" s="1271"/>
      <c r="YU1" s="1271"/>
      <c r="YV1" s="269">
        <f>YM1+1</f>
        <v>69</v>
      </c>
      <c r="YX1" s="1271" t="str">
        <f>YO1</f>
        <v>ENTRADA DEL MES DE    DICIEMBRE    2022</v>
      </c>
      <c r="YY1" s="1271"/>
      <c r="YZ1" s="1271"/>
      <c r="ZA1" s="1271"/>
      <c r="ZB1" s="1271"/>
      <c r="ZC1" s="1271"/>
      <c r="ZD1" s="1271"/>
      <c r="ZE1" s="269">
        <f>YV1+1</f>
        <v>70</v>
      </c>
      <c r="ZG1" s="1271" t="str">
        <f>YX1</f>
        <v>ENTRADA DEL MES DE    DICIEMBRE    2022</v>
      </c>
      <c r="ZH1" s="1271"/>
      <c r="ZI1" s="1271"/>
      <c r="ZJ1" s="1271"/>
      <c r="ZK1" s="1271"/>
      <c r="ZL1" s="1271"/>
      <c r="ZM1" s="1271"/>
      <c r="ZN1" s="269">
        <f>ZE1+1</f>
        <v>71</v>
      </c>
      <c r="ZP1" s="1271" t="str">
        <f>ZG1</f>
        <v>ENTRADA DEL MES DE    DICIEMBRE    2022</v>
      </c>
      <c r="ZQ1" s="1271"/>
      <c r="ZR1" s="1271"/>
      <c r="ZS1" s="1271"/>
      <c r="ZT1" s="1271"/>
      <c r="ZU1" s="1271"/>
      <c r="ZV1" s="1271"/>
      <c r="ZW1" s="269">
        <f>ZN1+1</f>
        <v>72</v>
      </c>
      <c r="ZY1" s="1271" t="str">
        <f>ZP1</f>
        <v>ENTRADA DEL MES DE    DICIEMBRE    2022</v>
      </c>
      <c r="ZZ1" s="1271"/>
      <c r="AAA1" s="1271"/>
      <c r="AAB1" s="1271"/>
      <c r="AAC1" s="1271"/>
      <c r="AAD1" s="1271"/>
      <c r="AAE1" s="1271"/>
      <c r="AAF1" s="269">
        <f>ZW1+1</f>
        <v>73</v>
      </c>
      <c r="AAH1" s="1271" t="str">
        <f>ZY1</f>
        <v>ENTRADA DEL MES DE    DICIEMBRE    2022</v>
      </c>
      <c r="AAI1" s="1271"/>
      <c r="AAJ1" s="1271"/>
      <c r="AAK1" s="1271"/>
      <c r="AAL1" s="1271"/>
      <c r="AAM1" s="1271"/>
      <c r="AAN1" s="1271"/>
      <c r="AAO1" s="269">
        <f>AAF1+1</f>
        <v>74</v>
      </c>
      <c r="AAQ1" s="1271" t="str">
        <f>AAH1</f>
        <v>ENTRADA DEL MES DE    DICIEMBRE    2022</v>
      </c>
      <c r="AAR1" s="1271"/>
      <c r="AAS1" s="1271"/>
      <c r="AAT1" s="1271"/>
      <c r="AAU1" s="1271"/>
      <c r="AAV1" s="1271"/>
      <c r="AAW1" s="1271"/>
      <c r="AAX1" s="269">
        <f>AAO1+1</f>
        <v>75</v>
      </c>
      <c r="AAZ1" s="1271" t="str">
        <f>AAQ1</f>
        <v>ENTRADA DEL MES DE    DICIEMBRE    2022</v>
      </c>
      <c r="ABA1" s="1271"/>
      <c r="ABB1" s="1271"/>
      <c r="ABC1" s="1271"/>
      <c r="ABD1" s="1271"/>
      <c r="ABE1" s="1271"/>
      <c r="ABF1" s="1271"/>
      <c r="ABG1" s="269">
        <f>AAX1+1</f>
        <v>76</v>
      </c>
      <c r="ABI1" s="1271" t="str">
        <f>AAZ1</f>
        <v>ENTRADA DEL MES DE    DICIEMBRE    2022</v>
      </c>
      <c r="ABJ1" s="1271"/>
      <c r="ABK1" s="1271"/>
      <c r="ABL1" s="1271"/>
      <c r="ABM1" s="1271"/>
      <c r="ABN1" s="1271"/>
      <c r="ABO1" s="1271"/>
      <c r="ABP1" s="269">
        <f>ABG1+1</f>
        <v>77</v>
      </c>
      <c r="ABR1" s="1271" t="str">
        <f>ABI1</f>
        <v>ENTRADA DEL MES DE    DICIEMBRE    2022</v>
      </c>
      <c r="ABS1" s="1271"/>
      <c r="ABT1" s="1271"/>
      <c r="ABU1" s="1271"/>
      <c r="ABV1" s="1271"/>
      <c r="ABW1" s="1271"/>
      <c r="ABX1" s="1271"/>
      <c r="ABY1" s="269">
        <f>ABP1+1</f>
        <v>78</v>
      </c>
      <c r="ACA1" s="1271" t="str">
        <f>ABR1</f>
        <v>ENTRADA DEL MES DE    DICIEMBRE    2022</v>
      </c>
      <c r="ACB1" s="1271"/>
      <c r="ACC1" s="1271"/>
      <c r="ACD1" s="1271"/>
      <c r="ACE1" s="1271"/>
      <c r="ACF1" s="1271"/>
      <c r="ACG1" s="1271"/>
      <c r="ACH1" s="269">
        <f>ABY1+1</f>
        <v>79</v>
      </c>
      <c r="ACJ1" s="1271" t="str">
        <f>ACA1</f>
        <v>ENTRADA DEL MES DE    DICIEMBRE    2022</v>
      </c>
      <c r="ACK1" s="1271"/>
      <c r="ACL1" s="1271"/>
      <c r="ACM1" s="1271"/>
      <c r="ACN1" s="1271"/>
      <c r="ACO1" s="1271"/>
      <c r="ACP1" s="1271"/>
      <c r="ACQ1" s="269">
        <f>ACH1+1</f>
        <v>80</v>
      </c>
      <c r="ACS1" s="1271" t="str">
        <f>ACJ1</f>
        <v>ENTRADA DEL MES DE    DICIEMBRE    2022</v>
      </c>
      <c r="ACT1" s="1271"/>
      <c r="ACU1" s="1271"/>
      <c r="ACV1" s="1271"/>
      <c r="ACW1" s="1271"/>
      <c r="ACX1" s="1271"/>
      <c r="ACY1" s="1271"/>
      <c r="ACZ1" s="269">
        <f>ACQ1+1</f>
        <v>81</v>
      </c>
      <c r="ADB1" s="1271" t="str">
        <f>ACS1</f>
        <v>ENTRADA DEL MES DE    DICIEMBRE    2022</v>
      </c>
      <c r="ADC1" s="1271"/>
      <c r="ADD1" s="1271"/>
      <c r="ADE1" s="1271"/>
      <c r="ADF1" s="1271"/>
      <c r="ADG1" s="1271"/>
      <c r="ADH1" s="1271"/>
      <c r="ADI1" s="269">
        <f>ACZ1+1</f>
        <v>82</v>
      </c>
      <c r="ADK1" s="1271" t="str">
        <f>ADB1</f>
        <v>ENTRADA DEL MES DE    DICIEMBRE    2022</v>
      </c>
      <c r="ADL1" s="1271"/>
      <c r="ADM1" s="1271"/>
      <c r="ADN1" s="1271"/>
      <c r="ADO1" s="1271"/>
      <c r="ADP1" s="1271"/>
      <c r="ADQ1" s="1271"/>
      <c r="ADR1" s="269">
        <f>ADI1+1</f>
        <v>83</v>
      </c>
      <c r="ADT1" s="1271" t="str">
        <f>ADK1</f>
        <v>ENTRADA DEL MES DE    DICIEMBRE    2022</v>
      </c>
      <c r="ADU1" s="1271"/>
      <c r="ADV1" s="1271"/>
      <c r="ADW1" s="1271"/>
      <c r="ADX1" s="1271"/>
      <c r="ADY1" s="1271"/>
      <c r="ADZ1" s="1271"/>
      <c r="AEA1" s="269">
        <f>ADR1+1</f>
        <v>84</v>
      </c>
      <c r="AEC1" s="1271" t="str">
        <f>ADT1</f>
        <v>ENTRADA DEL MES DE    DICIEMBRE    2022</v>
      </c>
      <c r="AED1" s="1271"/>
      <c r="AEE1" s="1271"/>
      <c r="AEF1" s="1271"/>
      <c r="AEG1" s="1271"/>
      <c r="AEH1" s="1271"/>
      <c r="AEI1" s="1271"/>
      <c r="AEJ1" s="269">
        <f>AEA1+1</f>
        <v>85</v>
      </c>
      <c r="AEL1" s="1271" t="str">
        <f>AEC1</f>
        <v>ENTRADA DEL MES DE    DICIEMBRE    2022</v>
      </c>
      <c r="AEM1" s="1271"/>
      <c r="AEN1" s="1271"/>
      <c r="AEO1" s="1271"/>
      <c r="AEP1" s="1271"/>
      <c r="AEQ1" s="1271"/>
      <c r="AER1" s="1271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75" t="s">
        <v>222</v>
      </c>
      <c r="L5" s="862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541">
        <v>18759.599999999999</v>
      </c>
      <c r="R5" s="138">
        <f>O5-Q5</f>
        <v>-30.479999999999563</v>
      </c>
      <c r="S5" s="397"/>
      <c r="U5" s="713" t="s">
        <v>222</v>
      </c>
      <c r="V5" s="862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541">
        <v>18842.3</v>
      </c>
      <c r="AB5" s="138">
        <f>Y5-AA5</f>
        <v>14.740000000001601</v>
      </c>
      <c r="AC5" s="397"/>
      <c r="AE5" s="713" t="s">
        <v>220</v>
      </c>
      <c r="AF5" s="863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541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2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541">
        <v>19169.8</v>
      </c>
      <c r="AV5" s="138">
        <f>AS5-AU5</f>
        <v>14.209999999999127</v>
      </c>
      <c r="AW5" s="397"/>
      <c r="AY5" s="720" t="s">
        <v>222</v>
      </c>
      <c r="AZ5" s="862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541">
        <v>18007.599999999999</v>
      </c>
      <c r="BF5" s="138">
        <f>BC5-BE5</f>
        <v>46.490000000001601</v>
      </c>
      <c r="BG5" s="397"/>
      <c r="BI5" s="1274" t="s">
        <v>220</v>
      </c>
      <c r="BJ5" s="1031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541">
        <v>18351.310000000001</v>
      </c>
      <c r="BP5" s="138">
        <f>BM5-BO5</f>
        <v>84.119999999998981</v>
      </c>
      <c r="BQ5" s="397"/>
      <c r="BS5" s="1273" t="s">
        <v>342</v>
      </c>
      <c r="BT5" s="1034" t="s">
        <v>343</v>
      </c>
      <c r="BU5" s="1035"/>
      <c r="BV5" s="716">
        <v>44898</v>
      </c>
      <c r="BW5" s="717">
        <v>1123</v>
      </c>
      <c r="BX5" s="714">
        <v>2</v>
      </c>
      <c r="BY5" s="541">
        <v>1123</v>
      </c>
      <c r="BZ5" s="138">
        <f>BW5-BY5</f>
        <v>0</v>
      </c>
      <c r="CA5" s="244"/>
      <c r="CB5" s="244"/>
      <c r="CC5" s="713" t="s">
        <v>222</v>
      </c>
      <c r="CD5" s="889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541">
        <v>18032</v>
      </c>
      <c r="CJ5" s="138">
        <f>CG5-CI5</f>
        <v>-17.299999999999272</v>
      </c>
      <c r="CK5" s="244"/>
      <c r="CL5" s="244"/>
      <c r="CM5" s="1274" t="s">
        <v>222</v>
      </c>
      <c r="CN5" s="897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541">
        <v>19080.599999999999</v>
      </c>
      <c r="CT5" s="138">
        <f>CQ5-CS5</f>
        <v>140.40000000000146</v>
      </c>
      <c r="CU5" s="397"/>
      <c r="CW5" s="713" t="s">
        <v>220</v>
      </c>
      <c r="CX5" s="863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541">
        <v>18651.62</v>
      </c>
      <c r="DD5" s="138">
        <f>DA5-DC5</f>
        <v>-27.669999999998254</v>
      </c>
      <c r="DE5" s="397"/>
      <c r="DG5" s="720" t="s">
        <v>222</v>
      </c>
      <c r="DH5" s="889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541">
        <v>18798.7</v>
      </c>
      <c r="DN5" s="138">
        <f>DK5-DM5</f>
        <v>89.799999999999272</v>
      </c>
      <c r="DO5" s="397"/>
      <c r="DQ5" s="1276" t="s">
        <v>220</v>
      </c>
      <c r="DR5" s="895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541">
        <v>18341.810000000001</v>
      </c>
      <c r="DX5" s="138">
        <f>DU5-DW5</f>
        <v>24.270000000000437</v>
      </c>
      <c r="DY5" s="244"/>
      <c r="EA5" s="720" t="s">
        <v>222</v>
      </c>
      <c r="EB5" s="862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541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2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541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2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1401">
        <v>18821</v>
      </c>
      <c r="FB5" s="138">
        <f>EY5-FA5</f>
        <v>-30.56000000000131</v>
      </c>
      <c r="FC5" s="397"/>
      <c r="FE5" s="720" t="s">
        <v>222</v>
      </c>
      <c r="FF5" s="862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1401">
        <v>18826.7</v>
      </c>
      <c r="FL5" s="138">
        <f>FI5-FK5</f>
        <v>21.489999999997963</v>
      </c>
      <c r="FM5" s="397"/>
      <c r="FO5" s="729" t="s">
        <v>220</v>
      </c>
      <c r="FP5" s="863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541">
        <v>18959.16</v>
      </c>
      <c r="FV5" s="138">
        <f>FS5-FU5</f>
        <v>-38.479999999999563</v>
      </c>
      <c r="FW5" s="397"/>
      <c r="FY5" s="713" t="s">
        <v>222</v>
      </c>
      <c r="FZ5" s="862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3" t="s">
        <v>222</v>
      </c>
      <c r="GJ5" s="862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74" t="s">
        <v>222</v>
      </c>
      <c r="GT5" s="862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73" t="s">
        <v>220</v>
      </c>
      <c r="HD5" s="863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3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74" t="s">
        <v>220</v>
      </c>
      <c r="HX5" s="863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74" t="s">
        <v>222</v>
      </c>
      <c r="IH5" s="862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74" t="s">
        <v>222</v>
      </c>
      <c r="IR5" s="1064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2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76" t="s">
        <v>222</v>
      </c>
      <c r="JL5" s="1073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2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75" t="s">
        <v>222</v>
      </c>
      <c r="KF5" s="862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3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2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3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2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2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3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2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2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2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2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2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2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2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2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3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2" t="s">
        <v>223</v>
      </c>
      <c r="QI5" s="102" t="s">
        <v>538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2" t="s">
        <v>223</v>
      </c>
      <c r="QR5" s="225" t="s">
        <v>539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75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74"/>
      <c r="BJ6" s="723"/>
      <c r="BK6" s="720"/>
      <c r="BL6" s="720"/>
      <c r="BM6" s="720"/>
      <c r="BN6" s="720"/>
      <c r="BO6" s="714"/>
      <c r="BQ6" s="244"/>
      <c r="BS6" s="1273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74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76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4"/>
      <c r="GJ6" s="815"/>
      <c r="GK6" s="720"/>
      <c r="GL6" s="720"/>
      <c r="GM6" s="720"/>
      <c r="GN6" s="720"/>
      <c r="GO6" s="714"/>
      <c r="GQ6" s="244"/>
      <c r="GS6" s="1274"/>
      <c r="GT6" s="730"/>
      <c r="GU6" s="720"/>
      <c r="GV6" s="720"/>
      <c r="GW6" s="720"/>
      <c r="GX6" s="720"/>
      <c r="GY6" s="714"/>
      <c r="HA6" s="244"/>
      <c r="HC6" s="1273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74"/>
      <c r="HX6" s="720"/>
      <c r="HY6" s="720"/>
      <c r="HZ6" s="720"/>
      <c r="IA6" s="720"/>
      <c r="IB6" s="720"/>
      <c r="IC6" s="714"/>
      <c r="IE6" s="244"/>
      <c r="IG6" s="1274"/>
      <c r="IH6" s="720"/>
      <c r="II6" s="720"/>
      <c r="IJ6" s="720"/>
      <c r="IK6" s="720"/>
      <c r="IL6" s="720"/>
      <c r="IM6" s="714"/>
      <c r="IO6" s="244"/>
      <c r="IQ6" s="1274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76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75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>
        <v>44895</v>
      </c>
      <c r="P8" s="92">
        <v>889</v>
      </c>
      <c r="Q8" s="70" t="s">
        <v>583</v>
      </c>
      <c r="R8" s="71">
        <v>51</v>
      </c>
      <c r="S8" s="394">
        <f>R8*P8</f>
        <v>45339</v>
      </c>
      <c r="U8" s="61"/>
      <c r="V8" s="106"/>
      <c r="W8" s="15">
        <v>1</v>
      </c>
      <c r="X8" s="92">
        <v>868.2</v>
      </c>
      <c r="Y8" s="253">
        <v>44895</v>
      </c>
      <c r="Z8" s="699">
        <v>868.2</v>
      </c>
      <c r="AA8" s="700" t="s">
        <v>581</v>
      </c>
      <c r="AB8" s="701">
        <v>51</v>
      </c>
      <c r="AC8" s="394">
        <f>AB8*Z8</f>
        <v>44278.200000000004</v>
      </c>
      <c r="AE8" s="61"/>
      <c r="AF8" s="106"/>
      <c r="AG8" s="15">
        <v>1</v>
      </c>
      <c r="AH8" s="92">
        <v>932.13</v>
      </c>
      <c r="AI8" s="245">
        <v>44896</v>
      </c>
      <c r="AJ8" s="92">
        <v>932.13</v>
      </c>
      <c r="AK8" s="95" t="s">
        <v>588</v>
      </c>
      <c r="AL8" s="71">
        <v>51</v>
      </c>
      <c r="AM8" s="394">
        <f>AL8*AJ8</f>
        <v>47538.63</v>
      </c>
      <c r="AO8" s="61"/>
      <c r="AP8" s="106"/>
      <c r="AQ8" s="15">
        <v>1</v>
      </c>
      <c r="AR8" s="92">
        <v>880</v>
      </c>
      <c r="AS8" s="245">
        <v>44897</v>
      </c>
      <c r="AT8" s="92">
        <v>880</v>
      </c>
      <c r="AU8" s="95" t="s">
        <v>601</v>
      </c>
      <c r="AV8" s="71">
        <v>51</v>
      </c>
      <c r="AW8" s="394">
        <f>AV8*AT8</f>
        <v>44880</v>
      </c>
      <c r="AY8" s="61"/>
      <c r="AZ8" s="106"/>
      <c r="BA8" s="15">
        <v>1</v>
      </c>
      <c r="BB8" s="92">
        <v>890.9</v>
      </c>
      <c r="BC8" s="245">
        <v>44897</v>
      </c>
      <c r="BD8" s="92">
        <v>890.9</v>
      </c>
      <c r="BE8" s="95" t="s">
        <v>599</v>
      </c>
      <c r="BF8" s="71">
        <v>51</v>
      </c>
      <c r="BG8" s="394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603</v>
      </c>
      <c r="BP8" s="289">
        <v>51</v>
      </c>
      <c r="BQ8" s="482">
        <f>BP8*BN8</f>
        <v>47769.659999999996</v>
      </c>
      <c r="BR8" s="394"/>
      <c r="BS8" s="61"/>
      <c r="BT8" s="106"/>
      <c r="BU8" s="15">
        <v>1</v>
      </c>
      <c r="BV8" s="92">
        <v>567</v>
      </c>
      <c r="BW8" s="290">
        <v>44900</v>
      </c>
      <c r="BX8" s="92">
        <v>567</v>
      </c>
      <c r="BY8" s="580" t="s">
        <v>618</v>
      </c>
      <c r="BZ8" s="291">
        <v>58</v>
      </c>
      <c r="CA8" s="394">
        <f t="shared" ref="CA8:CA28" si="5">BZ8*BX8</f>
        <v>32886</v>
      </c>
      <c r="CC8" s="61"/>
      <c r="CD8" s="213"/>
      <c r="CE8" s="15">
        <v>1</v>
      </c>
      <c r="CF8" s="92">
        <v>938.9</v>
      </c>
      <c r="CG8" s="290">
        <v>44901</v>
      </c>
      <c r="CH8" s="92">
        <v>938.9</v>
      </c>
      <c r="CI8" s="292" t="s">
        <v>619</v>
      </c>
      <c r="CJ8" s="291">
        <v>51</v>
      </c>
      <c r="CK8" s="394">
        <f>CJ8*CH8</f>
        <v>47883.9</v>
      </c>
      <c r="CM8" s="61"/>
      <c r="CN8" s="94"/>
      <c r="CO8" s="15">
        <v>1</v>
      </c>
      <c r="CP8" s="92">
        <v>934.4</v>
      </c>
      <c r="CQ8" s="290">
        <v>44901</v>
      </c>
      <c r="CR8" s="92">
        <v>934.4</v>
      </c>
      <c r="CS8" s="292" t="s">
        <v>627</v>
      </c>
      <c r="CT8" s="291">
        <v>51</v>
      </c>
      <c r="CU8" s="399">
        <f>CT8*CR8</f>
        <v>47654.400000000001</v>
      </c>
      <c r="CW8" s="61"/>
      <c r="CX8" s="106"/>
      <c r="CY8" s="15">
        <v>1</v>
      </c>
      <c r="CZ8" s="92">
        <v>938.02</v>
      </c>
      <c r="DA8" s="245">
        <v>44902</v>
      </c>
      <c r="DB8" s="92">
        <v>938.02</v>
      </c>
      <c r="DC8" s="95" t="s">
        <v>634</v>
      </c>
      <c r="DD8" s="71">
        <v>51</v>
      </c>
      <c r="DE8" s="394">
        <f>DD8*DB8</f>
        <v>47839.02</v>
      </c>
      <c r="DG8" s="61"/>
      <c r="DH8" s="106"/>
      <c r="DI8" s="15">
        <v>1</v>
      </c>
      <c r="DJ8" s="699">
        <v>886.3</v>
      </c>
      <c r="DK8" s="726">
        <v>44903</v>
      </c>
      <c r="DL8" s="699">
        <v>886.3</v>
      </c>
      <c r="DM8" s="727" t="s">
        <v>649</v>
      </c>
      <c r="DN8" s="728">
        <v>51</v>
      </c>
      <c r="DO8" s="399">
        <f>DN8*DL8</f>
        <v>45201.299999999996</v>
      </c>
      <c r="DQ8" s="61"/>
      <c r="DR8" s="106"/>
      <c r="DS8" s="15">
        <v>1</v>
      </c>
      <c r="DT8" s="92">
        <v>891.76</v>
      </c>
      <c r="DU8" s="290">
        <v>44903</v>
      </c>
      <c r="DV8" s="92">
        <v>891.76</v>
      </c>
      <c r="DW8" s="292" t="s">
        <v>645</v>
      </c>
      <c r="DX8" s="291">
        <v>51</v>
      </c>
      <c r="DY8" s="394">
        <f>DX8*DV8</f>
        <v>45479.76</v>
      </c>
      <c r="EA8" s="61"/>
      <c r="EB8" s="106"/>
      <c r="EC8" s="15">
        <v>1</v>
      </c>
      <c r="ED8" s="92">
        <v>919</v>
      </c>
      <c r="EE8" s="253">
        <v>44904</v>
      </c>
      <c r="EF8" s="92">
        <v>919</v>
      </c>
      <c r="EG8" s="70" t="s">
        <v>662</v>
      </c>
      <c r="EH8" s="71">
        <v>51</v>
      </c>
      <c r="EI8" s="394">
        <f>EH8*EF8</f>
        <v>46869</v>
      </c>
      <c r="EK8" s="61"/>
      <c r="EL8" s="106"/>
      <c r="EM8" s="15">
        <v>1</v>
      </c>
      <c r="EN8" s="92">
        <v>933.5</v>
      </c>
      <c r="EO8" s="253">
        <v>44904</v>
      </c>
      <c r="EP8" s="92">
        <v>933.5</v>
      </c>
      <c r="EQ8" s="70" t="s">
        <v>660</v>
      </c>
      <c r="ER8" s="71">
        <v>51</v>
      </c>
      <c r="ES8" s="394">
        <f>ER8*EP8</f>
        <v>47608.5</v>
      </c>
      <c r="EU8" s="61"/>
      <c r="EV8" s="332"/>
      <c r="EW8" s="15">
        <v>1</v>
      </c>
      <c r="EX8" s="92">
        <v>868.2</v>
      </c>
      <c r="EY8" s="245">
        <v>44907</v>
      </c>
      <c r="EZ8" s="92">
        <v>868.2</v>
      </c>
      <c r="FA8" s="70" t="s">
        <v>683</v>
      </c>
      <c r="FB8" s="71">
        <v>51</v>
      </c>
      <c r="FC8" s="394">
        <f>FB8*EZ8</f>
        <v>44278.200000000004</v>
      </c>
      <c r="FE8" s="61"/>
      <c r="FF8" s="332"/>
      <c r="FG8" s="15">
        <v>1</v>
      </c>
      <c r="FH8" s="92">
        <v>881.8</v>
      </c>
      <c r="FI8" s="245">
        <v>44905</v>
      </c>
      <c r="FJ8" s="92">
        <v>881.8</v>
      </c>
      <c r="FK8" s="70" t="s">
        <v>679</v>
      </c>
      <c r="FL8" s="71">
        <v>51</v>
      </c>
      <c r="FM8" s="244">
        <f>FL8*FJ8</f>
        <v>44971.799999999996</v>
      </c>
      <c r="FO8" s="61"/>
      <c r="FP8" s="106"/>
      <c r="FQ8" s="15">
        <v>1</v>
      </c>
      <c r="FR8" s="92">
        <v>944.37</v>
      </c>
      <c r="FS8" s="245">
        <v>44905</v>
      </c>
      <c r="FT8" s="92">
        <v>944.37</v>
      </c>
      <c r="FU8" s="70" t="s">
        <v>675</v>
      </c>
      <c r="FV8" s="71">
        <v>51</v>
      </c>
      <c r="FW8" s="394">
        <f>FV8*FT8</f>
        <v>48162.87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6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>
        <v>44895</v>
      </c>
      <c r="P9" s="69">
        <v>903.6</v>
      </c>
      <c r="Q9" s="70" t="s">
        <v>583</v>
      </c>
      <c r="R9" s="71">
        <v>51</v>
      </c>
      <c r="S9" s="394">
        <f t="shared" ref="S9:S28" si="8">R9*P9</f>
        <v>46083.6</v>
      </c>
      <c r="V9" s="106"/>
      <c r="W9" s="15">
        <v>2</v>
      </c>
      <c r="X9" s="69">
        <v>898.1</v>
      </c>
      <c r="Y9" s="253">
        <v>44895</v>
      </c>
      <c r="Z9" s="69">
        <v>898.1</v>
      </c>
      <c r="AA9" s="700" t="s">
        <v>581</v>
      </c>
      <c r="AB9" s="701">
        <v>51</v>
      </c>
      <c r="AC9" s="394">
        <f t="shared" ref="AC9:AC28" si="9">AB9*Z9</f>
        <v>45803.1</v>
      </c>
      <c r="AF9" s="94"/>
      <c r="AG9" s="15">
        <v>2</v>
      </c>
      <c r="AH9" s="92">
        <v>939.38</v>
      </c>
      <c r="AI9" s="245">
        <v>44896</v>
      </c>
      <c r="AJ9" s="92">
        <v>939.38</v>
      </c>
      <c r="AK9" s="95" t="s">
        <v>588</v>
      </c>
      <c r="AL9" s="71">
        <v>51</v>
      </c>
      <c r="AM9" s="394">
        <f t="shared" ref="AM9:AM28" si="10">AL9*AJ9</f>
        <v>47908.38</v>
      </c>
      <c r="AP9" s="94"/>
      <c r="AQ9" s="15">
        <v>2</v>
      </c>
      <c r="AR9" s="92">
        <v>922.6</v>
      </c>
      <c r="AS9" s="245">
        <v>44897</v>
      </c>
      <c r="AT9" s="92">
        <v>922.6</v>
      </c>
      <c r="AU9" s="95" t="s">
        <v>601</v>
      </c>
      <c r="AV9" s="71">
        <v>51</v>
      </c>
      <c r="AW9" s="394">
        <f t="shared" ref="AW9:AW29" si="11">AV9*AT9</f>
        <v>47052.6</v>
      </c>
      <c r="AZ9" s="94"/>
      <c r="BA9" s="15">
        <v>2</v>
      </c>
      <c r="BB9" s="92">
        <v>897.2</v>
      </c>
      <c r="BC9" s="245">
        <v>44897</v>
      </c>
      <c r="BD9" s="92">
        <v>897.2</v>
      </c>
      <c r="BE9" s="95" t="s">
        <v>599</v>
      </c>
      <c r="BF9" s="71">
        <v>51</v>
      </c>
      <c r="BG9" s="394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603</v>
      </c>
      <c r="BP9" s="289">
        <v>51</v>
      </c>
      <c r="BQ9" s="482">
        <f t="shared" ref="BQ9:BQ29" si="13">BP9*BN9</f>
        <v>44993.73</v>
      </c>
      <c r="BR9" s="394"/>
      <c r="BT9" s="106"/>
      <c r="BU9" s="15">
        <v>1</v>
      </c>
      <c r="BV9" s="92">
        <v>556</v>
      </c>
      <c r="BW9" s="290">
        <v>44900</v>
      </c>
      <c r="BX9" s="92">
        <v>556</v>
      </c>
      <c r="BY9" s="580" t="s">
        <v>618</v>
      </c>
      <c r="BZ9" s="291">
        <v>58</v>
      </c>
      <c r="CA9" s="394">
        <f t="shared" si="5"/>
        <v>32248</v>
      </c>
      <c r="CD9" s="213"/>
      <c r="CE9" s="15">
        <v>2</v>
      </c>
      <c r="CF9" s="92">
        <v>889.9</v>
      </c>
      <c r="CG9" s="290">
        <v>44901</v>
      </c>
      <c r="CH9" s="92">
        <v>889.9</v>
      </c>
      <c r="CI9" s="292" t="s">
        <v>620</v>
      </c>
      <c r="CJ9" s="291">
        <v>51</v>
      </c>
      <c r="CK9" s="394">
        <f t="shared" ref="CK9:CK29" si="14">CJ9*CH9</f>
        <v>45384.9</v>
      </c>
      <c r="CN9" s="94"/>
      <c r="CO9" s="15">
        <v>2</v>
      </c>
      <c r="CP9" s="92">
        <v>884.5</v>
      </c>
      <c r="CQ9" s="290">
        <v>44901</v>
      </c>
      <c r="CR9" s="92">
        <v>884.5</v>
      </c>
      <c r="CS9" s="292" t="s">
        <v>627</v>
      </c>
      <c r="CT9" s="291">
        <v>51</v>
      </c>
      <c r="CU9" s="399">
        <f>CT9*CR9</f>
        <v>45109.5</v>
      </c>
      <c r="CX9" s="94"/>
      <c r="CY9" s="15">
        <v>2</v>
      </c>
      <c r="CZ9" s="92">
        <v>931.67</v>
      </c>
      <c r="DA9" s="245">
        <v>44902</v>
      </c>
      <c r="DB9" s="92">
        <v>931.67</v>
      </c>
      <c r="DC9" s="95" t="s">
        <v>634</v>
      </c>
      <c r="DD9" s="71">
        <v>51</v>
      </c>
      <c r="DE9" s="394">
        <f t="shared" ref="DE9:DE29" si="15">DD9*DB9</f>
        <v>47515.17</v>
      </c>
      <c r="DH9" s="94"/>
      <c r="DI9" s="15">
        <v>2</v>
      </c>
      <c r="DJ9" s="699">
        <v>894.5</v>
      </c>
      <c r="DK9" s="726">
        <v>44903</v>
      </c>
      <c r="DL9" s="699">
        <v>894.5</v>
      </c>
      <c r="DM9" s="727" t="s">
        <v>649</v>
      </c>
      <c r="DN9" s="728">
        <v>51</v>
      </c>
      <c r="DO9" s="399">
        <f t="shared" ref="DO9:DO29" si="16">DN9*DL9</f>
        <v>45619.5</v>
      </c>
      <c r="DR9" s="94"/>
      <c r="DS9" s="15">
        <v>2</v>
      </c>
      <c r="DT9" s="92">
        <v>922.15</v>
      </c>
      <c r="DU9" s="290">
        <v>44903</v>
      </c>
      <c r="DV9" s="92">
        <v>922.15</v>
      </c>
      <c r="DW9" s="292" t="s">
        <v>645</v>
      </c>
      <c r="DX9" s="291">
        <v>51</v>
      </c>
      <c r="DY9" s="394">
        <f t="shared" ref="DY9:DY29" si="17">DX9*DV9</f>
        <v>47029.65</v>
      </c>
      <c r="EB9" s="94"/>
      <c r="EC9" s="15">
        <v>2</v>
      </c>
      <c r="ED9" s="69">
        <v>884.5</v>
      </c>
      <c r="EE9" s="253">
        <v>44904</v>
      </c>
      <c r="EF9" s="69">
        <v>884.5</v>
      </c>
      <c r="EG9" s="70" t="s">
        <v>662</v>
      </c>
      <c r="EH9" s="71">
        <v>51</v>
      </c>
      <c r="EI9" s="394">
        <f t="shared" ref="EI9:EI28" si="18">EH9*EF9</f>
        <v>45109.5</v>
      </c>
      <c r="EL9" s="94"/>
      <c r="EM9" s="15">
        <v>2</v>
      </c>
      <c r="EN9" s="69">
        <v>878.6</v>
      </c>
      <c r="EO9" s="253">
        <v>44904</v>
      </c>
      <c r="EP9" s="69">
        <v>878.6</v>
      </c>
      <c r="EQ9" s="70" t="s">
        <v>660</v>
      </c>
      <c r="ER9" s="71">
        <v>51</v>
      </c>
      <c r="ES9" s="394">
        <f t="shared" ref="ES9:ES28" si="19">ER9*EP9</f>
        <v>44808.6</v>
      </c>
      <c r="EV9" s="332"/>
      <c r="EW9" s="15">
        <v>2</v>
      </c>
      <c r="EX9" s="92">
        <v>897.2</v>
      </c>
      <c r="EY9" s="245">
        <v>44907</v>
      </c>
      <c r="EZ9" s="92">
        <v>897.2</v>
      </c>
      <c r="FA9" s="70" t="s">
        <v>683</v>
      </c>
      <c r="FB9" s="71">
        <v>51</v>
      </c>
      <c r="FC9" s="394">
        <f t="shared" ref="FC9:FC29" si="20">FB9*EZ9</f>
        <v>45757.200000000004</v>
      </c>
      <c r="FF9" s="332"/>
      <c r="FG9" s="15">
        <v>2</v>
      </c>
      <c r="FH9" s="92">
        <v>892.7</v>
      </c>
      <c r="FI9" s="245">
        <v>44905</v>
      </c>
      <c r="FJ9" s="92">
        <v>892.7</v>
      </c>
      <c r="FK9" s="70" t="s">
        <v>679</v>
      </c>
      <c r="FL9" s="71">
        <v>51</v>
      </c>
      <c r="FM9" s="244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5">
        <v>44905</v>
      </c>
      <c r="FT9" s="92">
        <v>946.19</v>
      </c>
      <c r="FU9" s="70" t="s">
        <v>675</v>
      </c>
      <c r="FV9" s="71">
        <v>51</v>
      </c>
      <c r="FW9" s="394">
        <f t="shared" ref="FW9:FW29" si="22">FV9*FT9</f>
        <v>48255.69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6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>
        <v>44895</v>
      </c>
      <c r="P10" s="69">
        <v>893.6</v>
      </c>
      <c r="Q10" s="70" t="s">
        <v>583</v>
      </c>
      <c r="R10" s="71">
        <v>51</v>
      </c>
      <c r="S10" s="394">
        <f t="shared" si="8"/>
        <v>45573.599999999999</v>
      </c>
      <c r="V10" s="106"/>
      <c r="W10" s="15">
        <v>3</v>
      </c>
      <c r="X10" s="69">
        <v>914.4</v>
      </c>
      <c r="Y10" s="253">
        <v>44895</v>
      </c>
      <c r="Z10" s="69">
        <v>914.4</v>
      </c>
      <c r="AA10" s="700" t="s">
        <v>581</v>
      </c>
      <c r="AB10" s="701">
        <v>51</v>
      </c>
      <c r="AC10" s="394">
        <f t="shared" si="9"/>
        <v>46634.400000000001</v>
      </c>
      <c r="AF10" s="94"/>
      <c r="AG10" s="15">
        <v>3</v>
      </c>
      <c r="AH10" s="92">
        <v>934.85</v>
      </c>
      <c r="AI10" s="245">
        <v>44896</v>
      </c>
      <c r="AJ10" s="92">
        <v>934.85</v>
      </c>
      <c r="AK10" s="95" t="s">
        <v>588</v>
      </c>
      <c r="AL10" s="71">
        <v>51</v>
      </c>
      <c r="AM10" s="394">
        <f t="shared" si="10"/>
        <v>47677.35</v>
      </c>
      <c r="AP10" s="94"/>
      <c r="AQ10" s="15">
        <v>3</v>
      </c>
      <c r="AR10" s="92">
        <v>939.8</v>
      </c>
      <c r="AS10" s="245">
        <v>44897</v>
      </c>
      <c r="AT10" s="92">
        <v>939.8</v>
      </c>
      <c r="AU10" s="95" t="s">
        <v>596</v>
      </c>
      <c r="AV10" s="71">
        <v>51</v>
      </c>
      <c r="AW10" s="394">
        <f t="shared" si="11"/>
        <v>47929.799999999996</v>
      </c>
      <c r="AZ10" s="94"/>
      <c r="BA10" s="15">
        <v>3</v>
      </c>
      <c r="BB10" s="92">
        <v>912.6</v>
      </c>
      <c r="BC10" s="245">
        <v>44897</v>
      </c>
      <c r="BD10" s="92">
        <v>912.6</v>
      </c>
      <c r="BE10" s="95" t="s">
        <v>599</v>
      </c>
      <c r="BF10" s="71">
        <v>51</v>
      </c>
      <c r="BG10" s="394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603</v>
      </c>
      <c r="BP10" s="289">
        <v>51</v>
      </c>
      <c r="BQ10" s="482">
        <f t="shared" si="13"/>
        <v>48139.92</v>
      </c>
      <c r="BR10" s="394"/>
      <c r="BT10" s="106"/>
      <c r="BU10" s="15"/>
      <c r="BV10" s="92"/>
      <c r="BW10" s="290"/>
      <c r="BX10" s="1384"/>
      <c r="BY10" s="1385"/>
      <c r="BZ10" s="1386"/>
      <c r="CA10" s="1387">
        <f t="shared" si="5"/>
        <v>0</v>
      </c>
      <c r="CD10" s="213"/>
      <c r="CE10" s="15">
        <v>3</v>
      </c>
      <c r="CF10" s="92">
        <v>875.4</v>
      </c>
      <c r="CG10" s="290">
        <v>44901</v>
      </c>
      <c r="CH10" s="92">
        <v>875.4</v>
      </c>
      <c r="CI10" s="292" t="s">
        <v>620</v>
      </c>
      <c r="CJ10" s="291">
        <v>51</v>
      </c>
      <c r="CK10" s="394">
        <f t="shared" si="14"/>
        <v>44645.4</v>
      </c>
      <c r="CN10" s="94"/>
      <c r="CO10" s="15">
        <v>3</v>
      </c>
      <c r="CP10" s="92">
        <v>935.3</v>
      </c>
      <c r="CQ10" s="290">
        <v>44901</v>
      </c>
      <c r="CR10" s="92">
        <v>935.3</v>
      </c>
      <c r="CS10" s="292" t="s">
        <v>627</v>
      </c>
      <c r="CT10" s="291">
        <v>51</v>
      </c>
      <c r="CU10" s="399">
        <f t="shared" ref="CU10:CU30" si="48">CT10*CR10</f>
        <v>47700.299999999996</v>
      </c>
      <c r="CX10" s="94"/>
      <c r="CY10" s="15">
        <v>3</v>
      </c>
      <c r="CZ10" s="92">
        <v>944.37</v>
      </c>
      <c r="DA10" s="245">
        <v>44902</v>
      </c>
      <c r="DB10" s="92">
        <v>944.37</v>
      </c>
      <c r="DC10" s="95" t="s">
        <v>634</v>
      </c>
      <c r="DD10" s="71">
        <v>51</v>
      </c>
      <c r="DE10" s="394">
        <f t="shared" si="15"/>
        <v>48162.87</v>
      </c>
      <c r="DH10" s="94"/>
      <c r="DI10" s="15">
        <v>3</v>
      </c>
      <c r="DJ10" s="699">
        <v>871.8</v>
      </c>
      <c r="DK10" s="726">
        <v>44903</v>
      </c>
      <c r="DL10" s="699">
        <v>871.8</v>
      </c>
      <c r="DM10" s="727" t="s">
        <v>649</v>
      </c>
      <c r="DN10" s="728">
        <v>51</v>
      </c>
      <c r="DO10" s="399">
        <f t="shared" si="16"/>
        <v>44461.799999999996</v>
      </c>
      <c r="DR10" s="94"/>
      <c r="DS10" s="15">
        <v>3</v>
      </c>
      <c r="DT10" s="92">
        <v>920.33</v>
      </c>
      <c r="DU10" s="290">
        <v>44903</v>
      </c>
      <c r="DV10" s="92">
        <v>920.33</v>
      </c>
      <c r="DW10" s="292" t="s">
        <v>645</v>
      </c>
      <c r="DX10" s="291">
        <v>51</v>
      </c>
      <c r="DY10" s="394">
        <f t="shared" si="17"/>
        <v>46936.83</v>
      </c>
      <c r="EB10" s="94"/>
      <c r="EC10" s="15">
        <v>3</v>
      </c>
      <c r="ED10" s="69">
        <v>907.2</v>
      </c>
      <c r="EE10" s="253">
        <v>44904</v>
      </c>
      <c r="EF10" s="69">
        <v>907.2</v>
      </c>
      <c r="EG10" s="70" t="s">
        <v>662</v>
      </c>
      <c r="EH10" s="71">
        <v>51</v>
      </c>
      <c r="EI10" s="394">
        <f t="shared" si="18"/>
        <v>46267.200000000004</v>
      </c>
      <c r="EL10" s="94"/>
      <c r="EM10" s="15">
        <v>3</v>
      </c>
      <c r="EN10" s="69">
        <v>881.8</v>
      </c>
      <c r="EO10" s="253">
        <v>44904</v>
      </c>
      <c r="EP10" s="69">
        <v>881.8</v>
      </c>
      <c r="EQ10" s="70" t="s">
        <v>660</v>
      </c>
      <c r="ER10" s="71">
        <v>51</v>
      </c>
      <c r="ES10" s="394">
        <f t="shared" si="19"/>
        <v>44971.799999999996</v>
      </c>
      <c r="EV10" s="332"/>
      <c r="EW10" s="15">
        <v>3</v>
      </c>
      <c r="EX10" s="92">
        <v>889</v>
      </c>
      <c r="EY10" s="245">
        <v>44907</v>
      </c>
      <c r="EZ10" s="92">
        <v>889</v>
      </c>
      <c r="FA10" s="70" t="s">
        <v>683</v>
      </c>
      <c r="FB10" s="71">
        <v>51</v>
      </c>
      <c r="FC10" s="394">
        <f t="shared" si="20"/>
        <v>45339</v>
      </c>
      <c r="FF10" s="332"/>
      <c r="FG10" s="15">
        <v>3</v>
      </c>
      <c r="FH10" s="92">
        <v>907.2</v>
      </c>
      <c r="FI10" s="245">
        <v>44905</v>
      </c>
      <c r="FJ10" s="92">
        <v>907.2</v>
      </c>
      <c r="FK10" s="70" t="s">
        <v>679</v>
      </c>
      <c r="FL10" s="71">
        <v>51</v>
      </c>
      <c r="FM10" s="244">
        <f t="shared" si="21"/>
        <v>46267.200000000004</v>
      </c>
      <c r="FP10" s="94"/>
      <c r="FQ10" s="15">
        <v>3</v>
      </c>
      <c r="FR10" s="92">
        <v>950.72</v>
      </c>
      <c r="FS10" s="245">
        <v>44905</v>
      </c>
      <c r="FT10" s="92">
        <v>950.72</v>
      </c>
      <c r="FU10" s="70" t="s">
        <v>675</v>
      </c>
      <c r="FV10" s="71">
        <v>51</v>
      </c>
      <c r="FW10" s="394">
        <f t="shared" si="22"/>
        <v>48486.720000000001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6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>
        <v>44895</v>
      </c>
      <c r="P11" s="69">
        <v>911.7</v>
      </c>
      <c r="Q11" s="70" t="s">
        <v>583</v>
      </c>
      <c r="R11" s="71">
        <v>51</v>
      </c>
      <c r="S11" s="394">
        <f t="shared" si="8"/>
        <v>46496.700000000004</v>
      </c>
      <c r="U11" s="61"/>
      <c r="V11" s="106"/>
      <c r="W11" s="15">
        <v>4</v>
      </c>
      <c r="X11" s="69">
        <v>911.7</v>
      </c>
      <c r="Y11" s="253">
        <v>44895</v>
      </c>
      <c r="Z11" s="69">
        <v>911.7</v>
      </c>
      <c r="AA11" s="700" t="s">
        <v>581</v>
      </c>
      <c r="AB11" s="701">
        <v>51</v>
      </c>
      <c r="AC11" s="394">
        <f t="shared" si="9"/>
        <v>46496.700000000004</v>
      </c>
      <c r="AE11" s="61"/>
      <c r="AF11" s="106"/>
      <c r="AG11" s="15">
        <v>4</v>
      </c>
      <c r="AH11" s="92">
        <v>948.91</v>
      </c>
      <c r="AI11" s="245">
        <v>44896</v>
      </c>
      <c r="AJ11" s="92">
        <v>948.91</v>
      </c>
      <c r="AK11" s="95" t="s">
        <v>588</v>
      </c>
      <c r="AL11" s="71">
        <v>51</v>
      </c>
      <c r="AM11" s="394">
        <f t="shared" si="10"/>
        <v>48394.409999999996</v>
      </c>
      <c r="AO11" s="61"/>
      <c r="AP11" s="106"/>
      <c r="AQ11" s="15">
        <v>4</v>
      </c>
      <c r="AR11" s="92">
        <v>908.2</v>
      </c>
      <c r="AS11" s="245">
        <v>44897</v>
      </c>
      <c r="AT11" s="92">
        <v>908.2</v>
      </c>
      <c r="AU11" s="95" t="s">
        <v>596</v>
      </c>
      <c r="AV11" s="71">
        <v>51</v>
      </c>
      <c r="AW11" s="394">
        <f t="shared" si="11"/>
        <v>46318.200000000004</v>
      </c>
      <c r="AY11" s="61"/>
      <c r="AZ11" s="106"/>
      <c r="BA11" s="15">
        <v>4</v>
      </c>
      <c r="BB11" s="92">
        <v>883.6</v>
      </c>
      <c r="BC11" s="245">
        <v>44897</v>
      </c>
      <c r="BD11" s="92">
        <v>883.6</v>
      </c>
      <c r="BE11" s="95" t="s">
        <v>599</v>
      </c>
      <c r="BF11" s="71">
        <v>51</v>
      </c>
      <c r="BG11" s="394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603</v>
      </c>
      <c r="BP11" s="289">
        <v>51</v>
      </c>
      <c r="BQ11" s="482">
        <f t="shared" si="13"/>
        <v>49227.24</v>
      </c>
      <c r="BR11" s="394"/>
      <c r="BS11" s="61"/>
      <c r="BT11" s="106"/>
      <c r="BU11" s="15"/>
      <c r="BV11" s="92"/>
      <c r="BW11" s="290"/>
      <c r="BX11" s="1384"/>
      <c r="BY11" s="1385"/>
      <c r="BZ11" s="1386"/>
      <c r="CA11" s="1387">
        <f t="shared" si="5"/>
        <v>0</v>
      </c>
      <c r="CC11" s="61"/>
      <c r="CD11" s="213"/>
      <c r="CE11" s="15">
        <v>4</v>
      </c>
      <c r="CF11" s="92">
        <v>901.7</v>
      </c>
      <c r="CG11" s="290">
        <v>44901</v>
      </c>
      <c r="CH11" s="92">
        <v>901.7</v>
      </c>
      <c r="CI11" s="292" t="s">
        <v>620</v>
      </c>
      <c r="CJ11" s="291">
        <v>51</v>
      </c>
      <c r="CK11" s="394">
        <f t="shared" si="14"/>
        <v>45986.700000000004</v>
      </c>
      <c r="CM11" s="61"/>
      <c r="CN11" s="94"/>
      <c r="CO11" s="15">
        <v>4</v>
      </c>
      <c r="CP11" s="92">
        <v>932.6</v>
      </c>
      <c r="CQ11" s="290">
        <v>44901</v>
      </c>
      <c r="CR11" s="92">
        <v>932.6</v>
      </c>
      <c r="CS11" s="292" t="s">
        <v>627</v>
      </c>
      <c r="CT11" s="291">
        <v>51</v>
      </c>
      <c r="CU11" s="399">
        <f t="shared" si="48"/>
        <v>47562.6</v>
      </c>
      <c r="CW11" s="61"/>
      <c r="CX11" s="106"/>
      <c r="CY11" s="15">
        <v>4</v>
      </c>
      <c r="CZ11" s="92">
        <v>915.34</v>
      </c>
      <c r="DA11" s="245">
        <v>44902</v>
      </c>
      <c r="DB11" s="92">
        <v>915.34</v>
      </c>
      <c r="DC11" s="95" t="s">
        <v>634</v>
      </c>
      <c r="DD11" s="71">
        <v>51</v>
      </c>
      <c r="DE11" s="394">
        <f t="shared" si="15"/>
        <v>46682.340000000004</v>
      </c>
      <c r="DG11" s="61"/>
      <c r="DH11" s="106"/>
      <c r="DI11" s="15">
        <v>4</v>
      </c>
      <c r="DJ11" s="699">
        <v>913.5</v>
      </c>
      <c r="DK11" s="726">
        <v>44903</v>
      </c>
      <c r="DL11" s="699">
        <v>913.5</v>
      </c>
      <c r="DM11" s="727" t="s">
        <v>649</v>
      </c>
      <c r="DN11" s="728">
        <v>51</v>
      </c>
      <c r="DO11" s="399">
        <f t="shared" si="16"/>
        <v>46588.5</v>
      </c>
      <c r="DQ11" s="61"/>
      <c r="DR11" s="106"/>
      <c r="DS11" s="15">
        <v>4</v>
      </c>
      <c r="DT11" s="92">
        <v>918.52</v>
      </c>
      <c r="DU11" s="290">
        <v>44903</v>
      </c>
      <c r="DV11" s="92">
        <v>918.52</v>
      </c>
      <c r="DW11" s="292" t="s">
        <v>645</v>
      </c>
      <c r="DX11" s="291">
        <v>51</v>
      </c>
      <c r="DY11" s="394">
        <f t="shared" si="17"/>
        <v>46844.52</v>
      </c>
      <c r="EA11" s="61"/>
      <c r="EB11" s="106"/>
      <c r="EC11" s="15">
        <v>4</v>
      </c>
      <c r="ED11" s="69">
        <v>899</v>
      </c>
      <c r="EE11" s="253">
        <v>44904</v>
      </c>
      <c r="EF11" s="69">
        <v>899</v>
      </c>
      <c r="EG11" s="70" t="s">
        <v>662</v>
      </c>
      <c r="EH11" s="71">
        <v>51</v>
      </c>
      <c r="EI11" s="394">
        <f t="shared" si="18"/>
        <v>45849</v>
      </c>
      <c r="EK11" s="61"/>
      <c r="EL11" s="106"/>
      <c r="EM11" s="15">
        <v>4</v>
      </c>
      <c r="EN11" s="69">
        <v>902.2</v>
      </c>
      <c r="EO11" s="253">
        <v>44904</v>
      </c>
      <c r="EP11" s="69">
        <v>902.2</v>
      </c>
      <c r="EQ11" s="70" t="s">
        <v>660</v>
      </c>
      <c r="ER11" s="71">
        <v>51</v>
      </c>
      <c r="ES11" s="394">
        <f t="shared" si="19"/>
        <v>46012.200000000004</v>
      </c>
      <c r="EU11" s="504"/>
      <c r="EV11" s="332"/>
      <c r="EW11" s="15">
        <v>4</v>
      </c>
      <c r="EX11" s="92">
        <v>914.4</v>
      </c>
      <c r="EY11" s="245">
        <v>44907</v>
      </c>
      <c r="EZ11" s="92">
        <v>914.4</v>
      </c>
      <c r="FA11" s="70" t="s">
        <v>683</v>
      </c>
      <c r="FB11" s="71">
        <v>51</v>
      </c>
      <c r="FC11" s="394">
        <f t="shared" si="20"/>
        <v>46634.400000000001</v>
      </c>
      <c r="FE11" s="61"/>
      <c r="FF11" s="332"/>
      <c r="FG11" s="15">
        <v>4</v>
      </c>
      <c r="FH11" s="92">
        <v>899.9</v>
      </c>
      <c r="FI11" s="245">
        <v>44905</v>
      </c>
      <c r="FJ11" s="92">
        <v>899.9</v>
      </c>
      <c r="FK11" s="70" t="s">
        <v>679</v>
      </c>
      <c r="FL11" s="71">
        <v>51</v>
      </c>
      <c r="FM11" s="244">
        <f t="shared" si="21"/>
        <v>45894.9</v>
      </c>
      <c r="FO11" s="61"/>
      <c r="FP11" s="106"/>
      <c r="FQ11" s="15">
        <v>4</v>
      </c>
      <c r="FR11" s="92">
        <v>952.54</v>
      </c>
      <c r="FS11" s="245">
        <v>44905</v>
      </c>
      <c r="FT11" s="92">
        <v>952.54</v>
      </c>
      <c r="FU11" s="70" t="s">
        <v>675</v>
      </c>
      <c r="FV11" s="71">
        <v>51</v>
      </c>
      <c r="FW11" s="394">
        <f t="shared" si="22"/>
        <v>48579.54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6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>
        <v>44895</v>
      </c>
      <c r="P12" s="69">
        <v>866.4</v>
      </c>
      <c r="Q12" s="70" t="s">
        <v>583</v>
      </c>
      <c r="R12" s="71">
        <v>51</v>
      </c>
      <c r="S12" s="394">
        <f t="shared" si="8"/>
        <v>44186.400000000001</v>
      </c>
      <c r="V12" s="106"/>
      <c r="W12" s="15">
        <v>5</v>
      </c>
      <c r="X12" s="69">
        <v>898.1</v>
      </c>
      <c r="Y12" s="253">
        <v>44895</v>
      </c>
      <c r="Z12" s="69">
        <v>898.1</v>
      </c>
      <c r="AA12" s="700" t="s">
        <v>581</v>
      </c>
      <c r="AB12" s="701">
        <v>51</v>
      </c>
      <c r="AC12" s="394">
        <f t="shared" si="9"/>
        <v>45803.1</v>
      </c>
      <c r="AF12" s="106"/>
      <c r="AG12" s="15">
        <v>5</v>
      </c>
      <c r="AH12" s="92">
        <v>936.2</v>
      </c>
      <c r="AI12" s="245">
        <v>44896</v>
      </c>
      <c r="AJ12" s="92">
        <v>936.2</v>
      </c>
      <c r="AK12" s="95" t="s">
        <v>588</v>
      </c>
      <c r="AL12" s="71">
        <v>51</v>
      </c>
      <c r="AM12" s="394">
        <f t="shared" si="10"/>
        <v>47746.200000000004</v>
      </c>
      <c r="AP12" s="106"/>
      <c r="AQ12" s="15">
        <v>5</v>
      </c>
      <c r="AR12" s="92">
        <v>898.1</v>
      </c>
      <c r="AS12" s="245">
        <v>44897</v>
      </c>
      <c r="AT12" s="92">
        <v>898.1</v>
      </c>
      <c r="AU12" s="95" t="s">
        <v>601</v>
      </c>
      <c r="AV12" s="71">
        <v>51</v>
      </c>
      <c r="AW12" s="394">
        <f t="shared" si="11"/>
        <v>45803.1</v>
      </c>
      <c r="AZ12" s="106"/>
      <c r="BA12" s="15">
        <v>5</v>
      </c>
      <c r="BB12" s="92">
        <v>920.9</v>
      </c>
      <c r="BC12" s="245">
        <v>44897</v>
      </c>
      <c r="BD12" s="92">
        <v>920.9</v>
      </c>
      <c r="BE12" s="95" t="s">
        <v>599</v>
      </c>
      <c r="BF12" s="71">
        <v>51</v>
      </c>
      <c r="BG12" s="394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603</v>
      </c>
      <c r="BP12" s="289">
        <v>51</v>
      </c>
      <c r="BQ12" s="482">
        <f t="shared" si="13"/>
        <v>49736.22</v>
      </c>
      <c r="BR12" s="394"/>
      <c r="BT12" s="106"/>
      <c r="BU12" s="15"/>
      <c r="BV12" s="92"/>
      <c r="BW12" s="290"/>
      <c r="BX12" s="1384"/>
      <c r="BY12" s="1385"/>
      <c r="BZ12" s="1386"/>
      <c r="CA12" s="1387">
        <f t="shared" si="5"/>
        <v>0</v>
      </c>
      <c r="CD12" s="213"/>
      <c r="CE12" s="15">
        <v>5</v>
      </c>
      <c r="CF12" s="92">
        <v>891.8</v>
      </c>
      <c r="CG12" s="290">
        <v>44901</v>
      </c>
      <c r="CH12" s="92">
        <v>891.8</v>
      </c>
      <c r="CI12" s="292" t="s">
        <v>620</v>
      </c>
      <c r="CJ12" s="291">
        <v>51</v>
      </c>
      <c r="CK12" s="394">
        <f t="shared" si="14"/>
        <v>45481.799999999996</v>
      </c>
      <c r="CN12" s="94"/>
      <c r="CO12" s="15">
        <v>5</v>
      </c>
      <c r="CP12" s="92">
        <v>883.6</v>
      </c>
      <c r="CQ12" s="290">
        <v>44901</v>
      </c>
      <c r="CR12" s="92">
        <v>883.6</v>
      </c>
      <c r="CS12" s="292" t="s">
        <v>627</v>
      </c>
      <c r="CT12" s="291">
        <v>51</v>
      </c>
      <c r="CU12" s="399">
        <f t="shared" si="48"/>
        <v>45063.6</v>
      </c>
      <c r="CX12" s="106"/>
      <c r="CY12" s="15">
        <v>5</v>
      </c>
      <c r="CZ12" s="92">
        <v>916.71</v>
      </c>
      <c r="DA12" s="245">
        <v>44902</v>
      </c>
      <c r="DB12" s="92">
        <v>916.71</v>
      </c>
      <c r="DC12" s="95" t="s">
        <v>634</v>
      </c>
      <c r="DD12" s="71">
        <v>51</v>
      </c>
      <c r="DE12" s="394">
        <f t="shared" si="15"/>
        <v>46752.21</v>
      </c>
      <c r="DH12" s="106"/>
      <c r="DI12" s="15">
        <v>5</v>
      </c>
      <c r="DJ12" s="699">
        <v>899.9</v>
      </c>
      <c r="DK12" s="726">
        <v>44903</v>
      </c>
      <c r="DL12" s="699">
        <v>899.9</v>
      </c>
      <c r="DM12" s="727" t="s">
        <v>649</v>
      </c>
      <c r="DN12" s="728">
        <v>51</v>
      </c>
      <c r="DO12" s="399">
        <f t="shared" si="16"/>
        <v>45894.9</v>
      </c>
      <c r="DR12" s="106"/>
      <c r="DS12" s="15">
        <v>5</v>
      </c>
      <c r="DT12" s="92">
        <v>934.4</v>
      </c>
      <c r="DU12" s="290">
        <v>44903</v>
      </c>
      <c r="DV12" s="92">
        <v>934.4</v>
      </c>
      <c r="DW12" s="292" t="s">
        <v>645</v>
      </c>
      <c r="DX12" s="291">
        <v>51</v>
      </c>
      <c r="DY12" s="394">
        <f t="shared" si="17"/>
        <v>47654.400000000001</v>
      </c>
      <c r="EB12" s="106"/>
      <c r="EC12" s="15">
        <v>5</v>
      </c>
      <c r="ED12" s="69">
        <v>891.8</v>
      </c>
      <c r="EE12" s="253">
        <v>44904</v>
      </c>
      <c r="EF12" s="69">
        <v>891.8</v>
      </c>
      <c r="EG12" s="70" t="s">
        <v>662</v>
      </c>
      <c r="EH12" s="71">
        <v>51</v>
      </c>
      <c r="EI12" s="394">
        <f t="shared" si="18"/>
        <v>45481.799999999996</v>
      </c>
      <c r="EL12" s="106"/>
      <c r="EM12" s="15">
        <v>5</v>
      </c>
      <c r="EN12" s="69">
        <v>939.4</v>
      </c>
      <c r="EO12" s="253">
        <v>44904</v>
      </c>
      <c r="EP12" s="69">
        <v>939.4</v>
      </c>
      <c r="EQ12" s="70" t="s">
        <v>660</v>
      </c>
      <c r="ER12" s="71">
        <v>51</v>
      </c>
      <c r="ES12" s="394">
        <f t="shared" si="19"/>
        <v>47909.4</v>
      </c>
      <c r="EV12" s="332"/>
      <c r="EW12" s="15">
        <v>5</v>
      </c>
      <c r="EX12" s="92">
        <v>891.8</v>
      </c>
      <c r="EY12" s="245">
        <v>44907</v>
      </c>
      <c r="EZ12" s="92">
        <v>891.8</v>
      </c>
      <c r="FA12" s="70" t="s">
        <v>683</v>
      </c>
      <c r="FB12" s="71">
        <v>51</v>
      </c>
      <c r="FC12" s="394">
        <f t="shared" si="20"/>
        <v>45481.799999999996</v>
      </c>
      <c r="FF12" s="332"/>
      <c r="FG12" s="15">
        <v>5</v>
      </c>
      <c r="FH12" s="92">
        <v>914.4</v>
      </c>
      <c r="FI12" s="245">
        <v>44905</v>
      </c>
      <c r="FJ12" s="92">
        <v>914.4</v>
      </c>
      <c r="FK12" s="70" t="s">
        <v>679</v>
      </c>
      <c r="FL12" s="71">
        <v>51</v>
      </c>
      <c r="FM12" s="244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5">
        <v>44905</v>
      </c>
      <c r="FT12" s="92">
        <v>964.33</v>
      </c>
      <c r="FU12" s="70" t="s">
        <v>675</v>
      </c>
      <c r="FV12" s="71">
        <v>51</v>
      </c>
      <c r="FW12" s="394">
        <f t="shared" si="22"/>
        <v>49180.83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6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>
        <v>44895</v>
      </c>
      <c r="P13" s="69">
        <v>896.3</v>
      </c>
      <c r="Q13" s="70" t="s">
        <v>583</v>
      </c>
      <c r="R13" s="71">
        <v>51</v>
      </c>
      <c r="S13" s="394">
        <f t="shared" si="8"/>
        <v>45711.299999999996</v>
      </c>
      <c r="V13" s="106"/>
      <c r="W13" s="15">
        <v>6</v>
      </c>
      <c r="X13" s="69">
        <v>880</v>
      </c>
      <c r="Y13" s="253">
        <v>44895</v>
      </c>
      <c r="Z13" s="69">
        <v>880</v>
      </c>
      <c r="AA13" s="700" t="s">
        <v>581</v>
      </c>
      <c r="AB13" s="701">
        <v>51</v>
      </c>
      <c r="AC13" s="394">
        <f t="shared" si="9"/>
        <v>44880</v>
      </c>
      <c r="AF13" s="106"/>
      <c r="AG13" s="15">
        <v>6</v>
      </c>
      <c r="AH13" s="92">
        <v>949.82</v>
      </c>
      <c r="AI13" s="245">
        <v>44896</v>
      </c>
      <c r="AJ13" s="92">
        <v>949.82</v>
      </c>
      <c r="AK13" s="95" t="s">
        <v>588</v>
      </c>
      <c r="AL13" s="71">
        <v>51</v>
      </c>
      <c r="AM13" s="394">
        <f t="shared" si="10"/>
        <v>48440.82</v>
      </c>
      <c r="AP13" s="106"/>
      <c r="AQ13" s="15">
        <v>6</v>
      </c>
      <c r="AR13" s="92">
        <v>927.1</v>
      </c>
      <c r="AS13" s="245">
        <v>44897</v>
      </c>
      <c r="AT13" s="92">
        <v>927.1</v>
      </c>
      <c r="AU13" s="95" t="s">
        <v>601</v>
      </c>
      <c r="AV13" s="71">
        <v>51</v>
      </c>
      <c r="AW13" s="394">
        <f t="shared" si="11"/>
        <v>47282.1</v>
      </c>
      <c r="AZ13" s="106"/>
      <c r="BA13" s="15">
        <v>6</v>
      </c>
      <c r="BB13" s="92">
        <v>880</v>
      </c>
      <c r="BC13" s="245">
        <v>44897</v>
      </c>
      <c r="BD13" s="92">
        <v>880</v>
      </c>
      <c r="BE13" s="95" t="s">
        <v>599</v>
      </c>
      <c r="BF13" s="71">
        <v>51</v>
      </c>
      <c r="BG13" s="394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603</v>
      </c>
      <c r="BP13" s="289">
        <v>51</v>
      </c>
      <c r="BQ13" s="482">
        <f t="shared" si="13"/>
        <v>45965.279999999999</v>
      </c>
      <c r="BR13" s="394"/>
      <c r="BT13" s="106"/>
      <c r="BU13" s="15"/>
      <c r="BV13" s="92"/>
      <c r="BW13" s="290"/>
      <c r="BX13" s="92"/>
      <c r="BY13" s="580"/>
      <c r="BZ13" s="291"/>
      <c r="CA13" s="394">
        <f t="shared" si="5"/>
        <v>0</v>
      </c>
      <c r="CD13" s="213"/>
      <c r="CE13" s="15">
        <v>6</v>
      </c>
      <c r="CF13" s="92">
        <v>906.3</v>
      </c>
      <c r="CG13" s="290">
        <v>44901</v>
      </c>
      <c r="CH13" s="92">
        <v>906.3</v>
      </c>
      <c r="CI13" s="292" t="s">
        <v>620</v>
      </c>
      <c r="CJ13" s="291">
        <v>51</v>
      </c>
      <c r="CK13" s="394">
        <f t="shared" si="14"/>
        <v>46221.299999999996</v>
      </c>
      <c r="CN13" s="94"/>
      <c r="CO13" s="15">
        <v>6</v>
      </c>
      <c r="CP13" s="92">
        <v>921.7</v>
      </c>
      <c r="CQ13" s="290">
        <v>44901</v>
      </c>
      <c r="CR13" s="92">
        <v>921.7</v>
      </c>
      <c r="CS13" s="292" t="s">
        <v>627</v>
      </c>
      <c r="CT13" s="291">
        <v>51</v>
      </c>
      <c r="CU13" s="399">
        <f t="shared" si="48"/>
        <v>47006.700000000004</v>
      </c>
      <c r="CX13" s="106"/>
      <c r="CY13" s="15">
        <v>6</v>
      </c>
      <c r="CZ13" s="92">
        <v>929.86</v>
      </c>
      <c r="DA13" s="245">
        <v>44902</v>
      </c>
      <c r="DB13" s="92">
        <v>929.86</v>
      </c>
      <c r="DC13" s="95" t="s">
        <v>634</v>
      </c>
      <c r="DD13" s="71">
        <v>51</v>
      </c>
      <c r="DE13" s="394">
        <f t="shared" si="15"/>
        <v>47422.86</v>
      </c>
      <c r="DH13" s="106"/>
      <c r="DI13" s="15">
        <v>6</v>
      </c>
      <c r="DJ13" s="699">
        <v>929.9</v>
      </c>
      <c r="DK13" s="726">
        <v>44903</v>
      </c>
      <c r="DL13" s="699">
        <v>929.9</v>
      </c>
      <c r="DM13" s="727" t="s">
        <v>649</v>
      </c>
      <c r="DN13" s="728">
        <v>51</v>
      </c>
      <c r="DO13" s="399">
        <f t="shared" si="16"/>
        <v>47424.9</v>
      </c>
      <c r="DR13" s="106"/>
      <c r="DS13" s="15">
        <v>6</v>
      </c>
      <c r="DT13" s="92">
        <v>948.46</v>
      </c>
      <c r="DU13" s="290">
        <v>44903</v>
      </c>
      <c r="DV13" s="92">
        <v>948.46</v>
      </c>
      <c r="DW13" s="292" t="s">
        <v>645</v>
      </c>
      <c r="DX13" s="291">
        <v>51</v>
      </c>
      <c r="DY13" s="394">
        <f t="shared" si="17"/>
        <v>48371.46</v>
      </c>
      <c r="EB13" s="106"/>
      <c r="EC13" s="15">
        <v>6</v>
      </c>
      <c r="ED13" s="69">
        <v>876.3</v>
      </c>
      <c r="EE13" s="253">
        <v>44904</v>
      </c>
      <c r="EF13" s="69">
        <v>876.3</v>
      </c>
      <c r="EG13" s="70" t="s">
        <v>662</v>
      </c>
      <c r="EH13" s="71">
        <v>51</v>
      </c>
      <c r="EI13" s="394">
        <f t="shared" si="18"/>
        <v>44691.299999999996</v>
      </c>
      <c r="EL13" s="106"/>
      <c r="EM13" s="15">
        <v>6</v>
      </c>
      <c r="EN13" s="69">
        <v>885</v>
      </c>
      <c r="EO13" s="253">
        <v>44904</v>
      </c>
      <c r="EP13" s="69">
        <v>885</v>
      </c>
      <c r="EQ13" s="70" t="s">
        <v>660</v>
      </c>
      <c r="ER13" s="71">
        <v>51</v>
      </c>
      <c r="ES13" s="394">
        <f t="shared" si="19"/>
        <v>45135</v>
      </c>
      <c r="EV13" s="332"/>
      <c r="EW13" s="15">
        <v>6</v>
      </c>
      <c r="EX13" s="92">
        <v>863.6</v>
      </c>
      <c r="EY13" s="245">
        <v>44907</v>
      </c>
      <c r="EZ13" s="92">
        <v>863.6</v>
      </c>
      <c r="FA13" s="70" t="s">
        <v>683</v>
      </c>
      <c r="FB13" s="71">
        <v>51</v>
      </c>
      <c r="FC13" s="394">
        <f t="shared" si="20"/>
        <v>44043.6</v>
      </c>
      <c r="FF13" s="332"/>
      <c r="FG13" s="15">
        <v>6</v>
      </c>
      <c r="FH13" s="92">
        <v>889.9</v>
      </c>
      <c r="FI13" s="245">
        <v>44905</v>
      </c>
      <c r="FJ13" s="92">
        <v>889.9</v>
      </c>
      <c r="FK13" s="70" t="s">
        <v>679</v>
      </c>
      <c r="FL13" s="71">
        <v>51</v>
      </c>
      <c r="FM13" s="244">
        <f t="shared" si="21"/>
        <v>45384.9</v>
      </c>
      <c r="FP13" s="106"/>
      <c r="FQ13" s="15">
        <v>6</v>
      </c>
      <c r="FR13" s="92">
        <v>906.27</v>
      </c>
      <c r="FS13" s="245">
        <v>44905</v>
      </c>
      <c r="FT13" s="92">
        <v>906.27</v>
      </c>
      <c r="FU13" s="70" t="s">
        <v>675</v>
      </c>
      <c r="FV13" s="71">
        <v>51</v>
      </c>
      <c r="FW13" s="394">
        <f t="shared" si="22"/>
        <v>46219.77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6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>
        <v>44895</v>
      </c>
      <c r="P14" s="69">
        <v>907.2</v>
      </c>
      <c r="Q14" s="70" t="s">
        <v>583</v>
      </c>
      <c r="R14" s="71">
        <v>51</v>
      </c>
      <c r="S14" s="394">
        <f t="shared" si="8"/>
        <v>46267.200000000004</v>
      </c>
      <c r="V14" s="106"/>
      <c r="W14" s="15">
        <v>7</v>
      </c>
      <c r="X14" s="69">
        <v>893.6</v>
      </c>
      <c r="Y14" s="253">
        <v>44895</v>
      </c>
      <c r="Z14" s="69">
        <v>893.6</v>
      </c>
      <c r="AA14" s="700" t="s">
        <v>581</v>
      </c>
      <c r="AB14" s="701">
        <v>51</v>
      </c>
      <c r="AC14" s="394">
        <f t="shared" si="9"/>
        <v>45573.599999999999</v>
      </c>
      <c r="AF14" s="106"/>
      <c r="AG14" s="15">
        <v>7</v>
      </c>
      <c r="AH14" s="92">
        <v>973.4</v>
      </c>
      <c r="AI14" s="245">
        <v>44896</v>
      </c>
      <c r="AJ14" s="92">
        <v>973.4</v>
      </c>
      <c r="AK14" s="95" t="s">
        <v>588</v>
      </c>
      <c r="AL14" s="71">
        <v>51</v>
      </c>
      <c r="AM14" s="394">
        <f t="shared" si="10"/>
        <v>49643.4</v>
      </c>
      <c r="AP14" s="106"/>
      <c r="AQ14" s="15">
        <v>7</v>
      </c>
      <c r="AR14" s="92">
        <v>875.4</v>
      </c>
      <c r="AS14" s="245">
        <v>44897</v>
      </c>
      <c r="AT14" s="92">
        <v>875.4</v>
      </c>
      <c r="AU14" s="95" t="s">
        <v>596</v>
      </c>
      <c r="AV14" s="71">
        <v>51</v>
      </c>
      <c r="AW14" s="394">
        <f t="shared" si="11"/>
        <v>44645.4</v>
      </c>
      <c r="AZ14" s="106"/>
      <c r="BA14" s="15">
        <v>7</v>
      </c>
      <c r="BB14" s="92">
        <v>884.5</v>
      </c>
      <c r="BC14" s="245">
        <v>44897</v>
      </c>
      <c r="BD14" s="92">
        <v>884.5</v>
      </c>
      <c r="BE14" s="95" t="s">
        <v>599</v>
      </c>
      <c r="BF14" s="71">
        <v>51</v>
      </c>
      <c r="BG14" s="394">
        <f t="shared" si="12"/>
        <v>45109.5</v>
      </c>
      <c r="BJ14" s="670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603</v>
      </c>
      <c r="BP14" s="289">
        <v>51</v>
      </c>
      <c r="BQ14" s="482">
        <f t="shared" si="13"/>
        <v>44392.44</v>
      </c>
      <c r="BR14" s="394"/>
      <c r="BT14" s="106"/>
      <c r="BU14" s="15"/>
      <c r="BV14" s="92"/>
      <c r="BW14" s="290"/>
      <c r="BX14" s="92"/>
      <c r="BY14" s="580"/>
      <c r="BZ14" s="291"/>
      <c r="CA14" s="394">
        <f t="shared" si="5"/>
        <v>0</v>
      </c>
      <c r="CD14" s="213"/>
      <c r="CE14" s="15">
        <v>7</v>
      </c>
      <c r="CF14" s="92">
        <v>893.6</v>
      </c>
      <c r="CG14" s="290">
        <v>44901</v>
      </c>
      <c r="CH14" s="92">
        <v>893.6</v>
      </c>
      <c r="CI14" s="292" t="s">
        <v>620</v>
      </c>
      <c r="CJ14" s="291">
        <v>51</v>
      </c>
      <c r="CK14" s="394">
        <f t="shared" si="14"/>
        <v>45573.599999999999</v>
      </c>
      <c r="CN14" s="94"/>
      <c r="CO14" s="15">
        <v>7</v>
      </c>
      <c r="CP14" s="92">
        <v>867.3</v>
      </c>
      <c r="CQ14" s="290">
        <v>44901</v>
      </c>
      <c r="CR14" s="92">
        <v>867.3</v>
      </c>
      <c r="CS14" s="292" t="s">
        <v>627</v>
      </c>
      <c r="CT14" s="291">
        <v>51</v>
      </c>
      <c r="CU14" s="399">
        <f t="shared" si="48"/>
        <v>44232.299999999996</v>
      </c>
      <c r="CX14" s="106"/>
      <c r="CY14" s="15">
        <v>7</v>
      </c>
      <c r="CZ14" s="92">
        <v>934.85</v>
      </c>
      <c r="DA14" s="245">
        <v>44902</v>
      </c>
      <c r="DB14" s="92">
        <v>934.85</v>
      </c>
      <c r="DC14" s="95" t="s">
        <v>634</v>
      </c>
      <c r="DD14" s="71">
        <v>51</v>
      </c>
      <c r="DE14" s="394">
        <f t="shared" si="15"/>
        <v>47677.35</v>
      </c>
      <c r="DH14" s="106"/>
      <c r="DI14" s="15">
        <v>7</v>
      </c>
      <c r="DJ14" s="699">
        <v>902.6</v>
      </c>
      <c r="DK14" s="726">
        <v>44903</v>
      </c>
      <c r="DL14" s="699">
        <v>902.6</v>
      </c>
      <c r="DM14" s="727" t="s">
        <v>649</v>
      </c>
      <c r="DN14" s="728">
        <v>51</v>
      </c>
      <c r="DO14" s="399">
        <f t="shared" si="16"/>
        <v>46032.6</v>
      </c>
      <c r="DR14" s="106"/>
      <c r="DS14" s="15">
        <v>7</v>
      </c>
      <c r="DT14" s="92">
        <v>947.55</v>
      </c>
      <c r="DU14" s="290">
        <v>44903</v>
      </c>
      <c r="DV14" s="92">
        <v>947.55</v>
      </c>
      <c r="DW14" s="292" t="s">
        <v>645</v>
      </c>
      <c r="DX14" s="291">
        <v>51</v>
      </c>
      <c r="DY14" s="394">
        <f t="shared" si="17"/>
        <v>48325.049999999996</v>
      </c>
      <c r="EB14" s="106"/>
      <c r="EC14" s="15">
        <v>7</v>
      </c>
      <c r="ED14" s="69">
        <v>938</v>
      </c>
      <c r="EE14" s="253">
        <v>44904</v>
      </c>
      <c r="EF14" s="69">
        <v>938</v>
      </c>
      <c r="EG14" s="70" t="s">
        <v>662</v>
      </c>
      <c r="EH14" s="71">
        <v>51</v>
      </c>
      <c r="EI14" s="394">
        <f t="shared" si="18"/>
        <v>47838</v>
      </c>
      <c r="EL14" s="106"/>
      <c r="EM14" s="15">
        <v>7</v>
      </c>
      <c r="EN14" s="69">
        <v>920.8</v>
      </c>
      <c r="EO14" s="253">
        <v>44904</v>
      </c>
      <c r="EP14" s="69">
        <v>920.8</v>
      </c>
      <c r="EQ14" s="70" t="s">
        <v>660</v>
      </c>
      <c r="ER14" s="71">
        <v>51</v>
      </c>
      <c r="ES14" s="394">
        <f t="shared" si="19"/>
        <v>46960.799999999996</v>
      </c>
      <c r="EV14" s="332"/>
      <c r="EW14" s="15">
        <v>7</v>
      </c>
      <c r="EX14" s="92">
        <v>863.6</v>
      </c>
      <c r="EY14" s="245">
        <v>44907</v>
      </c>
      <c r="EZ14" s="92">
        <v>863.6</v>
      </c>
      <c r="FA14" s="70" t="s">
        <v>683</v>
      </c>
      <c r="FB14" s="71">
        <v>51</v>
      </c>
      <c r="FC14" s="394">
        <f t="shared" si="20"/>
        <v>44043.6</v>
      </c>
      <c r="FF14" s="332"/>
      <c r="FG14" s="15">
        <v>7</v>
      </c>
      <c r="FH14" s="92">
        <v>913.5</v>
      </c>
      <c r="FI14" s="245">
        <v>44905</v>
      </c>
      <c r="FJ14" s="92">
        <v>913.5</v>
      </c>
      <c r="FK14" s="70" t="s">
        <v>679</v>
      </c>
      <c r="FL14" s="71">
        <v>51</v>
      </c>
      <c r="FM14" s="244">
        <f t="shared" si="21"/>
        <v>46588.5</v>
      </c>
      <c r="FP14" s="106"/>
      <c r="FQ14" s="15">
        <v>7</v>
      </c>
      <c r="FR14" s="92">
        <v>941.65</v>
      </c>
      <c r="FS14" s="245">
        <v>44905</v>
      </c>
      <c r="FT14" s="92">
        <v>941.65</v>
      </c>
      <c r="FU14" s="70" t="s">
        <v>675</v>
      </c>
      <c r="FV14" s="71">
        <v>51</v>
      </c>
      <c r="FW14" s="394">
        <f t="shared" si="22"/>
        <v>48024.15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6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>
        <v>44895</v>
      </c>
      <c r="P15" s="69">
        <v>880</v>
      </c>
      <c r="Q15" s="70" t="s">
        <v>583</v>
      </c>
      <c r="R15" s="71">
        <v>51</v>
      </c>
      <c r="S15" s="394">
        <f t="shared" si="8"/>
        <v>44880</v>
      </c>
      <c r="V15" s="106"/>
      <c r="W15" s="15">
        <v>8</v>
      </c>
      <c r="X15" s="69">
        <v>920.8</v>
      </c>
      <c r="Y15" s="253">
        <v>44895</v>
      </c>
      <c r="Z15" s="69">
        <v>920.8</v>
      </c>
      <c r="AA15" s="700" t="s">
        <v>581</v>
      </c>
      <c r="AB15" s="701">
        <v>51</v>
      </c>
      <c r="AC15" s="394">
        <f t="shared" si="9"/>
        <v>46960.799999999996</v>
      </c>
      <c r="AF15" s="106"/>
      <c r="AG15" s="15">
        <v>8</v>
      </c>
      <c r="AH15" s="92">
        <v>960.25</v>
      </c>
      <c r="AI15" s="245">
        <v>44896</v>
      </c>
      <c r="AJ15" s="92">
        <v>960.25</v>
      </c>
      <c r="AK15" s="95" t="s">
        <v>588</v>
      </c>
      <c r="AL15" s="71">
        <v>51</v>
      </c>
      <c r="AM15" s="394">
        <f t="shared" si="10"/>
        <v>48972.75</v>
      </c>
      <c r="AP15" s="106"/>
      <c r="AQ15" s="15">
        <v>8</v>
      </c>
      <c r="AR15" s="92">
        <v>903.6</v>
      </c>
      <c r="AS15" s="245">
        <v>44897</v>
      </c>
      <c r="AT15" s="92">
        <v>903.6</v>
      </c>
      <c r="AU15" s="95" t="s">
        <v>596</v>
      </c>
      <c r="AV15" s="71">
        <v>51</v>
      </c>
      <c r="AW15" s="394">
        <f t="shared" si="11"/>
        <v>46083.6</v>
      </c>
      <c r="AZ15" s="106"/>
      <c r="BA15" s="15">
        <v>8</v>
      </c>
      <c r="BB15" s="92">
        <v>901.7</v>
      </c>
      <c r="BC15" s="245">
        <v>44897</v>
      </c>
      <c r="BD15" s="92">
        <v>901.7</v>
      </c>
      <c r="BE15" s="95" t="s">
        <v>599</v>
      </c>
      <c r="BF15" s="71">
        <v>51</v>
      </c>
      <c r="BG15" s="394">
        <f t="shared" si="12"/>
        <v>45986.700000000004</v>
      </c>
      <c r="BJ15" s="670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603</v>
      </c>
      <c r="BP15" s="289">
        <v>51</v>
      </c>
      <c r="BQ15" s="482">
        <f t="shared" si="13"/>
        <v>44924.37</v>
      </c>
      <c r="BR15" s="394"/>
      <c r="BT15" s="106"/>
      <c r="BU15" s="15"/>
      <c r="BV15" s="92"/>
      <c r="BW15" s="290"/>
      <c r="BX15" s="92"/>
      <c r="BY15" s="580"/>
      <c r="BZ15" s="291"/>
      <c r="CA15" s="394">
        <f t="shared" si="5"/>
        <v>0</v>
      </c>
      <c r="CD15" s="213"/>
      <c r="CE15" s="15">
        <v>8</v>
      </c>
      <c r="CF15" s="92">
        <v>919.9</v>
      </c>
      <c r="CG15" s="290">
        <v>44901</v>
      </c>
      <c r="CH15" s="92">
        <v>919.9</v>
      </c>
      <c r="CI15" s="292" t="s">
        <v>620</v>
      </c>
      <c r="CJ15" s="291">
        <v>51</v>
      </c>
      <c r="CK15" s="394">
        <f t="shared" si="14"/>
        <v>46914.9</v>
      </c>
      <c r="CN15" s="94"/>
      <c r="CO15" s="15">
        <v>8</v>
      </c>
      <c r="CP15" s="92">
        <v>935.3</v>
      </c>
      <c r="CQ15" s="290">
        <v>44901</v>
      </c>
      <c r="CR15" s="92">
        <v>935.3</v>
      </c>
      <c r="CS15" s="292" t="s">
        <v>627</v>
      </c>
      <c r="CT15" s="291">
        <v>51</v>
      </c>
      <c r="CU15" s="399">
        <f t="shared" si="48"/>
        <v>47700.299999999996</v>
      </c>
      <c r="CX15" s="106"/>
      <c r="CY15" s="15">
        <v>8</v>
      </c>
      <c r="CZ15" s="92">
        <v>947.1</v>
      </c>
      <c r="DA15" s="245">
        <v>44902</v>
      </c>
      <c r="DB15" s="92">
        <v>947.1</v>
      </c>
      <c r="DC15" s="95" t="s">
        <v>634</v>
      </c>
      <c r="DD15" s="71">
        <v>51</v>
      </c>
      <c r="DE15" s="394">
        <f t="shared" si="15"/>
        <v>48302.1</v>
      </c>
      <c r="DH15" s="106"/>
      <c r="DI15" s="15">
        <v>8</v>
      </c>
      <c r="DJ15" s="699">
        <v>919.9</v>
      </c>
      <c r="DK15" s="726">
        <v>44903</v>
      </c>
      <c r="DL15" s="699">
        <v>919.9</v>
      </c>
      <c r="DM15" s="727" t="s">
        <v>649</v>
      </c>
      <c r="DN15" s="728">
        <v>51</v>
      </c>
      <c r="DO15" s="399">
        <f t="shared" si="16"/>
        <v>46914.9</v>
      </c>
      <c r="DR15" s="106"/>
      <c r="DS15" s="15">
        <v>8</v>
      </c>
      <c r="DT15" s="92">
        <v>924.87</v>
      </c>
      <c r="DU15" s="290">
        <v>44903</v>
      </c>
      <c r="DV15" s="92">
        <v>924.87</v>
      </c>
      <c r="DW15" s="292" t="s">
        <v>645</v>
      </c>
      <c r="DX15" s="291">
        <v>51</v>
      </c>
      <c r="DY15" s="394">
        <f t="shared" si="17"/>
        <v>47168.37</v>
      </c>
      <c r="EB15" s="106"/>
      <c r="EC15" s="15">
        <v>8</v>
      </c>
      <c r="ED15" s="69">
        <v>880</v>
      </c>
      <c r="EE15" s="253">
        <v>44904</v>
      </c>
      <c r="EF15" s="69">
        <v>880</v>
      </c>
      <c r="EG15" s="70" t="s">
        <v>662</v>
      </c>
      <c r="EH15" s="71">
        <v>51</v>
      </c>
      <c r="EI15" s="394">
        <f t="shared" si="18"/>
        <v>44880</v>
      </c>
      <c r="EL15" s="106"/>
      <c r="EM15" s="15">
        <v>8</v>
      </c>
      <c r="EN15" s="69">
        <v>927.6</v>
      </c>
      <c r="EO15" s="253">
        <v>44904</v>
      </c>
      <c r="EP15" s="69">
        <v>927.6</v>
      </c>
      <c r="EQ15" s="70" t="s">
        <v>660</v>
      </c>
      <c r="ER15" s="71">
        <v>51</v>
      </c>
      <c r="ES15" s="394">
        <f t="shared" si="19"/>
        <v>47307.6</v>
      </c>
      <c r="EV15" s="332"/>
      <c r="EW15" s="15">
        <v>8</v>
      </c>
      <c r="EX15" s="92">
        <v>889.9</v>
      </c>
      <c r="EY15" s="245">
        <v>44907</v>
      </c>
      <c r="EZ15" s="92">
        <v>889.9</v>
      </c>
      <c r="FA15" s="70" t="s">
        <v>683</v>
      </c>
      <c r="FB15" s="71">
        <v>51</v>
      </c>
      <c r="FC15" s="394">
        <f t="shared" si="20"/>
        <v>45384.9</v>
      </c>
      <c r="FF15" s="332"/>
      <c r="FG15" s="15">
        <v>8</v>
      </c>
      <c r="FH15" s="92">
        <v>899</v>
      </c>
      <c r="FI15" s="245">
        <v>44905</v>
      </c>
      <c r="FJ15" s="92">
        <v>899</v>
      </c>
      <c r="FK15" s="70" t="s">
        <v>679</v>
      </c>
      <c r="FL15" s="71">
        <v>51</v>
      </c>
      <c r="FM15" s="244">
        <f t="shared" si="21"/>
        <v>45849</v>
      </c>
      <c r="FP15" s="106"/>
      <c r="FQ15" s="15">
        <v>8</v>
      </c>
      <c r="FR15" s="92">
        <v>949.82</v>
      </c>
      <c r="FS15" s="245">
        <v>44905</v>
      </c>
      <c r="FT15" s="92">
        <v>949.82</v>
      </c>
      <c r="FU15" s="70" t="s">
        <v>675</v>
      </c>
      <c r="FV15" s="71">
        <v>51</v>
      </c>
      <c r="FW15" s="394">
        <f t="shared" si="22"/>
        <v>48440.82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6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>
        <v>44895</v>
      </c>
      <c r="P16" s="69">
        <v>892.7</v>
      </c>
      <c r="Q16" s="70" t="s">
        <v>583</v>
      </c>
      <c r="R16" s="71">
        <v>51</v>
      </c>
      <c r="S16" s="394">
        <f t="shared" si="8"/>
        <v>45527.700000000004</v>
      </c>
      <c r="V16" s="106"/>
      <c r="W16" s="15">
        <v>9</v>
      </c>
      <c r="X16" s="69">
        <v>916.3</v>
      </c>
      <c r="Y16" s="253">
        <v>44895</v>
      </c>
      <c r="Z16" s="69">
        <v>916.3</v>
      </c>
      <c r="AA16" s="700" t="s">
        <v>581</v>
      </c>
      <c r="AB16" s="701">
        <v>51</v>
      </c>
      <c r="AC16" s="394">
        <f t="shared" si="9"/>
        <v>46731.299999999996</v>
      </c>
      <c r="AF16" s="106"/>
      <c r="AG16" s="15">
        <v>9</v>
      </c>
      <c r="AH16" s="92">
        <v>936.21</v>
      </c>
      <c r="AI16" s="245">
        <v>44896</v>
      </c>
      <c r="AJ16" s="92">
        <v>936.21</v>
      </c>
      <c r="AK16" s="95" t="s">
        <v>588</v>
      </c>
      <c r="AL16" s="71">
        <v>51</v>
      </c>
      <c r="AM16" s="394">
        <f t="shared" si="10"/>
        <v>47746.71</v>
      </c>
      <c r="AP16" s="106"/>
      <c r="AQ16" s="15">
        <v>9</v>
      </c>
      <c r="AR16" s="92">
        <v>924.4</v>
      </c>
      <c r="AS16" s="245">
        <v>44897</v>
      </c>
      <c r="AT16" s="92">
        <v>924.4</v>
      </c>
      <c r="AU16" s="95" t="s">
        <v>601</v>
      </c>
      <c r="AV16" s="71">
        <v>51</v>
      </c>
      <c r="AW16" s="394">
        <f t="shared" si="11"/>
        <v>47144.4</v>
      </c>
      <c r="AZ16" s="106"/>
      <c r="BA16" s="15">
        <v>9</v>
      </c>
      <c r="BB16" s="92">
        <v>936.2</v>
      </c>
      <c r="BC16" s="245">
        <v>44897</v>
      </c>
      <c r="BD16" s="92">
        <v>936.2</v>
      </c>
      <c r="BE16" s="95" t="s">
        <v>599</v>
      </c>
      <c r="BF16" s="71">
        <v>51</v>
      </c>
      <c r="BG16" s="394">
        <f t="shared" si="12"/>
        <v>47746.200000000004</v>
      </c>
      <c r="BJ16" s="670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603</v>
      </c>
      <c r="BP16" s="289">
        <v>51</v>
      </c>
      <c r="BQ16" s="482">
        <f t="shared" si="13"/>
        <v>47954.79</v>
      </c>
      <c r="BR16" s="394"/>
      <c r="BT16" s="106"/>
      <c r="BU16" s="15"/>
      <c r="BV16" s="92"/>
      <c r="BW16" s="290"/>
      <c r="BX16" s="92"/>
      <c r="BY16" s="580"/>
      <c r="BZ16" s="291"/>
      <c r="CA16" s="394">
        <f t="shared" si="5"/>
        <v>0</v>
      </c>
      <c r="CD16" s="213"/>
      <c r="CE16" s="15">
        <v>9</v>
      </c>
      <c r="CF16" s="92">
        <v>910.8</v>
      </c>
      <c r="CG16" s="290">
        <v>44901</v>
      </c>
      <c r="CH16" s="92">
        <v>910.8</v>
      </c>
      <c r="CI16" s="292" t="s">
        <v>620</v>
      </c>
      <c r="CJ16" s="291">
        <v>51</v>
      </c>
      <c r="CK16" s="394">
        <f t="shared" si="14"/>
        <v>46450.799999999996</v>
      </c>
      <c r="CN16" s="94"/>
      <c r="CO16" s="15">
        <v>9</v>
      </c>
      <c r="CP16" s="92">
        <v>932.6</v>
      </c>
      <c r="CQ16" s="290">
        <v>44901</v>
      </c>
      <c r="CR16" s="92">
        <v>932.6</v>
      </c>
      <c r="CS16" s="292" t="s">
        <v>627</v>
      </c>
      <c r="CT16" s="291">
        <v>51</v>
      </c>
      <c r="CU16" s="399">
        <f t="shared" si="48"/>
        <v>47562.6</v>
      </c>
      <c r="CX16" s="106"/>
      <c r="CY16" s="15">
        <v>9</v>
      </c>
      <c r="CZ16" s="92">
        <v>940.75</v>
      </c>
      <c r="DA16" s="245">
        <v>44902</v>
      </c>
      <c r="DB16" s="92">
        <v>940.75</v>
      </c>
      <c r="DC16" s="95" t="s">
        <v>634</v>
      </c>
      <c r="DD16" s="71">
        <v>51</v>
      </c>
      <c r="DE16" s="394">
        <f t="shared" si="15"/>
        <v>47978.25</v>
      </c>
      <c r="DH16" s="106"/>
      <c r="DI16" s="15">
        <v>9</v>
      </c>
      <c r="DJ16" s="699">
        <v>916.3</v>
      </c>
      <c r="DK16" s="726">
        <v>44903</v>
      </c>
      <c r="DL16" s="699">
        <v>916.3</v>
      </c>
      <c r="DM16" s="727" t="s">
        <v>649</v>
      </c>
      <c r="DN16" s="728">
        <v>51</v>
      </c>
      <c r="DO16" s="399">
        <f t="shared" si="16"/>
        <v>46731.299999999996</v>
      </c>
      <c r="DR16" s="106"/>
      <c r="DS16" s="15">
        <v>9</v>
      </c>
      <c r="DT16" s="92">
        <v>944.83</v>
      </c>
      <c r="DU16" s="290">
        <v>44903</v>
      </c>
      <c r="DV16" s="92">
        <v>944.83</v>
      </c>
      <c r="DW16" s="292" t="s">
        <v>645</v>
      </c>
      <c r="DX16" s="291">
        <v>51</v>
      </c>
      <c r="DY16" s="394">
        <f t="shared" si="17"/>
        <v>48186.33</v>
      </c>
      <c r="EB16" s="106"/>
      <c r="EC16" s="15">
        <v>9</v>
      </c>
      <c r="ED16" s="69">
        <v>893.6</v>
      </c>
      <c r="EE16" s="253">
        <v>44904</v>
      </c>
      <c r="EF16" s="69">
        <v>893.6</v>
      </c>
      <c r="EG16" s="70" t="s">
        <v>662</v>
      </c>
      <c r="EH16" s="71">
        <v>51</v>
      </c>
      <c r="EI16" s="394">
        <f t="shared" si="18"/>
        <v>45573.599999999999</v>
      </c>
      <c r="EL16" s="106"/>
      <c r="EM16" s="15">
        <v>9</v>
      </c>
      <c r="EN16" s="69">
        <v>932.1</v>
      </c>
      <c r="EO16" s="253">
        <v>44904</v>
      </c>
      <c r="EP16" s="69">
        <v>932.1</v>
      </c>
      <c r="EQ16" s="70" t="s">
        <v>660</v>
      </c>
      <c r="ER16" s="71">
        <v>51</v>
      </c>
      <c r="ES16" s="394">
        <f t="shared" si="19"/>
        <v>47537.1</v>
      </c>
      <c r="EV16" s="332"/>
      <c r="EW16" s="15">
        <v>9</v>
      </c>
      <c r="EX16" s="92">
        <v>896.3</v>
      </c>
      <c r="EY16" s="245">
        <v>44907</v>
      </c>
      <c r="EZ16" s="92">
        <v>896.3</v>
      </c>
      <c r="FA16" s="70" t="s">
        <v>683</v>
      </c>
      <c r="FB16" s="71">
        <v>51</v>
      </c>
      <c r="FC16" s="394">
        <f t="shared" si="20"/>
        <v>45711.299999999996</v>
      </c>
      <c r="FF16" s="332"/>
      <c r="FG16" s="15">
        <v>9</v>
      </c>
      <c r="FH16" s="92">
        <v>887.2</v>
      </c>
      <c r="FI16" s="245">
        <v>44905</v>
      </c>
      <c r="FJ16" s="92">
        <v>887.2</v>
      </c>
      <c r="FK16" s="70" t="s">
        <v>679</v>
      </c>
      <c r="FL16" s="71">
        <v>51</v>
      </c>
      <c r="FM16" s="244">
        <f t="shared" si="21"/>
        <v>45247.200000000004</v>
      </c>
      <c r="FP16" s="106"/>
      <c r="FQ16" s="15">
        <v>9</v>
      </c>
      <c r="FR16" s="92">
        <v>937.12</v>
      </c>
      <c r="FS16" s="245">
        <v>44905</v>
      </c>
      <c r="FT16" s="92">
        <v>937.12</v>
      </c>
      <c r="FU16" s="70" t="s">
        <v>675</v>
      </c>
      <c r="FV16" s="71">
        <v>51</v>
      </c>
      <c r="FW16" s="394">
        <f t="shared" si="22"/>
        <v>47793.120000000003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6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>
        <v>44895</v>
      </c>
      <c r="P17" s="69">
        <v>910.8</v>
      </c>
      <c r="Q17" s="70" t="s">
        <v>583</v>
      </c>
      <c r="R17" s="71">
        <v>51</v>
      </c>
      <c r="S17" s="394">
        <f t="shared" si="8"/>
        <v>46450.799999999996</v>
      </c>
      <c r="V17" s="106"/>
      <c r="W17" s="15">
        <v>10</v>
      </c>
      <c r="X17" s="69">
        <v>887.2</v>
      </c>
      <c r="Y17" s="253">
        <v>44895</v>
      </c>
      <c r="Z17" s="69">
        <v>887.2</v>
      </c>
      <c r="AA17" s="700" t="s">
        <v>581</v>
      </c>
      <c r="AB17" s="701">
        <v>51</v>
      </c>
      <c r="AC17" s="394">
        <f t="shared" si="9"/>
        <v>45247.200000000004</v>
      </c>
      <c r="AF17" s="106"/>
      <c r="AG17" s="15">
        <v>10</v>
      </c>
      <c r="AH17" s="92">
        <v>953.9</v>
      </c>
      <c r="AI17" s="245">
        <v>44896</v>
      </c>
      <c r="AJ17" s="92">
        <v>953.9</v>
      </c>
      <c r="AK17" s="95" t="s">
        <v>588</v>
      </c>
      <c r="AL17" s="71">
        <v>51</v>
      </c>
      <c r="AM17" s="394">
        <f t="shared" si="10"/>
        <v>48648.9</v>
      </c>
      <c r="AP17" s="106"/>
      <c r="AQ17" s="15">
        <v>10</v>
      </c>
      <c r="AR17" s="92">
        <v>906.3</v>
      </c>
      <c r="AS17" s="245">
        <v>44897</v>
      </c>
      <c r="AT17" s="92">
        <v>906.3</v>
      </c>
      <c r="AU17" s="95" t="s">
        <v>601</v>
      </c>
      <c r="AV17" s="71">
        <v>51</v>
      </c>
      <c r="AW17" s="394">
        <f t="shared" si="11"/>
        <v>46221.299999999996</v>
      </c>
      <c r="AZ17" s="106"/>
      <c r="BA17" s="15">
        <v>10</v>
      </c>
      <c r="BB17" s="92">
        <v>926.2</v>
      </c>
      <c r="BC17" s="245">
        <v>44897</v>
      </c>
      <c r="BD17" s="92">
        <v>926.2</v>
      </c>
      <c r="BE17" s="95" t="s">
        <v>599</v>
      </c>
      <c r="BF17" s="71">
        <v>51</v>
      </c>
      <c r="BG17" s="394">
        <f t="shared" si="12"/>
        <v>47236.200000000004</v>
      </c>
      <c r="BJ17" s="670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603</v>
      </c>
      <c r="BP17" s="289">
        <v>51</v>
      </c>
      <c r="BQ17" s="482">
        <f t="shared" si="13"/>
        <v>44669.88</v>
      </c>
      <c r="BR17" s="394"/>
      <c r="BT17" s="106"/>
      <c r="BU17" s="15"/>
      <c r="BV17" s="69"/>
      <c r="BW17" s="290"/>
      <c r="BX17" s="69"/>
      <c r="BY17" s="580"/>
      <c r="BZ17" s="291"/>
      <c r="CA17" s="394">
        <f t="shared" si="5"/>
        <v>0</v>
      </c>
      <c r="CD17" s="213"/>
      <c r="CE17" s="15">
        <v>10</v>
      </c>
      <c r="CF17" s="92">
        <v>905.4</v>
      </c>
      <c r="CG17" s="290">
        <v>44901</v>
      </c>
      <c r="CH17" s="92">
        <v>905.4</v>
      </c>
      <c r="CI17" s="292" t="s">
        <v>620</v>
      </c>
      <c r="CJ17" s="291">
        <v>51</v>
      </c>
      <c r="CK17" s="394">
        <f t="shared" si="14"/>
        <v>46175.4</v>
      </c>
      <c r="CN17" s="94"/>
      <c r="CO17" s="15">
        <v>10</v>
      </c>
      <c r="CP17" s="92">
        <v>895.4</v>
      </c>
      <c r="CQ17" s="290">
        <v>44901</v>
      </c>
      <c r="CR17" s="92">
        <v>895.4</v>
      </c>
      <c r="CS17" s="292" t="s">
        <v>627</v>
      </c>
      <c r="CT17" s="291">
        <v>51</v>
      </c>
      <c r="CU17" s="399">
        <f t="shared" si="48"/>
        <v>45665.4</v>
      </c>
      <c r="CX17" s="106"/>
      <c r="CY17" s="15">
        <v>10</v>
      </c>
      <c r="CZ17" s="92">
        <v>914.44</v>
      </c>
      <c r="DA17" s="245">
        <v>44902</v>
      </c>
      <c r="DB17" s="92">
        <v>914.44</v>
      </c>
      <c r="DC17" s="95" t="s">
        <v>634</v>
      </c>
      <c r="DD17" s="71">
        <v>51</v>
      </c>
      <c r="DE17" s="394">
        <f t="shared" si="15"/>
        <v>46636.44</v>
      </c>
      <c r="DH17" s="106"/>
      <c r="DI17" s="15">
        <v>10</v>
      </c>
      <c r="DJ17" s="702">
        <v>861.8</v>
      </c>
      <c r="DK17" s="726">
        <v>44903</v>
      </c>
      <c r="DL17" s="702">
        <v>861.8</v>
      </c>
      <c r="DM17" s="727" t="s">
        <v>649</v>
      </c>
      <c r="DN17" s="728">
        <v>51</v>
      </c>
      <c r="DO17" s="399">
        <f t="shared" si="16"/>
        <v>43951.799999999996</v>
      </c>
      <c r="DR17" s="106"/>
      <c r="DS17" s="15">
        <v>10</v>
      </c>
      <c r="DT17" s="69">
        <v>877.24</v>
      </c>
      <c r="DU17" s="290">
        <v>44903</v>
      </c>
      <c r="DV17" s="69">
        <v>877.24</v>
      </c>
      <c r="DW17" s="292" t="s">
        <v>645</v>
      </c>
      <c r="DX17" s="291">
        <v>51</v>
      </c>
      <c r="DY17" s="394">
        <f t="shared" si="17"/>
        <v>44739.24</v>
      </c>
      <c r="EB17" s="106"/>
      <c r="EC17" s="15">
        <v>10</v>
      </c>
      <c r="ED17" s="69">
        <v>892.7</v>
      </c>
      <c r="EE17" s="253">
        <v>44904</v>
      </c>
      <c r="EF17" s="69">
        <v>892.7</v>
      </c>
      <c r="EG17" s="70" t="s">
        <v>662</v>
      </c>
      <c r="EH17" s="71">
        <v>51</v>
      </c>
      <c r="EI17" s="394">
        <f t="shared" si="18"/>
        <v>45527.700000000004</v>
      </c>
      <c r="EL17" s="106"/>
      <c r="EM17" s="15">
        <v>10</v>
      </c>
      <c r="EN17" s="69">
        <v>940.3</v>
      </c>
      <c r="EO17" s="253">
        <v>44904</v>
      </c>
      <c r="EP17" s="69">
        <v>940.3</v>
      </c>
      <c r="EQ17" s="70" t="s">
        <v>660</v>
      </c>
      <c r="ER17" s="71">
        <v>51</v>
      </c>
      <c r="ES17" s="394">
        <f t="shared" si="19"/>
        <v>47955.299999999996</v>
      </c>
      <c r="EV17" s="106"/>
      <c r="EW17" s="15">
        <v>10</v>
      </c>
      <c r="EX17" s="92">
        <v>920.8</v>
      </c>
      <c r="EY17" s="245">
        <v>44907</v>
      </c>
      <c r="EZ17" s="92">
        <v>920.8</v>
      </c>
      <c r="FA17" s="70" t="s">
        <v>683</v>
      </c>
      <c r="FB17" s="71">
        <v>51</v>
      </c>
      <c r="FC17" s="394">
        <f t="shared" si="20"/>
        <v>46960.799999999996</v>
      </c>
      <c r="FF17" s="106"/>
      <c r="FG17" s="15">
        <v>10</v>
      </c>
      <c r="FH17" s="92">
        <v>911.7</v>
      </c>
      <c r="FI17" s="245">
        <v>44905</v>
      </c>
      <c r="FJ17" s="92">
        <v>911.7</v>
      </c>
      <c r="FK17" s="70" t="s">
        <v>679</v>
      </c>
      <c r="FL17" s="71">
        <v>51</v>
      </c>
      <c r="FM17" s="244">
        <f t="shared" si="21"/>
        <v>46496.700000000004</v>
      </c>
      <c r="FP17" s="106"/>
      <c r="FQ17" s="15">
        <v>10</v>
      </c>
      <c r="FR17" s="92">
        <v>969.78</v>
      </c>
      <c r="FS17" s="245">
        <v>44905</v>
      </c>
      <c r="FT17" s="92">
        <v>969.78</v>
      </c>
      <c r="FU17" s="70" t="s">
        <v>675</v>
      </c>
      <c r="FV17" s="71">
        <v>51</v>
      </c>
      <c r="FW17" s="394">
        <f t="shared" si="22"/>
        <v>49458.78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6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>
        <v>44895</v>
      </c>
      <c r="P18" s="69">
        <v>862.7</v>
      </c>
      <c r="Q18" s="70" t="s">
        <v>585</v>
      </c>
      <c r="R18" s="71">
        <v>51</v>
      </c>
      <c r="S18" s="394">
        <f t="shared" si="8"/>
        <v>43997.700000000004</v>
      </c>
      <c r="V18" s="106"/>
      <c r="W18" s="15">
        <v>11</v>
      </c>
      <c r="X18" s="69">
        <v>891.8</v>
      </c>
      <c r="Y18" s="253">
        <v>44895</v>
      </c>
      <c r="Z18" s="69">
        <v>891.8</v>
      </c>
      <c r="AA18" s="700" t="s">
        <v>584</v>
      </c>
      <c r="AB18" s="701">
        <v>51</v>
      </c>
      <c r="AC18" s="394">
        <f t="shared" si="9"/>
        <v>45481.799999999996</v>
      </c>
      <c r="AF18" s="106"/>
      <c r="AG18" s="15">
        <v>11</v>
      </c>
      <c r="AH18" s="92">
        <v>975.22</v>
      </c>
      <c r="AI18" s="245">
        <v>44896</v>
      </c>
      <c r="AJ18" s="92">
        <v>975.22</v>
      </c>
      <c r="AK18" s="95" t="s">
        <v>589</v>
      </c>
      <c r="AL18" s="71">
        <v>51</v>
      </c>
      <c r="AM18" s="394">
        <f t="shared" si="10"/>
        <v>49736.22</v>
      </c>
      <c r="AP18" s="106"/>
      <c r="AQ18" s="15">
        <v>11</v>
      </c>
      <c r="AR18" s="92">
        <v>930.8</v>
      </c>
      <c r="AS18" s="245">
        <v>44897</v>
      </c>
      <c r="AT18" s="92">
        <v>930.8</v>
      </c>
      <c r="AU18" s="95" t="s">
        <v>596</v>
      </c>
      <c r="AV18" s="71">
        <v>51</v>
      </c>
      <c r="AW18" s="394">
        <f t="shared" si="11"/>
        <v>47470.799999999996</v>
      </c>
      <c r="AZ18" s="106"/>
      <c r="BA18" s="15">
        <v>11</v>
      </c>
      <c r="BB18" s="92">
        <v>915.3</v>
      </c>
      <c r="BC18" s="245">
        <v>44897</v>
      </c>
      <c r="BD18" s="92">
        <v>915.3</v>
      </c>
      <c r="BE18" s="95" t="s">
        <v>600</v>
      </c>
      <c r="BF18" s="71">
        <v>51</v>
      </c>
      <c r="BG18" s="394">
        <f t="shared" si="12"/>
        <v>46680.299999999996</v>
      </c>
      <c r="BJ18" s="670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610</v>
      </c>
      <c r="BP18" s="289">
        <v>51</v>
      </c>
      <c r="BQ18" s="482">
        <f t="shared" si="13"/>
        <v>45294.63</v>
      </c>
      <c r="BR18" s="394"/>
      <c r="BT18" s="106"/>
      <c r="BU18" s="15"/>
      <c r="BV18" s="92"/>
      <c r="BW18" s="290"/>
      <c r="BX18" s="92"/>
      <c r="BY18" s="580"/>
      <c r="BZ18" s="291"/>
      <c r="CA18" s="394">
        <f t="shared" si="5"/>
        <v>0</v>
      </c>
      <c r="CD18" s="213"/>
      <c r="CE18" s="15">
        <v>11</v>
      </c>
      <c r="CF18" s="69">
        <v>906.3</v>
      </c>
      <c r="CG18" s="290">
        <v>44901</v>
      </c>
      <c r="CH18" s="69">
        <v>906.3</v>
      </c>
      <c r="CI18" s="292" t="s">
        <v>621</v>
      </c>
      <c r="CJ18" s="291">
        <v>51</v>
      </c>
      <c r="CK18" s="394">
        <f t="shared" si="14"/>
        <v>46221.299999999996</v>
      </c>
      <c r="CN18" s="94"/>
      <c r="CO18" s="15">
        <v>11</v>
      </c>
      <c r="CP18" s="69">
        <v>873.6</v>
      </c>
      <c r="CQ18" s="290">
        <v>44901</v>
      </c>
      <c r="CR18" s="69">
        <v>873.6</v>
      </c>
      <c r="CS18" s="292" t="s">
        <v>628</v>
      </c>
      <c r="CT18" s="291">
        <v>51</v>
      </c>
      <c r="CU18" s="399">
        <f t="shared" si="48"/>
        <v>44553.599999999999</v>
      </c>
      <c r="CX18" s="106"/>
      <c r="CY18" s="15">
        <v>11</v>
      </c>
      <c r="CZ18" s="92">
        <v>928.5</v>
      </c>
      <c r="DA18" s="245">
        <v>44902</v>
      </c>
      <c r="DB18" s="92">
        <v>928.5</v>
      </c>
      <c r="DC18" s="95" t="s">
        <v>633</v>
      </c>
      <c r="DD18" s="71">
        <v>51</v>
      </c>
      <c r="DE18" s="394">
        <f t="shared" si="15"/>
        <v>47353.5</v>
      </c>
      <c r="DH18" s="106"/>
      <c r="DI18" s="15">
        <v>11</v>
      </c>
      <c r="DJ18" s="699">
        <v>877.2</v>
      </c>
      <c r="DK18" s="726">
        <v>44903</v>
      </c>
      <c r="DL18" s="699">
        <v>877.2</v>
      </c>
      <c r="DM18" s="727" t="s">
        <v>650</v>
      </c>
      <c r="DN18" s="728">
        <v>51</v>
      </c>
      <c r="DO18" s="399">
        <f t="shared" si="16"/>
        <v>44737.200000000004</v>
      </c>
      <c r="DR18" s="106"/>
      <c r="DS18" s="15">
        <v>11</v>
      </c>
      <c r="DT18" s="92">
        <v>912.17</v>
      </c>
      <c r="DU18" s="290">
        <v>44903</v>
      </c>
      <c r="DV18" s="92">
        <v>912.17</v>
      </c>
      <c r="DW18" s="292" t="s">
        <v>646</v>
      </c>
      <c r="DX18" s="291">
        <v>51</v>
      </c>
      <c r="DY18" s="394">
        <f t="shared" si="17"/>
        <v>46520.67</v>
      </c>
      <c r="EB18" s="106"/>
      <c r="EC18" s="15">
        <v>11</v>
      </c>
      <c r="ED18" s="69">
        <v>889.9</v>
      </c>
      <c r="EE18" s="253">
        <v>44904</v>
      </c>
      <c r="EF18" s="69">
        <v>889.9</v>
      </c>
      <c r="EG18" s="70" t="s">
        <v>663</v>
      </c>
      <c r="EH18" s="71">
        <v>51</v>
      </c>
      <c r="EI18" s="394">
        <f t="shared" si="18"/>
        <v>45384.9</v>
      </c>
      <c r="EL18" s="106"/>
      <c r="EM18" s="15">
        <v>11</v>
      </c>
      <c r="EN18" s="69">
        <v>877.7</v>
      </c>
      <c r="EO18" s="253">
        <v>44904</v>
      </c>
      <c r="EP18" s="69">
        <v>877.7</v>
      </c>
      <c r="EQ18" s="70" t="s">
        <v>661</v>
      </c>
      <c r="ER18" s="71">
        <v>51</v>
      </c>
      <c r="ES18" s="394">
        <f t="shared" si="19"/>
        <v>44762.700000000004</v>
      </c>
      <c r="EV18" s="106"/>
      <c r="EW18" s="15">
        <v>11</v>
      </c>
      <c r="EX18" s="92">
        <v>900.8</v>
      </c>
      <c r="EY18" s="245">
        <v>44904</v>
      </c>
      <c r="EZ18" s="92">
        <v>900.8</v>
      </c>
      <c r="FA18" s="70" t="s">
        <v>665</v>
      </c>
      <c r="FB18" s="71">
        <v>51</v>
      </c>
      <c r="FC18" s="394">
        <f t="shared" si="20"/>
        <v>45940.799999999996</v>
      </c>
      <c r="FF18" s="106"/>
      <c r="FG18" s="15">
        <v>11</v>
      </c>
      <c r="FH18" s="92">
        <v>878.2</v>
      </c>
      <c r="FI18" s="245">
        <v>44905</v>
      </c>
      <c r="FJ18" s="92">
        <v>878.2</v>
      </c>
      <c r="FK18" s="70" t="s">
        <v>680</v>
      </c>
      <c r="FL18" s="71">
        <v>51</v>
      </c>
      <c r="FM18" s="244">
        <f t="shared" si="21"/>
        <v>44788.200000000004</v>
      </c>
      <c r="FP18" s="106"/>
      <c r="FQ18" s="15">
        <v>11</v>
      </c>
      <c r="FR18" s="92">
        <v>948.91</v>
      </c>
      <c r="FS18" s="245">
        <v>44905</v>
      </c>
      <c r="FT18" s="92">
        <v>948.91</v>
      </c>
      <c r="FU18" s="70" t="s">
        <v>676</v>
      </c>
      <c r="FV18" s="71">
        <v>51</v>
      </c>
      <c r="FW18" s="394">
        <f t="shared" si="22"/>
        <v>48394.409999999996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6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>
        <v>44895</v>
      </c>
      <c r="P19" s="69">
        <v>877.2</v>
      </c>
      <c r="Q19" s="70" t="s">
        <v>585</v>
      </c>
      <c r="R19" s="71">
        <v>51</v>
      </c>
      <c r="S19" s="394">
        <f t="shared" si="8"/>
        <v>44737.200000000004</v>
      </c>
      <c r="V19" s="94"/>
      <c r="W19" s="15">
        <v>12</v>
      </c>
      <c r="X19" s="69">
        <v>870.9</v>
      </c>
      <c r="Y19" s="253">
        <v>44895</v>
      </c>
      <c r="Z19" s="69">
        <v>870.9</v>
      </c>
      <c r="AA19" s="700" t="s">
        <v>584</v>
      </c>
      <c r="AB19" s="701">
        <v>51</v>
      </c>
      <c r="AC19" s="394">
        <f t="shared" si="9"/>
        <v>44415.9</v>
      </c>
      <c r="AF19" s="106"/>
      <c r="AG19" s="15">
        <v>12</v>
      </c>
      <c r="AH19" s="69">
        <v>967.96</v>
      </c>
      <c r="AI19" s="245">
        <v>44896</v>
      </c>
      <c r="AJ19" s="69">
        <v>967.96</v>
      </c>
      <c r="AK19" s="95" t="s">
        <v>589</v>
      </c>
      <c r="AL19" s="71">
        <v>51</v>
      </c>
      <c r="AM19" s="394">
        <f t="shared" si="10"/>
        <v>49365.96</v>
      </c>
      <c r="AP19" s="106"/>
      <c r="AQ19" s="15">
        <v>12</v>
      </c>
      <c r="AR19" s="92">
        <v>916.3</v>
      </c>
      <c r="AS19" s="245">
        <v>44897</v>
      </c>
      <c r="AT19" s="92">
        <v>916.3</v>
      </c>
      <c r="AU19" s="95" t="s">
        <v>596</v>
      </c>
      <c r="AV19" s="71">
        <v>51</v>
      </c>
      <c r="AW19" s="394">
        <f t="shared" si="11"/>
        <v>46731.299999999996</v>
      </c>
      <c r="AZ19" s="106"/>
      <c r="BA19" s="15">
        <v>12</v>
      </c>
      <c r="BB19" s="92">
        <v>886.3</v>
      </c>
      <c r="BC19" s="245">
        <v>44897</v>
      </c>
      <c r="BD19" s="92">
        <v>886.3</v>
      </c>
      <c r="BE19" s="95" t="s">
        <v>600</v>
      </c>
      <c r="BF19" s="71">
        <v>51</v>
      </c>
      <c r="BG19" s="394">
        <f t="shared" si="12"/>
        <v>45201.299999999996</v>
      </c>
      <c r="BJ19" s="670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610</v>
      </c>
      <c r="BP19" s="289">
        <v>51</v>
      </c>
      <c r="BQ19" s="482">
        <f t="shared" si="13"/>
        <v>48209.279999999999</v>
      </c>
      <c r="BR19" s="394"/>
      <c r="BT19" s="106"/>
      <c r="BU19" s="15"/>
      <c r="BV19" s="92"/>
      <c r="BW19" s="290"/>
      <c r="BX19" s="92"/>
      <c r="BY19" s="580"/>
      <c r="BZ19" s="291"/>
      <c r="CA19" s="394">
        <f t="shared" si="5"/>
        <v>0</v>
      </c>
      <c r="CD19" s="213"/>
      <c r="CE19" s="15">
        <v>12</v>
      </c>
      <c r="CF19" s="92">
        <v>901.7</v>
      </c>
      <c r="CG19" s="290">
        <v>44901</v>
      </c>
      <c r="CH19" s="92">
        <v>901.7</v>
      </c>
      <c r="CI19" s="292" t="s">
        <v>621</v>
      </c>
      <c r="CJ19" s="291">
        <v>51</v>
      </c>
      <c r="CK19" s="244">
        <f t="shared" si="14"/>
        <v>45986.700000000004</v>
      </c>
      <c r="CN19" s="412"/>
      <c r="CO19" s="15">
        <v>12</v>
      </c>
      <c r="CP19" s="92">
        <v>899.9</v>
      </c>
      <c r="CQ19" s="290">
        <v>44901</v>
      </c>
      <c r="CR19" s="92">
        <v>899.9</v>
      </c>
      <c r="CS19" s="292" t="s">
        <v>628</v>
      </c>
      <c r="CT19" s="291">
        <v>51</v>
      </c>
      <c r="CU19" s="399">
        <f t="shared" si="48"/>
        <v>45894.9</v>
      </c>
      <c r="CX19" s="106"/>
      <c r="CY19" s="15">
        <v>12</v>
      </c>
      <c r="CZ19" s="92">
        <v>956.62</v>
      </c>
      <c r="DA19" s="245">
        <v>44902</v>
      </c>
      <c r="DB19" s="92">
        <v>956.62</v>
      </c>
      <c r="DC19" s="95" t="s">
        <v>633</v>
      </c>
      <c r="DD19" s="71">
        <v>51</v>
      </c>
      <c r="DE19" s="394">
        <f t="shared" si="15"/>
        <v>48787.62</v>
      </c>
      <c r="DH19" s="106"/>
      <c r="DI19" s="15">
        <v>12</v>
      </c>
      <c r="DJ19" s="699">
        <v>909</v>
      </c>
      <c r="DK19" s="726">
        <v>44903</v>
      </c>
      <c r="DL19" s="699">
        <v>909</v>
      </c>
      <c r="DM19" s="727" t="s">
        <v>650</v>
      </c>
      <c r="DN19" s="728">
        <v>51</v>
      </c>
      <c r="DO19" s="399">
        <f t="shared" si="16"/>
        <v>46359</v>
      </c>
      <c r="DR19" s="106"/>
      <c r="DS19" s="15">
        <v>12</v>
      </c>
      <c r="DT19" s="92">
        <v>933.03</v>
      </c>
      <c r="DU19" s="290">
        <v>44903</v>
      </c>
      <c r="DV19" s="92">
        <v>933.03</v>
      </c>
      <c r="DW19" s="292" t="s">
        <v>646</v>
      </c>
      <c r="DX19" s="291">
        <v>51</v>
      </c>
      <c r="DY19" s="394">
        <f t="shared" si="17"/>
        <v>47584.53</v>
      </c>
      <c r="EB19" s="106"/>
      <c r="EC19" s="15">
        <v>12</v>
      </c>
      <c r="ED19" s="69">
        <v>870</v>
      </c>
      <c r="EE19" s="253">
        <v>44904</v>
      </c>
      <c r="EF19" s="69">
        <v>870</v>
      </c>
      <c r="EG19" s="70" t="s">
        <v>663</v>
      </c>
      <c r="EH19" s="71">
        <v>51</v>
      </c>
      <c r="EI19" s="394">
        <f t="shared" si="18"/>
        <v>44370</v>
      </c>
      <c r="EL19" s="106"/>
      <c r="EM19" s="15">
        <v>12</v>
      </c>
      <c r="EN19" s="69">
        <v>915.3</v>
      </c>
      <c r="EO19" s="253">
        <v>44904</v>
      </c>
      <c r="EP19" s="69">
        <v>915.3</v>
      </c>
      <c r="EQ19" s="70" t="s">
        <v>661</v>
      </c>
      <c r="ER19" s="71">
        <v>51</v>
      </c>
      <c r="ES19" s="394">
        <f t="shared" si="19"/>
        <v>46680.299999999996</v>
      </c>
      <c r="EV19" s="106"/>
      <c r="EW19" s="15">
        <v>12</v>
      </c>
      <c r="EX19" s="92">
        <v>915.3</v>
      </c>
      <c r="EY19" s="245">
        <v>44904</v>
      </c>
      <c r="EZ19" s="92">
        <v>915.3</v>
      </c>
      <c r="FA19" s="70" t="s">
        <v>665</v>
      </c>
      <c r="FB19" s="71">
        <v>51</v>
      </c>
      <c r="FC19" s="394">
        <f t="shared" si="20"/>
        <v>46680.299999999996</v>
      </c>
      <c r="FF19" s="106"/>
      <c r="FG19" s="15">
        <v>12</v>
      </c>
      <c r="FH19" s="92">
        <v>886.3</v>
      </c>
      <c r="FI19" s="245">
        <v>44905</v>
      </c>
      <c r="FJ19" s="92">
        <v>886.3</v>
      </c>
      <c r="FK19" s="70" t="s">
        <v>680</v>
      </c>
      <c r="FL19" s="71">
        <v>51</v>
      </c>
      <c r="FM19" s="244">
        <f t="shared" si="21"/>
        <v>45201.299999999996</v>
      </c>
      <c r="FP19" s="106"/>
      <c r="FQ19" s="15">
        <v>12</v>
      </c>
      <c r="FR19" s="92">
        <v>970.68</v>
      </c>
      <c r="FS19" s="245">
        <v>44905</v>
      </c>
      <c r="FT19" s="92">
        <v>970.68</v>
      </c>
      <c r="FU19" s="70" t="s">
        <v>676</v>
      </c>
      <c r="FV19" s="71">
        <v>51</v>
      </c>
      <c r="FW19" s="394">
        <f t="shared" si="22"/>
        <v>49504.68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6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>
        <v>44895</v>
      </c>
      <c r="P20" s="69">
        <v>892.7</v>
      </c>
      <c r="Q20" s="70" t="s">
        <v>585</v>
      </c>
      <c r="R20" s="71">
        <v>51</v>
      </c>
      <c r="S20" s="394">
        <f t="shared" si="8"/>
        <v>45527.700000000004</v>
      </c>
      <c r="V20" s="94"/>
      <c r="W20" s="15">
        <v>13</v>
      </c>
      <c r="X20" s="69">
        <v>883.6</v>
      </c>
      <c r="Y20" s="253">
        <v>44895</v>
      </c>
      <c r="Z20" s="69">
        <v>883.6</v>
      </c>
      <c r="AA20" s="700" t="s">
        <v>584</v>
      </c>
      <c r="AB20" s="701">
        <v>51</v>
      </c>
      <c r="AC20" s="394">
        <f t="shared" si="9"/>
        <v>45063.6</v>
      </c>
      <c r="AF20" s="106"/>
      <c r="AG20" s="15">
        <v>13</v>
      </c>
      <c r="AH20" s="92">
        <v>943.47</v>
      </c>
      <c r="AI20" s="245">
        <v>44896</v>
      </c>
      <c r="AJ20" s="92">
        <v>943.47</v>
      </c>
      <c r="AK20" s="95" t="s">
        <v>589</v>
      </c>
      <c r="AL20" s="71">
        <v>51</v>
      </c>
      <c r="AM20" s="394">
        <f t="shared" si="10"/>
        <v>48116.97</v>
      </c>
      <c r="AP20" s="106"/>
      <c r="AQ20" s="15">
        <v>13</v>
      </c>
      <c r="AR20" s="92">
        <v>916.3</v>
      </c>
      <c r="AS20" s="245">
        <v>44897</v>
      </c>
      <c r="AT20" s="92">
        <v>916.3</v>
      </c>
      <c r="AU20" s="95" t="s">
        <v>601</v>
      </c>
      <c r="AV20" s="71">
        <v>51</v>
      </c>
      <c r="AW20" s="394">
        <f t="shared" si="11"/>
        <v>46731.299999999996</v>
      </c>
      <c r="AZ20" s="106"/>
      <c r="BA20" s="15">
        <v>13</v>
      </c>
      <c r="BB20" s="92">
        <v>900.8</v>
      </c>
      <c r="BC20" s="245">
        <v>44897</v>
      </c>
      <c r="BD20" s="92">
        <v>900.8</v>
      </c>
      <c r="BE20" s="95" t="s">
        <v>600</v>
      </c>
      <c r="BF20" s="71">
        <v>51</v>
      </c>
      <c r="BG20" s="394">
        <f t="shared" si="12"/>
        <v>45940.799999999996</v>
      </c>
      <c r="BJ20" s="670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610</v>
      </c>
      <c r="BP20" s="289">
        <v>51</v>
      </c>
      <c r="BQ20" s="482">
        <f t="shared" si="13"/>
        <v>48162.87</v>
      </c>
      <c r="BR20" s="394"/>
      <c r="BT20" s="106"/>
      <c r="BU20" s="15"/>
      <c r="BV20" s="92"/>
      <c r="BW20" s="290"/>
      <c r="BX20" s="92"/>
      <c r="BY20" s="580"/>
      <c r="BZ20" s="291"/>
      <c r="CA20" s="394">
        <f t="shared" si="5"/>
        <v>0</v>
      </c>
      <c r="CD20" s="213"/>
      <c r="CE20" s="15">
        <v>13</v>
      </c>
      <c r="CF20" s="92">
        <v>916.3</v>
      </c>
      <c r="CG20" s="290">
        <v>44901</v>
      </c>
      <c r="CH20" s="92">
        <v>916.3</v>
      </c>
      <c r="CI20" s="292" t="s">
        <v>621</v>
      </c>
      <c r="CJ20" s="291">
        <v>51</v>
      </c>
      <c r="CK20" s="244">
        <f t="shared" si="14"/>
        <v>46731.299999999996</v>
      </c>
      <c r="CN20" s="412"/>
      <c r="CO20" s="15">
        <v>13</v>
      </c>
      <c r="CP20" s="92">
        <v>921.7</v>
      </c>
      <c r="CQ20" s="290">
        <v>44901</v>
      </c>
      <c r="CR20" s="92">
        <v>921.7</v>
      </c>
      <c r="CS20" s="292" t="s">
        <v>628</v>
      </c>
      <c r="CT20" s="291">
        <v>51</v>
      </c>
      <c r="CU20" s="399">
        <f t="shared" si="48"/>
        <v>47006.700000000004</v>
      </c>
      <c r="CX20" s="106"/>
      <c r="CY20" s="15">
        <v>13</v>
      </c>
      <c r="CZ20" s="92">
        <v>891.3</v>
      </c>
      <c r="DA20" s="245">
        <v>44902</v>
      </c>
      <c r="DB20" s="92">
        <v>891.3</v>
      </c>
      <c r="DC20" s="95" t="s">
        <v>633</v>
      </c>
      <c r="DD20" s="71">
        <v>51</v>
      </c>
      <c r="DE20" s="394">
        <f t="shared" si="15"/>
        <v>45456.299999999996</v>
      </c>
      <c r="DH20" s="106"/>
      <c r="DI20" s="15">
        <v>13</v>
      </c>
      <c r="DJ20" s="699">
        <v>890.9</v>
      </c>
      <c r="DK20" s="726">
        <v>44903</v>
      </c>
      <c r="DL20" s="699">
        <v>890.9</v>
      </c>
      <c r="DM20" s="727" t="s">
        <v>650</v>
      </c>
      <c r="DN20" s="728">
        <v>51</v>
      </c>
      <c r="DO20" s="399">
        <f t="shared" si="16"/>
        <v>45435.9</v>
      </c>
      <c r="DR20" s="106"/>
      <c r="DS20" s="15">
        <v>13</v>
      </c>
      <c r="DT20" s="92">
        <v>897.65</v>
      </c>
      <c r="DU20" s="290">
        <v>44903</v>
      </c>
      <c r="DV20" s="92">
        <v>897.65</v>
      </c>
      <c r="DW20" s="292" t="s">
        <v>646</v>
      </c>
      <c r="DX20" s="291">
        <v>51</v>
      </c>
      <c r="DY20" s="394">
        <f t="shared" si="17"/>
        <v>45780.15</v>
      </c>
      <c r="EB20" s="106"/>
      <c r="EC20" s="15">
        <v>13</v>
      </c>
      <c r="ED20" s="69">
        <v>910.8</v>
      </c>
      <c r="EE20" s="253">
        <v>44904</v>
      </c>
      <c r="EF20" s="69">
        <v>910.8</v>
      </c>
      <c r="EG20" s="70" t="s">
        <v>663</v>
      </c>
      <c r="EH20" s="71">
        <v>51</v>
      </c>
      <c r="EI20" s="394">
        <f t="shared" si="18"/>
        <v>46450.799999999996</v>
      </c>
      <c r="EL20" s="106"/>
      <c r="EM20" s="15">
        <v>13</v>
      </c>
      <c r="EN20" s="69">
        <v>931.7</v>
      </c>
      <c r="EO20" s="253">
        <v>44904</v>
      </c>
      <c r="EP20" s="69">
        <v>931.7</v>
      </c>
      <c r="EQ20" s="70" t="s">
        <v>661</v>
      </c>
      <c r="ER20" s="71">
        <v>51</v>
      </c>
      <c r="ES20" s="394">
        <f t="shared" si="19"/>
        <v>47516.700000000004</v>
      </c>
      <c r="EV20" s="106"/>
      <c r="EW20" s="15">
        <v>13</v>
      </c>
      <c r="EX20" s="92">
        <v>888.1</v>
      </c>
      <c r="EY20" s="245">
        <v>44904</v>
      </c>
      <c r="EZ20" s="92">
        <v>888.1</v>
      </c>
      <c r="FA20" s="70" t="s">
        <v>665</v>
      </c>
      <c r="FB20" s="71">
        <v>51</v>
      </c>
      <c r="FC20" s="394">
        <f t="shared" si="20"/>
        <v>45293.1</v>
      </c>
      <c r="FF20" s="106"/>
      <c r="FG20" s="15">
        <v>13</v>
      </c>
      <c r="FH20" s="92">
        <v>916.3</v>
      </c>
      <c r="FI20" s="245">
        <v>44905</v>
      </c>
      <c r="FJ20" s="92">
        <v>916.3</v>
      </c>
      <c r="FK20" s="70" t="s">
        <v>680</v>
      </c>
      <c r="FL20" s="71">
        <v>51</v>
      </c>
      <c r="FM20" s="244">
        <f t="shared" si="21"/>
        <v>46731.299999999996</v>
      </c>
      <c r="FP20" s="106"/>
      <c r="FQ20" s="15">
        <v>13</v>
      </c>
      <c r="FR20" s="92">
        <v>957.07</v>
      </c>
      <c r="FS20" s="245">
        <v>44905</v>
      </c>
      <c r="FT20" s="92">
        <v>957.07</v>
      </c>
      <c r="FU20" s="70" t="s">
        <v>676</v>
      </c>
      <c r="FV20" s="71">
        <v>51</v>
      </c>
      <c r="FW20" s="394">
        <f t="shared" si="22"/>
        <v>48810.57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6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>
        <v>44895</v>
      </c>
      <c r="P21" s="69">
        <v>939.8</v>
      </c>
      <c r="Q21" s="70" t="s">
        <v>585</v>
      </c>
      <c r="R21" s="71">
        <v>51</v>
      </c>
      <c r="S21" s="394">
        <f t="shared" si="8"/>
        <v>47929.799999999996</v>
      </c>
      <c r="V21" s="94"/>
      <c r="W21" s="15">
        <v>14</v>
      </c>
      <c r="X21" s="69">
        <v>890.9</v>
      </c>
      <c r="Y21" s="253">
        <v>44895</v>
      </c>
      <c r="Z21" s="69">
        <v>890.9</v>
      </c>
      <c r="AA21" s="700" t="s">
        <v>584</v>
      </c>
      <c r="AB21" s="701">
        <v>51</v>
      </c>
      <c r="AC21" s="394">
        <f t="shared" si="9"/>
        <v>45435.9</v>
      </c>
      <c r="AF21" s="106"/>
      <c r="AG21" s="15">
        <v>14</v>
      </c>
      <c r="AH21" s="92">
        <v>958.89</v>
      </c>
      <c r="AI21" s="245">
        <v>44896</v>
      </c>
      <c r="AJ21" s="92">
        <v>958.89</v>
      </c>
      <c r="AK21" s="95" t="s">
        <v>589</v>
      </c>
      <c r="AL21" s="71">
        <v>51</v>
      </c>
      <c r="AM21" s="394">
        <f t="shared" si="10"/>
        <v>48903.39</v>
      </c>
      <c r="AP21" s="106"/>
      <c r="AQ21" s="15">
        <v>14</v>
      </c>
      <c r="AR21" s="92">
        <v>927.1</v>
      </c>
      <c r="AS21" s="245">
        <v>44897</v>
      </c>
      <c r="AT21" s="92">
        <v>927.1</v>
      </c>
      <c r="AU21" s="95" t="s">
        <v>601</v>
      </c>
      <c r="AV21" s="71">
        <v>51</v>
      </c>
      <c r="AW21" s="394">
        <f t="shared" si="11"/>
        <v>47282.1</v>
      </c>
      <c r="AZ21" s="106"/>
      <c r="BA21" s="15">
        <v>14</v>
      </c>
      <c r="BB21" s="92">
        <v>894.5</v>
      </c>
      <c r="BC21" s="245">
        <v>44897</v>
      </c>
      <c r="BD21" s="92">
        <v>894.5</v>
      </c>
      <c r="BE21" s="95" t="s">
        <v>600</v>
      </c>
      <c r="BF21" s="71">
        <v>51</v>
      </c>
      <c r="BG21" s="394">
        <f t="shared" si="12"/>
        <v>45619.5</v>
      </c>
      <c r="BJ21" s="670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610</v>
      </c>
      <c r="BP21" s="289">
        <v>51</v>
      </c>
      <c r="BQ21" s="482">
        <f t="shared" si="13"/>
        <v>46474.26</v>
      </c>
      <c r="BR21" s="394"/>
      <c r="BT21" s="106"/>
      <c r="BU21" s="15"/>
      <c r="BV21" s="92"/>
      <c r="BW21" s="290"/>
      <c r="BX21" s="92"/>
      <c r="BY21" s="580"/>
      <c r="BZ21" s="291"/>
      <c r="CA21" s="394">
        <f t="shared" si="5"/>
        <v>0</v>
      </c>
      <c r="CD21" s="213"/>
      <c r="CE21" s="15">
        <v>14</v>
      </c>
      <c r="CF21" s="92">
        <v>920.8</v>
      </c>
      <c r="CG21" s="290">
        <v>44901</v>
      </c>
      <c r="CH21" s="92">
        <v>920.8</v>
      </c>
      <c r="CI21" s="292" t="s">
        <v>621</v>
      </c>
      <c r="CJ21" s="291">
        <v>51</v>
      </c>
      <c r="CK21" s="244">
        <f t="shared" si="14"/>
        <v>46960.799999999996</v>
      </c>
      <c r="CN21" s="412"/>
      <c r="CO21" s="15">
        <v>14</v>
      </c>
      <c r="CP21" s="92">
        <v>899</v>
      </c>
      <c r="CQ21" s="290">
        <v>44901</v>
      </c>
      <c r="CR21" s="92">
        <v>899</v>
      </c>
      <c r="CS21" s="292" t="s">
        <v>628</v>
      </c>
      <c r="CT21" s="291">
        <v>51</v>
      </c>
      <c r="CU21" s="399">
        <f t="shared" si="48"/>
        <v>45849</v>
      </c>
      <c r="CX21" s="106"/>
      <c r="CY21" s="15">
        <v>14</v>
      </c>
      <c r="CZ21" s="92">
        <v>972.04</v>
      </c>
      <c r="DA21" s="245">
        <v>44902</v>
      </c>
      <c r="DB21" s="92">
        <v>972.04</v>
      </c>
      <c r="DC21" s="95" t="s">
        <v>633</v>
      </c>
      <c r="DD21" s="71">
        <v>51</v>
      </c>
      <c r="DE21" s="394">
        <f t="shared" si="15"/>
        <v>49574.04</v>
      </c>
      <c r="DH21" s="106"/>
      <c r="DI21" s="15">
        <v>14</v>
      </c>
      <c r="DJ21" s="699">
        <v>878.2</v>
      </c>
      <c r="DK21" s="726">
        <v>44903</v>
      </c>
      <c r="DL21" s="699">
        <v>878.2</v>
      </c>
      <c r="DM21" s="727" t="s">
        <v>650</v>
      </c>
      <c r="DN21" s="728">
        <v>51</v>
      </c>
      <c r="DO21" s="399">
        <f t="shared" si="16"/>
        <v>44788.200000000004</v>
      </c>
      <c r="DR21" s="106"/>
      <c r="DS21" s="15">
        <v>14</v>
      </c>
      <c r="DT21" s="92">
        <v>936.21</v>
      </c>
      <c r="DU21" s="290">
        <v>44903</v>
      </c>
      <c r="DV21" s="92">
        <v>936.21</v>
      </c>
      <c r="DW21" s="292" t="s">
        <v>646</v>
      </c>
      <c r="DX21" s="291">
        <v>51</v>
      </c>
      <c r="DY21" s="394">
        <f t="shared" si="17"/>
        <v>47746.71</v>
      </c>
      <c r="EB21" s="106"/>
      <c r="EC21" s="15">
        <v>14</v>
      </c>
      <c r="ED21" s="69">
        <v>893.6</v>
      </c>
      <c r="EE21" s="253">
        <v>44904</v>
      </c>
      <c r="EF21" s="69">
        <v>893.6</v>
      </c>
      <c r="EG21" s="70" t="s">
        <v>663</v>
      </c>
      <c r="EH21" s="71">
        <v>51</v>
      </c>
      <c r="EI21" s="394">
        <f t="shared" si="18"/>
        <v>45573.599999999999</v>
      </c>
      <c r="EL21" s="106"/>
      <c r="EM21" s="15">
        <v>14</v>
      </c>
      <c r="EN21" s="69">
        <v>936.2</v>
      </c>
      <c r="EO21" s="253">
        <v>44904</v>
      </c>
      <c r="EP21" s="69">
        <v>936.2</v>
      </c>
      <c r="EQ21" s="70" t="s">
        <v>661</v>
      </c>
      <c r="ER21" s="71">
        <v>51</v>
      </c>
      <c r="ES21" s="394">
        <f t="shared" si="19"/>
        <v>47746.200000000004</v>
      </c>
      <c r="EV21" s="106"/>
      <c r="EW21" s="15">
        <v>14</v>
      </c>
      <c r="EX21" s="92">
        <v>889</v>
      </c>
      <c r="EY21" s="245">
        <v>44904</v>
      </c>
      <c r="EZ21" s="92">
        <v>889</v>
      </c>
      <c r="FA21" s="70" t="s">
        <v>665</v>
      </c>
      <c r="FB21" s="71">
        <v>51</v>
      </c>
      <c r="FC21" s="394">
        <f t="shared" si="20"/>
        <v>45339</v>
      </c>
      <c r="FF21" s="106"/>
      <c r="FG21" s="15">
        <v>14</v>
      </c>
      <c r="FH21" s="92">
        <v>897.2</v>
      </c>
      <c r="FI21" s="245">
        <v>44905</v>
      </c>
      <c r="FJ21" s="92">
        <v>897.2</v>
      </c>
      <c r="FK21" s="70" t="s">
        <v>680</v>
      </c>
      <c r="FL21" s="71">
        <v>51</v>
      </c>
      <c r="FM21" s="244">
        <f t="shared" si="21"/>
        <v>45757.200000000004</v>
      </c>
      <c r="FP21" s="106"/>
      <c r="FQ21" s="15">
        <v>14</v>
      </c>
      <c r="FR21" s="92">
        <v>940.75</v>
      </c>
      <c r="FS21" s="245">
        <v>44905</v>
      </c>
      <c r="FT21" s="92">
        <v>940.75</v>
      </c>
      <c r="FU21" s="70" t="s">
        <v>676</v>
      </c>
      <c r="FV21" s="71">
        <v>51</v>
      </c>
      <c r="FW21" s="394">
        <f t="shared" si="22"/>
        <v>47978.25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6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>
        <v>44895</v>
      </c>
      <c r="P22" s="69">
        <v>864.5</v>
      </c>
      <c r="Q22" s="70" t="s">
        <v>585</v>
      </c>
      <c r="R22" s="71">
        <v>51</v>
      </c>
      <c r="S22" s="394">
        <f t="shared" si="8"/>
        <v>44089.5</v>
      </c>
      <c r="V22" s="94"/>
      <c r="W22" s="15">
        <v>15</v>
      </c>
      <c r="X22" s="69">
        <v>898.1</v>
      </c>
      <c r="Y22" s="253">
        <v>44895</v>
      </c>
      <c r="Z22" s="69">
        <v>898.1</v>
      </c>
      <c r="AA22" s="700" t="s">
        <v>584</v>
      </c>
      <c r="AB22" s="701">
        <v>51</v>
      </c>
      <c r="AC22" s="394">
        <f t="shared" si="9"/>
        <v>45803.1</v>
      </c>
      <c r="AF22" s="106"/>
      <c r="AG22" s="15">
        <v>15</v>
      </c>
      <c r="AH22" s="92">
        <v>926.23</v>
      </c>
      <c r="AI22" s="245">
        <v>44896</v>
      </c>
      <c r="AJ22" s="92">
        <v>926.23</v>
      </c>
      <c r="AK22" s="95" t="s">
        <v>589</v>
      </c>
      <c r="AL22" s="71">
        <v>51</v>
      </c>
      <c r="AM22" s="394">
        <f t="shared" si="10"/>
        <v>47237.73</v>
      </c>
      <c r="AP22" s="106"/>
      <c r="AQ22" s="15">
        <v>15</v>
      </c>
      <c r="AR22" s="92">
        <v>888.1</v>
      </c>
      <c r="AS22" s="245">
        <v>44897</v>
      </c>
      <c r="AT22" s="92">
        <v>888.1</v>
      </c>
      <c r="AU22" s="95" t="s">
        <v>596</v>
      </c>
      <c r="AV22" s="71">
        <v>51</v>
      </c>
      <c r="AW22" s="394">
        <f t="shared" si="11"/>
        <v>45293.1</v>
      </c>
      <c r="AZ22" s="106"/>
      <c r="BA22" s="15">
        <v>15</v>
      </c>
      <c r="BB22" s="92">
        <v>897.2</v>
      </c>
      <c r="BC22" s="245">
        <v>44897</v>
      </c>
      <c r="BD22" s="92">
        <v>897.2</v>
      </c>
      <c r="BE22" s="95" t="s">
        <v>600</v>
      </c>
      <c r="BF22" s="71">
        <v>51</v>
      </c>
      <c r="BG22" s="394">
        <f t="shared" si="12"/>
        <v>45757.200000000004</v>
      </c>
      <c r="BJ22" s="670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610</v>
      </c>
      <c r="BP22" s="289">
        <v>51</v>
      </c>
      <c r="BQ22" s="482">
        <f t="shared" si="13"/>
        <v>49319.549999999996</v>
      </c>
      <c r="BR22" s="394"/>
      <c r="BT22" s="106"/>
      <c r="BU22" s="15"/>
      <c r="BV22" s="92"/>
      <c r="BW22" s="290"/>
      <c r="BX22" s="92"/>
      <c r="BY22" s="580"/>
      <c r="BZ22" s="291"/>
      <c r="CA22" s="394">
        <f t="shared" si="5"/>
        <v>0</v>
      </c>
      <c r="CD22" s="213"/>
      <c r="CE22" s="15">
        <v>15</v>
      </c>
      <c r="CF22" s="92">
        <v>865.4</v>
      </c>
      <c r="CG22" s="290">
        <v>44901</v>
      </c>
      <c r="CH22" s="92">
        <v>865.4</v>
      </c>
      <c r="CI22" s="292" t="s">
        <v>621</v>
      </c>
      <c r="CJ22" s="291">
        <v>51</v>
      </c>
      <c r="CK22" s="244">
        <f t="shared" si="14"/>
        <v>44135.4</v>
      </c>
      <c r="CN22" s="412"/>
      <c r="CO22" s="15">
        <v>15</v>
      </c>
      <c r="CP22" s="69">
        <v>925.3</v>
      </c>
      <c r="CQ22" s="290">
        <v>44901</v>
      </c>
      <c r="CR22" s="69">
        <v>925.3</v>
      </c>
      <c r="CS22" s="292" t="s">
        <v>628</v>
      </c>
      <c r="CT22" s="291">
        <v>51</v>
      </c>
      <c r="CU22" s="399">
        <f t="shared" si="48"/>
        <v>47190.299999999996</v>
      </c>
      <c r="CX22" s="106"/>
      <c r="CY22" s="15">
        <v>15</v>
      </c>
      <c r="CZ22" s="92">
        <v>923.06</v>
      </c>
      <c r="DA22" s="245">
        <v>44902</v>
      </c>
      <c r="DB22" s="92">
        <v>923.06</v>
      </c>
      <c r="DC22" s="95" t="s">
        <v>633</v>
      </c>
      <c r="DD22" s="71">
        <v>51</v>
      </c>
      <c r="DE22" s="394">
        <f t="shared" si="15"/>
        <v>47076.06</v>
      </c>
      <c r="DH22" s="106"/>
      <c r="DI22" s="15">
        <v>15</v>
      </c>
      <c r="DJ22" s="699">
        <v>909</v>
      </c>
      <c r="DK22" s="726">
        <v>44903</v>
      </c>
      <c r="DL22" s="699">
        <v>909</v>
      </c>
      <c r="DM22" s="727" t="s">
        <v>650</v>
      </c>
      <c r="DN22" s="728">
        <v>51</v>
      </c>
      <c r="DO22" s="399">
        <f t="shared" si="16"/>
        <v>46359</v>
      </c>
      <c r="DR22" s="106"/>
      <c r="DS22" s="15">
        <v>15</v>
      </c>
      <c r="DT22" s="92">
        <v>905.37</v>
      </c>
      <c r="DU22" s="290">
        <v>44903</v>
      </c>
      <c r="DV22" s="92">
        <v>905.37</v>
      </c>
      <c r="DW22" s="292" t="s">
        <v>646</v>
      </c>
      <c r="DX22" s="291">
        <v>51</v>
      </c>
      <c r="DY22" s="394">
        <f t="shared" si="17"/>
        <v>46173.87</v>
      </c>
      <c r="EB22" s="106"/>
      <c r="EC22" s="15">
        <v>15</v>
      </c>
      <c r="ED22" s="69">
        <v>931.7</v>
      </c>
      <c r="EE22" s="253">
        <v>44904</v>
      </c>
      <c r="EF22" s="69">
        <v>931.7</v>
      </c>
      <c r="EG22" s="70" t="s">
        <v>663</v>
      </c>
      <c r="EH22" s="71">
        <v>51</v>
      </c>
      <c r="EI22" s="394">
        <f t="shared" si="18"/>
        <v>47516.700000000004</v>
      </c>
      <c r="EL22" s="106"/>
      <c r="EM22" s="15">
        <v>15</v>
      </c>
      <c r="EN22" s="69">
        <v>889.5</v>
      </c>
      <c r="EO22" s="253">
        <v>44904</v>
      </c>
      <c r="EP22" s="69">
        <v>889.5</v>
      </c>
      <c r="EQ22" s="70" t="s">
        <v>661</v>
      </c>
      <c r="ER22" s="71">
        <v>51</v>
      </c>
      <c r="ES22" s="394">
        <f t="shared" si="19"/>
        <v>45364.5</v>
      </c>
      <c r="EV22" s="106"/>
      <c r="EW22" s="15">
        <v>15</v>
      </c>
      <c r="EX22" s="92">
        <v>924.4</v>
      </c>
      <c r="EY22" s="245">
        <v>44904</v>
      </c>
      <c r="EZ22" s="92">
        <v>924.4</v>
      </c>
      <c r="FA22" s="70" t="s">
        <v>665</v>
      </c>
      <c r="FB22" s="71">
        <v>51</v>
      </c>
      <c r="FC22" s="394">
        <f t="shared" si="20"/>
        <v>47144.4</v>
      </c>
      <c r="FF22" s="106"/>
      <c r="FG22" s="15">
        <v>15</v>
      </c>
      <c r="FH22" s="92">
        <v>890.9</v>
      </c>
      <c r="FI22" s="245">
        <v>44905</v>
      </c>
      <c r="FJ22" s="92">
        <v>890.9</v>
      </c>
      <c r="FK22" s="70" t="s">
        <v>680</v>
      </c>
      <c r="FL22" s="71">
        <v>51</v>
      </c>
      <c r="FM22" s="244">
        <f t="shared" si="21"/>
        <v>45435.9</v>
      </c>
      <c r="FP22" s="106"/>
      <c r="FQ22" s="15">
        <v>15</v>
      </c>
      <c r="FR22" s="92">
        <v>952.54</v>
      </c>
      <c r="FS22" s="245">
        <v>44905</v>
      </c>
      <c r="FT22" s="92">
        <v>952.54</v>
      </c>
      <c r="FU22" s="70" t="s">
        <v>676</v>
      </c>
      <c r="FV22" s="71">
        <v>51</v>
      </c>
      <c r="FW22" s="394">
        <f t="shared" si="22"/>
        <v>48579.54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6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>
        <v>44895</v>
      </c>
      <c r="P23" s="69">
        <v>908.1</v>
      </c>
      <c r="Q23" s="70" t="s">
        <v>585</v>
      </c>
      <c r="R23" s="71">
        <v>51</v>
      </c>
      <c r="S23" s="394">
        <f t="shared" si="8"/>
        <v>46313.1</v>
      </c>
      <c r="V23" s="94"/>
      <c r="W23" s="15">
        <v>16</v>
      </c>
      <c r="X23" s="69">
        <v>924.4</v>
      </c>
      <c r="Y23" s="253">
        <v>44895</v>
      </c>
      <c r="Z23" s="69">
        <v>924.4</v>
      </c>
      <c r="AA23" s="700" t="s">
        <v>584</v>
      </c>
      <c r="AB23" s="701">
        <v>51</v>
      </c>
      <c r="AC23" s="394">
        <f t="shared" si="9"/>
        <v>47144.4</v>
      </c>
      <c r="AF23" s="106"/>
      <c r="AG23" s="15">
        <v>16</v>
      </c>
      <c r="AH23" s="92">
        <v>941.65</v>
      </c>
      <c r="AI23" s="245">
        <v>44896</v>
      </c>
      <c r="AJ23" s="92">
        <v>941.65</v>
      </c>
      <c r="AK23" s="95" t="s">
        <v>589</v>
      </c>
      <c r="AL23" s="71">
        <v>51</v>
      </c>
      <c r="AM23" s="394">
        <f t="shared" si="10"/>
        <v>48024.15</v>
      </c>
      <c r="AP23" s="106"/>
      <c r="AQ23" s="15">
        <v>16</v>
      </c>
      <c r="AR23" s="92">
        <v>918.1</v>
      </c>
      <c r="AS23" s="245">
        <v>44897</v>
      </c>
      <c r="AT23" s="92">
        <v>918.1</v>
      </c>
      <c r="AU23" s="95" t="s">
        <v>601</v>
      </c>
      <c r="AV23" s="71">
        <v>51</v>
      </c>
      <c r="AW23" s="394">
        <f t="shared" si="11"/>
        <v>46823.1</v>
      </c>
      <c r="AZ23" s="106"/>
      <c r="BA23" s="15">
        <v>16</v>
      </c>
      <c r="BB23" s="92">
        <v>869.1</v>
      </c>
      <c r="BC23" s="245">
        <v>44897</v>
      </c>
      <c r="BD23" s="92">
        <v>869.1</v>
      </c>
      <c r="BE23" s="95" t="s">
        <v>600</v>
      </c>
      <c r="BF23" s="71">
        <v>51</v>
      </c>
      <c r="BG23" s="394">
        <f t="shared" si="12"/>
        <v>44324.1</v>
      </c>
      <c r="BJ23" s="670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610</v>
      </c>
      <c r="BP23" s="289">
        <v>51</v>
      </c>
      <c r="BQ23" s="482">
        <f t="shared" si="13"/>
        <v>47839.02</v>
      </c>
      <c r="BR23" s="394"/>
      <c r="BT23" s="106"/>
      <c r="BU23" s="15"/>
      <c r="BV23" s="92"/>
      <c r="BW23" s="290"/>
      <c r="BX23" s="92"/>
      <c r="BY23" s="580"/>
      <c r="BZ23" s="291"/>
      <c r="CA23" s="394">
        <f t="shared" si="5"/>
        <v>0</v>
      </c>
      <c r="CD23" s="213"/>
      <c r="CE23" s="15">
        <v>16</v>
      </c>
      <c r="CF23" s="92">
        <v>894.5</v>
      </c>
      <c r="CG23" s="290">
        <v>44901</v>
      </c>
      <c r="CH23" s="92">
        <v>894.5</v>
      </c>
      <c r="CI23" s="292" t="s">
        <v>621</v>
      </c>
      <c r="CJ23" s="291">
        <v>51</v>
      </c>
      <c r="CK23" s="244">
        <f t="shared" si="14"/>
        <v>45619.5</v>
      </c>
      <c r="CN23" s="412"/>
      <c r="CO23" s="15">
        <v>16</v>
      </c>
      <c r="CP23" s="92">
        <v>884.5</v>
      </c>
      <c r="CQ23" s="290">
        <v>44901</v>
      </c>
      <c r="CR23" s="92">
        <v>884.5</v>
      </c>
      <c r="CS23" s="292" t="s">
        <v>628</v>
      </c>
      <c r="CT23" s="291">
        <v>51</v>
      </c>
      <c r="CU23" s="399">
        <f t="shared" si="48"/>
        <v>45109.5</v>
      </c>
      <c r="CX23" s="106"/>
      <c r="CY23" s="15">
        <v>16</v>
      </c>
      <c r="CZ23" s="92">
        <v>952.54</v>
      </c>
      <c r="DA23" s="245">
        <v>44902</v>
      </c>
      <c r="DB23" s="92">
        <v>952.54</v>
      </c>
      <c r="DC23" s="95" t="s">
        <v>633</v>
      </c>
      <c r="DD23" s="71">
        <v>51</v>
      </c>
      <c r="DE23" s="394">
        <f t="shared" si="15"/>
        <v>48579.54</v>
      </c>
      <c r="DH23" s="106"/>
      <c r="DI23" s="15">
        <v>16</v>
      </c>
      <c r="DJ23" s="699">
        <v>889.9</v>
      </c>
      <c r="DK23" s="726">
        <v>44903</v>
      </c>
      <c r="DL23" s="699">
        <v>889.9</v>
      </c>
      <c r="DM23" s="727" t="s">
        <v>650</v>
      </c>
      <c r="DN23" s="728">
        <v>51</v>
      </c>
      <c r="DO23" s="399">
        <f t="shared" si="16"/>
        <v>45384.9</v>
      </c>
      <c r="DR23" s="106"/>
      <c r="DS23" s="15">
        <v>16</v>
      </c>
      <c r="DT23" s="92">
        <v>907.62</v>
      </c>
      <c r="DU23" s="290">
        <v>44903</v>
      </c>
      <c r="DV23" s="92">
        <v>907.62</v>
      </c>
      <c r="DW23" s="292" t="s">
        <v>646</v>
      </c>
      <c r="DX23" s="291">
        <v>51</v>
      </c>
      <c r="DY23" s="394">
        <f t="shared" si="17"/>
        <v>46288.62</v>
      </c>
      <c r="EB23" s="106"/>
      <c r="EC23" s="15">
        <v>16</v>
      </c>
      <c r="ED23" s="69">
        <v>878.2</v>
      </c>
      <c r="EE23" s="253">
        <v>44904</v>
      </c>
      <c r="EF23" s="69">
        <v>878.2</v>
      </c>
      <c r="EG23" s="70" t="s">
        <v>663</v>
      </c>
      <c r="EH23" s="71">
        <v>51</v>
      </c>
      <c r="EI23" s="394">
        <f t="shared" si="18"/>
        <v>44788.200000000004</v>
      </c>
      <c r="EL23" s="106"/>
      <c r="EM23" s="15">
        <v>16</v>
      </c>
      <c r="EN23" s="69">
        <v>894.9</v>
      </c>
      <c r="EO23" s="253">
        <v>44904</v>
      </c>
      <c r="EP23" s="69">
        <v>894.9</v>
      </c>
      <c r="EQ23" s="70" t="s">
        <v>661</v>
      </c>
      <c r="ER23" s="71">
        <v>51</v>
      </c>
      <c r="ES23" s="394">
        <f t="shared" si="19"/>
        <v>45639.9</v>
      </c>
      <c r="EV23" s="106"/>
      <c r="EW23" s="15">
        <v>16</v>
      </c>
      <c r="EX23" s="92">
        <v>916.3</v>
      </c>
      <c r="EY23" s="245">
        <v>44904</v>
      </c>
      <c r="EZ23" s="92">
        <v>916.3</v>
      </c>
      <c r="FA23" s="70" t="s">
        <v>665</v>
      </c>
      <c r="FB23" s="71">
        <v>51</v>
      </c>
      <c r="FC23" s="394">
        <f t="shared" si="20"/>
        <v>46731.299999999996</v>
      </c>
      <c r="FF23" s="106"/>
      <c r="FG23" s="15">
        <v>16</v>
      </c>
      <c r="FH23" s="92">
        <v>865.4</v>
      </c>
      <c r="FI23" s="245">
        <v>44905</v>
      </c>
      <c r="FJ23" s="92">
        <v>865.4</v>
      </c>
      <c r="FK23" s="70" t="s">
        <v>680</v>
      </c>
      <c r="FL23" s="71">
        <v>51</v>
      </c>
      <c r="FM23" s="244">
        <f t="shared" si="21"/>
        <v>44135.4</v>
      </c>
      <c r="FP23" s="106"/>
      <c r="FQ23" s="15">
        <v>16</v>
      </c>
      <c r="FR23" s="92">
        <v>959.8</v>
      </c>
      <c r="FS23" s="245">
        <v>44905</v>
      </c>
      <c r="FT23" s="92">
        <v>959.8</v>
      </c>
      <c r="FU23" s="70" t="s">
        <v>676</v>
      </c>
      <c r="FV23" s="71">
        <v>51</v>
      </c>
      <c r="FW23" s="394">
        <f t="shared" si="22"/>
        <v>48949.799999999996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6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>
        <v>44895</v>
      </c>
      <c r="P24" s="69">
        <v>875.4</v>
      </c>
      <c r="Q24" s="70" t="s">
        <v>585</v>
      </c>
      <c r="R24" s="71">
        <v>51</v>
      </c>
      <c r="S24" s="394">
        <f t="shared" si="8"/>
        <v>44645.4</v>
      </c>
      <c r="V24" s="94"/>
      <c r="W24" s="15">
        <v>17</v>
      </c>
      <c r="X24" s="69">
        <v>893.6</v>
      </c>
      <c r="Y24" s="253">
        <v>44895</v>
      </c>
      <c r="Z24" s="69">
        <v>893.6</v>
      </c>
      <c r="AA24" s="700" t="s">
        <v>584</v>
      </c>
      <c r="AB24" s="701">
        <v>51</v>
      </c>
      <c r="AC24" s="394">
        <f t="shared" si="9"/>
        <v>45573.599999999999</v>
      </c>
      <c r="AF24" s="106"/>
      <c r="AG24" s="15">
        <v>17</v>
      </c>
      <c r="AH24" s="92">
        <v>921.24</v>
      </c>
      <c r="AI24" s="245">
        <v>44896</v>
      </c>
      <c r="AJ24" s="92">
        <v>921.24</v>
      </c>
      <c r="AK24" s="95" t="s">
        <v>589</v>
      </c>
      <c r="AL24" s="71">
        <v>51</v>
      </c>
      <c r="AM24" s="394">
        <f t="shared" si="10"/>
        <v>46983.24</v>
      </c>
      <c r="AP24" s="106"/>
      <c r="AQ24" s="15">
        <v>17</v>
      </c>
      <c r="AR24" s="92">
        <v>933.5</v>
      </c>
      <c r="AS24" s="245">
        <v>44897</v>
      </c>
      <c r="AT24" s="92">
        <v>933.5</v>
      </c>
      <c r="AU24" s="95" t="s">
        <v>596</v>
      </c>
      <c r="AV24" s="71">
        <v>51</v>
      </c>
      <c r="AW24" s="394">
        <f t="shared" si="11"/>
        <v>47608.5</v>
      </c>
      <c r="AZ24" s="106"/>
      <c r="BA24" s="15">
        <v>17</v>
      </c>
      <c r="BB24" s="92">
        <v>890.9</v>
      </c>
      <c r="BC24" s="245">
        <v>44897</v>
      </c>
      <c r="BD24" s="92">
        <v>890.9</v>
      </c>
      <c r="BE24" s="95" t="s">
        <v>600</v>
      </c>
      <c r="BF24" s="71">
        <v>51</v>
      </c>
      <c r="BG24" s="394">
        <f t="shared" si="12"/>
        <v>45435.9</v>
      </c>
      <c r="BJ24" s="671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610</v>
      </c>
      <c r="BP24" s="289">
        <v>51</v>
      </c>
      <c r="BQ24" s="482">
        <f t="shared" si="13"/>
        <v>45294.63</v>
      </c>
      <c r="BR24" s="394"/>
      <c r="BT24" s="106"/>
      <c r="BU24" s="15"/>
      <c r="BV24" s="92"/>
      <c r="BW24" s="290"/>
      <c r="BX24" s="92"/>
      <c r="BY24" s="580"/>
      <c r="BZ24" s="291"/>
      <c r="CA24" s="394">
        <f t="shared" si="5"/>
        <v>0</v>
      </c>
      <c r="CD24" s="213"/>
      <c r="CE24" s="15">
        <v>17</v>
      </c>
      <c r="CF24" s="92">
        <v>866.4</v>
      </c>
      <c r="CG24" s="290">
        <v>44901</v>
      </c>
      <c r="CH24" s="92">
        <v>866.4</v>
      </c>
      <c r="CI24" s="292" t="s">
        <v>621</v>
      </c>
      <c r="CJ24" s="291">
        <v>51</v>
      </c>
      <c r="CK24" s="244">
        <f t="shared" si="14"/>
        <v>44186.400000000001</v>
      </c>
      <c r="CN24" s="412"/>
      <c r="CO24" s="15">
        <v>17</v>
      </c>
      <c r="CP24" s="92">
        <v>876.3</v>
      </c>
      <c r="CQ24" s="290">
        <v>44901</v>
      </c>
      <c r="CR24" s="92">
        <v>876.3</v>
      </c>
      <c r="CS24" s="292" t="s">
        <v>628</v>
      </c>
      <c r="CT24" s="291">
        <v>51</v>
      </c>
      <c r="CU24" s="399">
        <f t="shared" si="48"/>
        <v>44691.299999999996</v>
      </c>
      <c r="CX24" s="106"/>
      <c r="CY24" s="15">
        <v>17</v>
      </c>
      <c r="CZ24" s="92">
        <v>943.01</v>
      </c>
      <c r="DA24" s="245">
        <v>44902</v>
      </c>
      <c r="DB24" s="92">
        <v>943.01</v>
      </c>
      <c r="DC24" s="95" t="s">
        <v>633</v>
      </c>
      <c r="DD24" s="71">
        <v>51</v>
      </c>
      <c r="DE24" s="394">
        <f t="shared" si="15"/>
        <v>48093.51</v>
      </c>
      <c r="DH24" s="106"/>
      <c r="DI24" s="15">
        <v>17</v>
      </c>
      <c r="DJ24" s="699">
        <v>903.6</v>
      </c>
      <c r="DK24" s="726">
        <v>44903</v>
      </c>
      <c r="DL24" s="699">
        <v>903.6</v>
      </c>
      <c r="DM24" s="727" t="s">
        <v>650</v>
      </c>
      <c r="DN24" s="728">
        <v>51</v>
      </c>
      <c r="DO24" s="399">
        <f t="shared" si="16"/>
        <v>46083.6</v>
      </c>
      <c r="DR24" s="106"/>
      <c r="DS24" s="15">
        <v>17</v>
      </c>
      <c r="DT24" s="92">
        <v>936.21</v>
      </c>
      <c r="DU24" s="290">
        <v>44903</v>
      </c>
      <c r="DV24" s="92">
        <v>936.21</v>
      </c>
      <c r="DW24" s="292" t="s">
        <v>646</v>
      </c>
      <c r="DX24" s="291">
        <v>51</v>
      </c>
      <c r="DY24" s="394">
        <f t="shared" si="17"/>
        <v>47746.71</v>
      </c>
      <c r="EB24" s="106"/>
      <c r="EC24" s="15">
        <v>17</v>
      </c>
      <c r="ED24" s="69">
        <v>911.7</v>
      </c>
      <c r="EE24" s="253">
        <v>44904</v>
      </c>
      <c r="EF24" s="69">
        <v>911.7</v>
      </c>
      <c r="EG24" s="70" t="s">
        <v>663</v>
      </c>
      <c r="EH24" s="71">
        <v>51</v>
      </c>
      <c r="EI24" s="394">
        <f t="shared" si="18"/>
        <v>46496.700000000004</v>
      </c>
      <c r="EL24" s="106"/>
      <c r="EM24" s="15">
        <v>17</v>
      </c>
      <c r="EN24" s="69">
        <v>925.3</v>
      </c>
      <c r="EO24" s="253">
        <v>44904</v>
      </c>
      <c r="EP24" s="69">
        <v>925.3</v>
      </c>
      <c r="EQ24" s="70" t="s">
        <v>661</v>
      </c>
      <c r="ER24" s="71">
        <v>51</v>
      </c>
      <c r="ES24" s="394">
        <f t="shared" si="19"/>
        <v>47190.299999999996</v>
      </c>
      <c r="EV24" s="106"/>
      <c r="EW24" s="15">
        <v>17</v>
      </c>
      <c r="EX24" s="92">
        <v>867.3</v>
      </c>
      <c r="EY24" s="245">
        <v>44904</v>
      </c>
      <c r="EZ24" s="92">
        <v>867.3</v>
      </c>
      <c r="FA24" s="70" t="s">
        <v>665</v>
      </c>
      <c r="FB24" s="71">
        <v>51</v>
      </c>
      <c r="FC24" s="394">
        <f t="shared" si="20"/>
        <v>44232.299999999996</v>
      </c>
      <c r="FF24" s="106"/>
      <c r="FG24" s="15">
        <v>17</v>
      </c>
      <c r="FH24" s="92">
        <v>938</v>
      </c>
      <c r="FI24" s="245">
        <v>44905</v>
      </c>
      <c r="FJ24" s="92">
        <v>938</v>
      </c>
      <c r="FK24" s="70" t="s">
        <v>680</v>
      </c>
      <c r="FL24" s="71">
        <v>51</v>
      </c>
      <c r="FM24" s="244">
        <f t="shared" si="21"/>
        <v>47838</v>
      </c>
      <c r="FP24" s="106"/>
      <c r="FQ24" s="15">
        <v>17</v>
      </c>
      <c r="FR24" s="92">
        <v>905.37</v>
      </c>
      <c r="FS24" s="245">
        <v>44905</v>
      </c>
      <c r="FT24" s="92">
        <v>905.37</v>
      </c>
      <c r="FU24" s="70" t="s">
        <v>676</v>
      </c>
      <c r="FV24" s="71">
        <v>51</v>
      </c>
      <c r="FW24" s="394">
        <f t="shared" si="22"/>
        <v>46173.87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6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>
        <v>44895</v>
      </c>
      <c r="P25" s="69">
        <v>925.3</v>
      </c>
      <c r="Q25" s="70" t="s">
        <v>585</v>
      </c>
      <c r="R25" s="71">
        <v>51</v>
      </c>
      <c r="S25" s="394">
        <f t="shared" si="8"/>
        <v>47190.299999999996</v>
      </c>
      <c r="V25" s="94"/>
      <c r="W25" s="15">
        <v>18</v>
      </c>
      <c r="X25" s="69">
        <v>889.9</v>
      </c>
      <c r="Y25" s="253">
        <v>44895</v>
      </c>
      <c r="Z25" s="69">
        <v>889.9</v>
      </c>
      <c r="AA25" s="700" t="s">
        <v>584</v>
      </c>
      <c r="AB25" s="701">
        <v>51</v>
      </c>
      <c r="AC25" s="394">
        <f t="shared" si="9"/>
        <v>45384.9</v>
      </c>
      <c r="AF25" s="94"/>
      <c r="AG25" s="15">
        <v>18</v>
      </c>
      <c r="AH25" s="92">
        <v>930.77</v>
      </c>
      <c r="AI25" s="245">
        <v>44896</v>
      </c>
      <c r="AJ25" s="92">
        <v>930.77</v>
      </c>
      <c r="AK25" s="95" t="s">
        <v>589</v>
      </c>
      <c r="AL25" s="71">
        <v>51</v>
      </c>
      <c r="AM25" s="394">
        <f t="shared" si="10"/>
        <v>47469.27</v>
      </c>
      <c r="AP25" s="94"/>
      <c r="AQ25" s="15">
        <v>18</v>
      </c>
      <c r="AR25" s="92">
        <v>926.2</v>
      </c>
      <c r="AS25" s="245">
        <v>44897</v>
      </c>
      <c r="AT25" s="92">
        <v>926.2</v>
      </c>
      <c r="AU25" s="95" t="s">
        <v>601</v>
      </c>
      <c r="AV25" s="71">
        <v>51</v>
      </c>
      <c r="AW25" s="394">
        <f t="shared" si="11"/>
        <v>47236.200000000004</v>
      </c>
      <c r="AZ25" s="94"/>
      <c r="BA25" s="15">
        <v>18</v>
      </c>
      <c r="BB25" s="92">
        <v>939.8</v>
      </c>
      <c r="BC25" s="245">
        <v>44897</v>
      </c>
      <c r="BD25" s="92">
        <v>939.8</v>
      </c>
      <c r="BE25" s="95" t="s">
        <v>600</v>
      </c>
      <c r="BF25" s="71">
        <v>51</v>
      </c>
      <c r="BG25" s="394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610</v>
      </c>
      <c r="BP25" s="289">
        <v>51</v>
      </c>
      <c r="BQ25" s="482">
        <f t="shared" si="13"/>
        <v>46474.26</v>
      </c>
      <c r="BR25" s="394"/>
      <c r="BT25" s="106"/>
      <c r="BU25" s="15"/>
      <c r="BV25" s="92"/>
      <c r="BW25" s="290"/>
      <c r="BX25" s="92"/>
      <c r="BY25" s="580"/>
      <c r="BZ25" s="291"/>
      <c r="CA25" s="394">
        <f t="shared" si="5"/>
        <v>0</v>
      </c>
      <c r="CD25" s="213"/>
      <c r="CE25" s="15">
        <v>18</v>
      </c>
      <c r="CF25" s="92">
        <v>902.6</v>
      </c>
      <c r="CG25" s="290">
        <v>44901</v>
      </c>
      <c r="CH25" s="92">
        <v>902.6</v>
      </c>
      <c r="CI25" s="292" t="s">
        <v>621</v>
      </c>
      <c r="CJ25" s="291">
        <v>51</v>
      </c>
      <c r="CK25" s="394">
        <f t="shared" si="14"/>
        <v>46032.6</v>
      </c>
      <c r="CN25" s="412"/>
      <c r="CO25" s="15">
        <v>18</v>
      </c>
      <c r="CP25" s="92">
        <v>902.6</v>
      </c>
      <c r="CQ25" s="290">
        <v>44901</v>
      </c>
      <c r="CR25" s="92">
        <v>902.6</v>
      </c>
      <c r="CS25" s="292" t="s">
        <v>628</v>
      </c>
      <c r="CT25" s="291">
        <v>51</v>
      </c>
      <c r="CU25" s="399">
        <f t="shared" si="48"/>
        <v>46032.6</v>
      </c>
      <c r="CX25" s="94"/>
      <c r="CY25" s="15">
        <v>18</v>
      </c>
      <c r="CZ25" s="92">
        <v>902.19</v>
      </c>
      <c r="DA25" s="245">
        <v>44902</v>
      </c>
      <c r="DB25" s="92">
        <v>902.19</v>
      </c>
      <c r="DC25" s="95" t="s">
        <v>633</v>
      </c>
      <c r="DD25" s="71">
        <v>51</v>
      </c>
      <c r="DE25" s="394">
        <f t="shared" si="15"/>
        <v>46011.69</v>
      </c>
      <c r="DH25" s="94"/>
      <c r="DI25" s="15">
        <v>18</v>
      </c>
      <c r="DJ25" s="699">
        <v>885.4</v>
      </c>
      <c r="DK25" s="726">
        <v>44903</v>
      </c>
      <c r="DL25" s="699">
        <v>885.4</v>
      </c>
      <c r="DM25" s="727" t="s">
        <v>650</v>
      </c>
      <c r="DN25" s="728">
        <v>51</v>
      </c>
      <c r="DO25" s="399">
        <f t="shared" si="16"/>
        <v>45155.4</v>
      </c>
      <c r="DR25" s="94"/>
      <c r="DS25" s="15">
        <v>18</v>
      </c>
      <c r="DT25" s="92">
        <v>936.21</v>
      </c>
      <c r="DU25" s="290">
        <v>44903</v>
      </c>
      <c r="DV25" s="92">
        <v>936.21</v>
      </c>
      <c r="DW25" s="292" t="s">
        <v>646</v>
      </c>
      <c r="DX25" s="291">
        <v>51</v>
      </c>
      <c r="DY25" s="394">
        <f t="shared" si="17"/>
        <v>47746.71</v>
      </c>
      <c r="EB25" s="94"/>
      <c r="EC25" s="15">
        <v>18</v>
      </c>
      <c r="ED25" s="69">
        <v>870.9</v>
      </c>
      <c r="EE25" s="253">
        <v>44904</v>
      </c>
      <c r="EF25" s="69">
        <v>870.9</v>
      </c>
      <c r="EG25" s="70" t="s">
        <v>663</v>
      </c>
      <c r="EH25" s="71">
        <v>51</v>
      </c>
      <c r="EI25" s="394">
        <f t="shared" si="18"/>
        <v>44415.9</v>
      </c>
      <c r="EL25" s="94"/>
      <c r="EM25" s="15">
        <v>18</v>
      </c>
      <c r="EN25" s="69">
        <v>924.4</v>
      </c>
      <c r="EO25" s="253">
        <v>44904</v>
      </c>
      <c r="EP25" s="69">
        <v>924.4</v>
      </c>
      <c r="EQ25" s="70" t="s">
        <v>661</v>
      </c>
      <c r="ER25" s="71">
        <v>51</v>
      </c>
      <c r="ES25" s="394">
        <f t="shared" si="19"/>
        <v>47144.4</v>
      </c>
      <c r="EV25" s="94"/>
      <c r="EW25" s="15">
        <v>18</v>
      </c>
      <c r="EX25" s="92">
        <v>915.3</v>
      </c>
      <c r="EY25" s="245">
        <v>44904</v>
      </c>
      <c r="EZ25" s="92">
        <v>915.3</v>
      </c>
      <c r="FA25" s="70" t="s">
        <v>665</v>
      </c>
      <c r="FB25" s="71">
        <v>51</v>
      </c>
      <c r="FC25" s="394">
        <f t="shared" si="20"/>
        <v>46680.299999999996</v>
      </c>
      <c r="FF25" s="94"/>
      <c r="FG25" s="15">
        <v>18</v>
      </c>
      <c r="FH25" s="92">
        <v>863.6</v>
      </c>
      <c r="FI25" s="245">
        <v>44905</v>
      </c>
      <c r="FJ25" s="92">
        <v>863.6</v>
      </c>
      <c r="FK25" s="70" t="s">
        <v>680</v>
      </c>
      <c r="FL25" s="71">
        <v>51</v>
      </c>
      <c r="FM25" s="244">
        <f t="shared" si="21"/>
        <v>44043.6</v>
      </c>
      <c r="FP25" s="94"/>
      <c r="FQ25" s="15">
        <v>18</v>
      </c>
      <c r="FR25" s="92">
        <v>961.61</v>
      </c>
      <c r="FS25" s="245">
        <v>44905</v>
      </c>
      <c r="FT25" s="92">
        <v>961.61</v>
      </c>
      <c r="FU25" s="70" t="s">
        <v>676</v>
      </c>
      <c r="FV25" s="71">
        <v>51</v>
      </c>
      <c r="FW25" s="394">
        <f t="shared" si="22"/>
        <v>49042.11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6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>
        <v>44895</v>
      </c>
      <c r="P26" s="69">
        <v>870.9</v>
      </c>
      <c r="Q26" s="70" t="s">
        <v>585</v>
      </c>
      <c r="R26" s="71">
        <v>51</v>
      </c>
      <c r="S26" s="394">
        <f t="shared" si="8"/>
        <v>44415.9</v>
      </c>
      <c r="V26" s="94"/>
      <c r="W26" s="15">
        <v>19</v>
      </c>
      <c r="X26" s="69">
        <v>890.9</v>
      </c>
      <c r="Y26" s="253">
        <v>44895</v>
      </c>
      <c r="Z26" s="69">
        <v>890.9</v>
      </c>
      <c r="AA26" s="700" t="s">
        <v>584</v>
      </c>
      <c r="AB26" s="701">
        <v>51</v>
      </c>
      <c r="AC26" s="394">
        <f t="shared" si="9"/>
        <v>45435.9</v>
      </c>
      <c r="AF26" s="106"/>
      <c r="AG26" s="15">
        <v>19</v>
      </c>
      <c r="AH26" s="92">
        <v>942.11</v>
      </c>
      <c r="AI26" s="245">
        <v>44896</v>
      </c>
      <c r="AJ26" s="92">
        <v>942.11</v>
      </c>
      <c r="AK26" s="95" t="s">
        <v>589</v>
      </c>
      <c r="AL26" s="71">
        <v>51</v>
      </c>
      <c r="AM26" s="394">
        <f t="shared" si="10"/>
        <v>48047.61</v>
      </c>
      <c r="AP26" s="106"/>
      <c r="AQ26" s="15">
        <v>19</v>
      </c>
      <c r="AR26" s="92">
        <v>926.2</v>
      </c>
      <c r="AS26" s="245">
        <v>44897</v>
      </c>
      <c r="AT26" s="92">
        <v>926.2</v>
      </c>
      <c r="AU26" s="95" t="s">
        <v>596</v>
      </c>
      <c r="AV26" s="71">
        <v>51</v>
      </c>
      <c r="AW26" s="394">
        <f t="shared" si="11"/>
        <v>47236.200000000004</v>
      </c>
      <c r="AZ26" s="106"/>
      <c r="BA26" s="15">
        <v>19</v>
      </c>
      <c r="BB26" s="92">
        <v>869.1</v>
      </c>
      <c r="BC26" s="245">
        <v>44897</v>
      </c>
      <c r="BD26" s="92">
        <v>869.1</v>
      </c>
      <c r="BE26" s="95" t="s">
        <v>600</v>
      </c>
      <c r="BF26" s="71">
        <v>51</v>
      </c>
      <c r="BG26" s="394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610</v>
      </c>
      <c r="BP26" s="289">
        <v>51</v>
      </c>
      <c r="BQ26" s="482">
        <f t="shared" si="13"/>
        <v>44484.75</v>
      </c>
      <c r="BR26" s="394"/>
      <c r="BT26" s="106"/>
      <c r="BU26" s="15"/>
      <c r="BV26" s="92"/>
      <c r="BW26" s="290"/>
      <c r="BX26" s="92"/>
      <c r="BY26" s="580"/>
      <c r="BZ26" s="291"/>
      <c r="CA26" s="394">
        <f t="shared" si="5"/>
        <v>0</v>
      </c>
      <c r="CD26" s="213"/>
      <c r="CE26" s="15">
        <v>19</v>
      </c>
      <c r="CF26" s="92">
        <v>909</v>
      </c>
      <c r="CG26" s="290">
        <v>44901</v>
      </c>
      <c r="CH26" s="92">
        <v>909</v>
      </c>
      <c r="CI26" s="292" t="s">
        <v>621</v>
      </c>
      <c r="CJ26" s="291">
        <v>51</v>
      </c>
      <c r="CK26" s="394">
        <f t="shared" si="14"/>
        <v>46359</v>
      </c>
      <c r="CN26" s="412"/>
      <c r="CO26" s="15">
        <v>19</v>
      </c>
      <c r="CP26" s="92">
        <v>911.7</v>
      </c>
      <c r="CQ26" s="290">
        <v>44901</v>
      </c>
      <c r="CR26" s="92">
        <v>911.7</v>
      </c>
      <c r="CS26" s="292" t="s">
        <v>628</v>
      </c>
      <c r="CT26" s="291">
        <v>51</v>
      </c>
      <c r="CU26" s="399">
        <f t="shared" si="48"/>
        <v>46496.700000000004</v>
      </c>
      <c r="CX26" s="106"/>
      <c r="CY26" s="15">
        <v>19</v>
      </c>
      <c r="CZ26" s="92">
        <v>935.76</v>
      </c>
      <c r="DA26" s="245">
        <v>44902</v>
      </c>
      <c r="DB26" s="92">
        <v>935.76</v>
      </c>
      <c r="DC26" s="95" t="s">
        <v>633</v>
      </c>
      <c r="DD26" s="71">
        <v>51</v>
      </c>
      <c r="DE26" s="394">
        <f t="shared" si="15"/>
        <v>47723.76</v>
      </c>
      <c r="DH26" s="106"/>
      <c r="DI26" s="15">
        <v>19</v>
      </c>
      <c r="DJ26" s="699">
        <v>918.1</v>
      </c>
      <c r="DK26" s="726">
        <v>44903</v>
      </c>
      <c r="DL26" s="699">
        <v>918.1</v>
      </c>
      <c r="DM26" s="727" t="s">
        <v>650</v>
      </c>
      <c r="DN26" s="728">
        <v>51</v>
      </c>
      <c r="DO26" s="399">
        <f t="shared" si="16"/>
        <v>46823.1</v>
      </c>
      <c r="DR26" s="106"/>
      <c r="DS26" s="15">
        <v>19</v>
      </c>
      <c r="DT26" s="92">
        <v>873.16</v>
      </c>
      <c r="DU26" s="290">
        <v>44903</v>
      </c>
      <c r="DV26" s="92">
        <v>873.16</v>
      </c>
      <c r="DW26" s="292" t="s">
        <v>646</v>
      </c>
      <c r="DX26" s="291">
        <v>51</v>
      </c>
      <c r="DY26" s="394">
        <f t="shared" si="17"/>
        <v>44531.159999999996</v>
      </c>
      <c r="EB26" s="106"/>
      <c r="EC26" s="15">
        <v>19</v>
      </c>
      <c r="ED26" s="69">
        <v>898.1</v>
      </c>
      <c r="EE26" s="253">
        <v>44904</v>
      </c>
      <c r="EF26" s="69">
        <v>898.1</v>
      </c>
      <c r="EG26" s="70" t="s">
        <v>663</v>
      </c>
      <c r="EH26" s="71">
        <v>51</v>
      </c>
      <c r="EI26" s="394">
        <f t="shared" si="18"/>
        <v>45803.1</v>
      </c>
      <c r="EL26" s="106"/>
      <c r="EM26" s="15">
        <v>19</v>
      </c>
      <c r="EN26" s="69">
        <v>927.6</v>
      </c>
      <c r="EO26" s="253">
        <v>44904</v>
      </c>
      <c r="EP26" s="69">
        <v>927.6</v>
      </c>
      <c r="EQ26" s="70" t="s">
        <v>661</v>
      </c>
      <c r="ER26" s="71">
        <v>51</v>
      </c>
      <c r="ES26" s="394">
        <f t="shared" si="19"/>
        <v>47307.6</v>
      </c>
      <c r="EV26" s="94"/>
      <c r="EW26" s="15">
        <v>19</v>
      </c>
      <c r="EX26" s="92">
        <v>920.8</v>
      </c>
      <c r="EY26" s="245">
        <v>44904</v>
      </c>
      <c r="EZ26" s="92">
        <v>920.8</v>
      </c>
      <c r="FA26" s="70" t="s">
        <v>665</v>
      </c>
      <c r="FB26" s="71">
        <v>51</v>
      </c>
      <c r="FC26" s="394">
        <f t="shared" si="20"/>
        <v>46960.799999999996</v>
      </c>
      <c r="FF26" s="94"/>
      <c r="FG26" s="15">
        <v>19</v>
      </c>
      <c r="FH26" s="92">
        <v>894.5</v>
      </c>
      <c r="FI26" s="245">
        <v>44905</v>
      </c>
      <c r="FJ26" s="92">
        <v>894.5</v>
      </c>
      <c r="FK26" s="70" t="s">
        <v>680</v>
      </c>
      <c r="FL26" s="71">
        <v>51</v>
      </c>
      <c r="FM26" s="244">
        <f t="shared" si="21"/>
        <v>45619.5</v>
      </c>
      <c r="FP26" s="106"/>
      <c r="FQ26" s="15">
        <v>19</v>
      </c>
      <c r="FR26" s="92">
        <v>933.49</v>
      </c>
      <c r="FS26" s="245">
        <v>44905</v>
      </c>
      <c r="FT26" s="92">
        <v>933.49</v>
      </c>
      <c r="FU26" s="70" t="s">
        <v>676</v>
      </c>
      <c r="FV26" s="71">
        <v>51</v>
      </c>
      <c r="FW26" s="394">
        <f t="shared" si="22"/>
        <v>47607.99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6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>
        <v>44895</v>
      </c>
      <c r="P27" s="69">
        <v>893.6</v>
      </c>
      <c r="Q27" s="70" t="s">
        <v>585</v>
      </c>
      <c r="R27" s="71">
        <v>51</v>
      </c>
      <c r="S27" s="394">
        <f t="shared" si="8"/>
        <v>45573.599999999999</v>
      </c>
      <c r="V27" s="94"/>
      <c r="W27" s="15">
        <v>20</v>
      </c>
      <c r="X27" s="69">
        <v>892.7</v>
      </c>
      <c r="Y27" s="253">
        <v>44895</v>
      </c>
      <c r="Z27" s="69">
        <v>892.7</v>
      </c>
      <c r="AA27" s="700" t="s">
        <v>584</v>
      </c>
      <c r="AB27" s="701">
        <v>51</v>
      </c>
      <c r="AC27" s="394">
        <f t="shared" si="9"/>
        <v>45527.700000000004</v>
      </c>
      <c r="AF27" s="106"/>
      <c r="AG27" s="15">
        <v>20</v>
      </c>
      <c r="AH27" s="92">
        <v>962.97</v>
      </c>
      <c r="AI27" s="245">
        <v>44896</v>
      </c>
      <c r="AJ27" s="92">
        <v>962.97</v>
      </c>
      <c r="AK27" s="95" t="s">
        <v>589</v>
      </c>
      <c r="AL27" s="71">
        <v>51</v>
      </c>
      <c r="AM27" s="394">
        <f t="shared" si="10"/>
        <v>49111.47</v>
      </c>
      <c r="AP27" s="106"/>
      <c r="AQ27" s="15">
        <v>20</v>
      </c>
      <c r="AR27" s="92">
        <v>880.9</v>
      </c>
      <c r="AS27" s="245">
        <v>44897</v>
      </c>
      <c r="AT27" s="92">
        <v>880.9</v>
      </c>
      <c r="AU27" s="95" t="s">
        <v>601</v>
      </c>
      <c r="AV27" s="71">
        <v>51</v>
      </c>
      <c r="AW27" s="394">
        <f t="shared" si="11"/>
        <v>44925.9</v>
      </c>
      <c r="AZ27" s="106"/>
      <c r="BA27" s="15">
        <v>20</v>
      </c>
      <c r="BB27" s="92">
        <v>910.8</v>
      </c>
      <c r="BC27" s="245">
        <v>44897</v>
      </c>
      <c r="BD27" s="92">
        <v>910.8</v>
      </c>
      <c r="BE27" s="95" t="s">
        <v>600</v>
      </c>
      <c r="BF27" s="71">
        <v>51</v>
      </c>
      <c r="BG27" s="394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610</v>
      </c>
      <c r="BP27" s="289">
        <v>51</v>
      </c>
      <c r="BQ27" s="482">
        <f t="shared" si="13"/>
        <v>46590.03</v>
      </c>
      <c r="BR27" s="394"/>
      <c r="BT27" s="106"/>
      <c r="BU27" s="15"/>
      <c r="BV27" s="92"/>
      <c r="BW27" s="290"/>
      <c r="BX27" s="92"/>
      <c r="BY27" s="580"/>
      <c r="BZ27" s="291"/>
      <c r="CA27" s="394">
        <f t="shared" si="5"/>
        <v>0</v>
      </c>
      <c r="CD27" s="213"/>
      <c r="CE27" s="15">
        <v>20</v>
      </c>
      <c r="CF27" s="92">
        <v>915.3</v>
      </c>
      <c r="CG27" s="290">
        <v>44901</v>
      </c>
      <c r="CH27" s="92">
        <v>915.3</v>
      </c>
      <c r="CI27" s="292" t="s">
        <v>621</v>
      </c>
      <c r="CJ27" s="291">
        <v>51</v>
      </c>
      <c r="CK27" s="394">
        <f t="shared" si="14"/>
        <v>46680.299999999996</v>
      </c>
      <c r="CN27" s="412"/>
      <c r="CO27" s="15">
        <v>20</v>
      </c>
      <c r="CP27" s="92">
        <v>938</v>
      </c>
      <c r="CQ27" s="290">
        <v>44901</v>
      </c>
      <c r="CR27" s="92">
        <v>938</v>
      </c>
      <c r="CS27" s="292" t="s">
        <v>628</v>
      </c>
      <c r="CT27" s="291">
        <v>51</v>
      </c>
      <c r="CU27" s="399">
        <f t="shared" si="48"/>
        <v>47838</v>
      </c>
      <c r="CX27" s="106"/>
      <c r="CY27" s="15">
        <v>20</v>
      </c>
      <c r="CZ27" s="92">
        <v>933.49</v>
      </c>
      <c r="DA27" s="245">
        <v>44902</v>
      </c>
      <c r="DB27" s="92">
        <v>933.49</v>
      </c>
      <c r="DC27" s="95" t="s">
        <v>633</v>
      </c>
      <c r="DD27" s="71">
        <v>51</v>
      </c>
      <c r="DE27" s="394">
        <f t="shared" si="15"/>
        <v>47607.99</v>
      </c>
      <c r="DH27" s="106"/>
      <c r="DI27" s="15">
        <v>20</v>
      </c>
      <c r="DJ27" s="699">
        <v>869.1</v>
      </c>
      <c r="DK27" s="726">
        <v>44903</v>
      </c>
      <c r="DL27" s="699">
        <v>869.1</v>
      </c>
      <c r="DM27" s="727" t="s">
        <v>650</v>
      </c>
      <c r="DN27" s="728">
        <v>51</v>
      </c>
      <c r="DO27" s="399">
        <f t="shared" si="16"/>
        <v>44324.1</v>
      </c>
      <c r="DR27" s="106"/>
      <c r="DS27" s="15">
        <v>20</v>
      </c>
      <c r="DT27" s="92">
        <v>874.07</v>
      </c>
      <c r="DU27" s="290">
        <v>44903</v>
      </c>
      <c r="DV27" s="92">
        <v>874.07</v>
      </c>
      <c r="DW27" s="292" t="s">
        <v>646</v>
      </c>
      <c r="DX27" s="291">
        <v>51</v>
      </c>
      <c r="DY27" s="394">
        <f t="shared" si="17"/>
        <v>44577.57</v>
      </c>
      <c r="EB27" s="106"/>
      <c r="EC27" s="15">
        <v>20</v>
      </c>
      <c r="ED27" s="69">
        <v>893.6</v>
      </c>
      <c r="EE27" s="253">
        <v>44904</v>
      </c>
      <c r="EF27" s="69">
        <v>893.6</v>
      </c>
      <c r="EG27" s="70" t="s">
        <v>663</v>
      </c>
      <c r="EH27" s="71">
        <v>51</v>
      </c>
      <c r="EI27" s="394">
        <f t="shared" si="18"/>
        <v>45573.599999999999</v>
      </c>
      <c r="EL27" s="106"/>
      <c r="EM27" s="15">
        <v>20</v>
      </c>
      <c r="EN27" s="69">
        <v>909.9</v>
      </c>
      <c r="EO27" s="253">
        <v>44904</v>
      </c>
      <c r="EP27" s="69">
        <v>909.9</v>
      </c>
      <c r="EQ27" s="70" t="s">
        <v>661</v>
      </c>
      <c r="ER27" s="71">
        <v>51</v>
      </c>
      <c r="ES27" s="394">
        <f t="shared" si="19"/>
        <v>46404.9</v>
      </c>
      <c r="EV27" s="94"/>
      <c r="EW27" s="15">
        <v>20</v>
      </c>
      <c r="EX27" s="92">
        <v>900.8</v>
      </c>
      <c r="EY27" s="245">
        <v>44904</v>
      </c>
      <c r="EZ27" s="92">
        <v>900.8</v>
      </c>
      <c r="FA27" s="70" t="s">
        <v>665</v>
      </c>
      <c r="FB27" s="71">
        <v>51</v>
      </c>
      <c r="FC27" s="394">
        <f t="shared" si="20"/>
        <v>45940.799999999996</v>
      </c>
      <c r="FF27" s="94"/>
      <c r="FG27" s="15">
        <v>20</v>
      </c>
      <c r="FH27" s="92">
        <v>895.4</v>
      </c>
      <c r="FI27" s="245">
        <v>44905</v>
      </c>
      <c r="FJ27" s="92">
        <v>895.4</v>
      </c>
      <c r="FK27" s="70" t="s">
        <v>680</v>
      </c>
      <c r="FL27" s="71">
        <v>51</v>
      </c>
      <c r="FM27" s="244">
        <f t="shared" si="21"/>
        <v>45665.4</v>
      </c>
      <c r="FP27" s="106"/>
      <c r="FQ27" s="15">
        <v>20</v>
      </c>
      <c r="FR27" s="92">
        <v>966.15</v>
      </c>
      <c r="FS27" s="245">
        <v>44905</v>
      </c>
      <c r="FT27" s="92">
        <v>966.15</v>
      </c>
      <c r="FU27" s="70" t="s">
        <v>676</v>
      </c>
      <c r="FV27" s="71">
        <v>51</v>
      </c>
      <c r="FW27" s="394">
        <f t="shared" si="22"/>
        <v>49273.65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6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>
        <v>44895</v>
      </c>
      <c r="P28" s="69">
        <v>898.1</v>
      </c>
      <c r="Q28" s="70" t="s">
        <v>585</v>
      </c>
      <c r="R28" s="71">
        <v>51</v>
      </c>
      <c r="S28" s="394">
        <f t="shared" si="8"/>
        <v>45803.1</v>
      </c>
      <c r="V28" s="94"/>
      <c r="W28" s="15">
        <v>21</v>
      </c>
      <c r="X28" s="69">
        <v>927.1</v>
      </c>
      <c r="Y28" s="253">
        <v>44895</v>
      </c>
      <c r="Z28" s="69">
        <v>927.1</v>
      </c>
      <c r="AA28" s="700" t="s">
        <v>584</v>
      </c>
      <c r="AB28" s="701">
        <v>51</v>
      </c>
      <c r="AC28" s="394">
        <f t="shared" si="9"/>
        <v>47282.1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10"/>
        <v>0</v>
      </c>
      <c r="AP28" s="106"/>
      <c r="AQ28" s="15">
        <v>21</v>
      </c>
      <c r="AR28" s="92">
        <v>920.8</v>
      </c>
      <c r="AS28" s="245">
        <v>44897</v>
      </c>
      <c r="AT28" s="92">
        <v>920.8</v>
      </c>
      <c r="AU28" s="95" t="s">
        <v>596</v>
      </c>
      <c r="AV28" s="71">
        <v>51</v>
      </c>
      <c r="AW28" s="394">
        <f t="shared" si="11"/>
        <v>46960.799999999996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2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3"/>
        <v>0</v>
      </c>
      <c r="BR28" s="394"/>
      <c r="BT28" s="106"/>
      <c r="BU28" s="15"/>
      <c r="BV28" s="92"/>
      <c r="BW28" s="290"/>
      <c r="BX28" s="92"/>
      <c r="BY28" s="580"/>
      <c r="BZ28" s="291"/>
      <c r="CA28" s="394">
        <f t="shared" si="5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>
        <v>44901</v>
      </c>
      <c r="CR28" s="92">
        <v>925.3</v>
      </c>
      <c r="CS28" s="292" t="s">
        <v>628</v>
      </c>
      <c r="CT28" s="291">
        <v>51</v>
      </c>
      <c r="CU28" s="399">
        <f t="shared" si="48"/>
        <v>47190.299999999996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>
        <v>44903</v>
      </c>
      <c r="DL28" s="699">
        <v>871.8</v>
      </c>
      <c r="DM28" s="727" t="s">
        <v>650</v>
      </c>
      <c r="DN28" s="728">
        <v>51</v>
      </c>
      <c r="DO28" s="399">
        <f t="shared" si="16"/>
        <v>44461.799999999996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>
        <v>44904</v>
      </c>
      <c r="EF28" s="69">
        <v>940.7</v>
      </c>
      <c r="EG28" s="70" t="s">
        <v>663</v>
      </c>
      <c r="EH28" s="71">
        <v>51</v>
      </c>
      <c r="EI28" s="394">
        <f t="shared" si="18"/>
        <v>47975.700000000004</v>
      </c>
      <c r="EL28" s="106"/>
      <c r="EM28" s="15">
        <v>21</v>
      </c>
      <c r="EN28" s="69">
        <v>911.7</v>
      </c>
      <c r="EO28" s="253">
        <v>44904</v>
      </c>
      <c r="EP28" s="69">
        <v>911.7</v>
      </c>
      <c r="EQ28" s="70" t="s">
        <v>661</v>
      </c>
      <c r="ER28" s="71">
        <v>51</v>
      </c>
      <c r="ES28" s="394">
        <f t="shared" si="19"/>
        <v>46496.700000000004</v>
      </c>
      <c r="EV28" s="94"/>
      <c r="EW28" s="15">
        <v>21</v>
      </c>
      <c r="EX28" s="92">
        <v>888.1</v>
      </c>
      <c r="EY28" s="245">
        <v>44904</v>
      </c>
      <c r="EZ28" s="92">
        <v>888.1</v>
      </c>
      <c r="FA28" s="70" t="s">
        <v>665</v>
      </c>
      <c r="FB28" s="71">
        <v>51</v>
      </c>
      <c r="FC28" s="394">
        <f t="shared" si="20"/>
        <v>45293.1</v>
      </c>
      <c r="FF28" s="94"/>
      <c r="FG28" s="15">
        <v>21</v>
      </c>
      <c r="FH28" s="92">
        <v>903.6</v>
      </c>
      <c r="FI28" s="245">
        <v>44905</v>
      </c>
      <c r="FJ28" s="92">
        <v>903.6</v>
      </c>
      <c r="FK28" s="70" t="s">
        <v>680</v>
      </c>
      <c r="FL28" s="71">
        <v>51</v>
      </c>
      <c r="FM28" s="244">
        <f t="shared" si="21"/>
        <v>46083.6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6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956739.60000000009</v>
      </c>
      <c r="V29" s="106"/>
      <c r="W29" s="15"/>
      <c r="X29" s="69"/>
      <c r="Y29" s="253"/>
      <c r="Z29" s="702"/>
      <c r="AA29" s="700"/>
      <c r="AB29" s="701"/>
      <c r="AC29" s="394">
        <f>SUM(AC8:AC28)</f>
        <v>960957.29999999993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1"/>
        <v>0</v>
      </c>
      <c r="AZ29" s="106"/>
      <c r="BA29" s="15"/>
      <c r="BB29" s="92"/>
      <c r="BC29" s="245"/>
      <c r="BD29" s="92"/>
      <c r="BE29" s="95"/>
      <c r="BF29" s="71"/>
      <c r="BG29" s="394">
        <f t="shared" si="12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3"/>
        <v>0</v>
      </c>
      <c r="BT29" s="106"/>
      <c r="BU29" s="15"/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962436.29999999981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978460.49999999988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965713.55999999994</v>
      </c>
      <c r="AP30" s="106"/>
      <c r="AQ30" s="15"/>
      <c r="AR30" s="92"/>
      <c r="AS30" s="245"/>
      <c r="AT30" s="92"/>
      <c r="AU30" s="95"/>
      <c r="AV30" s="71"/>
      <c r="AW30" s="394">
        <f>SUM(AW8:AW29)</f>
        <v>977659.79999999993</v>
      </c>
      <c r="AZ30" s="106"/>
      <c r="BA30" s="15"/>
      <c r="BB30" s="92"/>
      <c r="BC30" s="245"/>
      <c r="BD30" s="92"/>
      <c r="BE30" s="95"/>
      <c r="BF30" s="71"/>
      <c r="BG30" s="394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4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4">
        <f>SUM(CA8:CA29)</f>
        <v>65134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919632.00000000012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951232.62000000011</v>
      </c>
      <c r="DH30" s="106"/>
      <c r="DI30" s="15"/>
      <c r="DJ30" s="69"/>
      <c r="DK30" s="245"/>
      <c r="DL30" s="69"/>
      <c r="DM30" s="95"/>
      <c r="DN30" s="71"/>
      <c r="DO30" s="394">
        <f>SUM(DO8:DO29)</f>
        <v>958733.7</v>
      </c>
      <c r="DR30" s="106"/>
      <c r="DS30" s="15"/>
      <c r="DT30" s="69"/>
      <c r="DU30" s="245"/>
      <c r="DV30" s="69"/>
      <c r="DW30" s="95"/>
      <c r="DX30" s="71"/>
      <c r="DY30" s="394">
        <f>SUM(DY8:DY29)</f>
        <v>935432.30999999982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959871.00000000023</v>
      </c>
      <c r="FF30" s="94"/>
      <c r="FG30" s="15"/>
      <c r="FH30" s="92"/>
      <c r="FI30" s="245"/>
      <c r="FJ30" s="105"/>
      <c r="FK30" s="70"/>
      <c r="FL30" s="71"/>
      <c r="FM30" s="394">
        <f>SUM(FM8:FM29)</f>
        <v>960161.70000000007</v>
      </c>
      <c r="FP30" s="106"/>
      <c r="FQ30" s="15"/>
      <c r="FR30" s="92"/>
      <c r="FS30" s="245"/>
      <c r="FT30" s="92"/>
      <c r="FU30" s="70"/>
      <c r="FV30" s="71"/>
      <c r="FW30" s="394">
        <f>SUM(FW8:FW29)</f>
        <v>966917.16000000015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973110.6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18759.599999999999</v>
      </c>
      <c r="S32" s="394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4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4" t="s">
        <v>21</v>
      </c>
      <c r="O33" s="965"/>
      <c r="P33" s="141">
        <f>Q5-P32</f>
        <v>0</v>
      </c>
      <c r="S33" s="394"/>
      <c r="X33" s="964" t="s">
        <v>21</v>
      </c>
      <c r="Y33" s="965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67" t="s">
        <v>21</v>
      </c>
      <c r="RU33" s="1268"/>
      <c r="RV33" s="141">
        <f>SUM(RW5-RV32)</f>
        <v>0</v>
      </c>
      <c r="SC33" s="1267" t="s">
        <v>21</v>
      </c>
      <c r="SD33" s="1268"/>
      <c r="SE33" s="141">
        <f>SUM(SF5-SE32)</f>
        <v>0</v>
      </c>
      <c r="SL33" s="1267" t="s">
        <v>21</v>
      </c>
      <c r="SM33" s="1268"/>
      <c r="SN33" s="217">
        <f>SUM(SO5-SN32)</f>
        <v>0</v>
      </c>
      <c r="SU33" s="1267" t="s">
        <v>21</v>
      </c>
      <c r="SV33" s="1268"/>
      <c r="SW33" s="141">
        <f>SUM(SX5-SW32)</f>
        <v>0</v>
      </c>
      <c r="TD33" s="1267" t="s">
        <v>21</v>
      </c>
      <c r="TE33" s="1268"/>
      <c r="TF33" s="141">
        <f>SUM(TG5-TF32)</f>
        <v>0</v>
      </c>
      <c r="TM33" s="1267" t="s">
        <v>21</v>
      </c>
      <c r="TN33" s="1268"/>
      <c r="TO33" s="141">
        <f>SUM(TP5-TO32)</f>
        <v>0</v>
      </c>
      <c r="TV33" s="1267" t="s">
        <v>21</v>
      </c>
      <c r="TW33" s="1268"/>
      <c r="TX33" s="141">
        <f>SUM(TY5-TX32)</f>
        <v>0</v>
      </c>
      <c r="UE33" s="1267" t="s">
        <v>21</v>
      </c>
      <c r="UF33" s="1268"/>
      <c r="UG33" s="141">
        <f>SUM(UH5-UG32)</f>
        <v>0</v>
      </c>
      <c r="UN33" s="1267" t="s">
        <v>21</v>
      </c>
      <c r="UO33" s="1268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67" t="s">
        <v>21</v>
      </c>
      <c r="VP33" s="1268"/>
      <c r="VQ33" s="141">
        <f>VR5-VQ32</f>
        <v>-22</v>
      </c>
      <c r="VX33" s="1267" t="s">
        <v>21</v>
      </c>
      <c r="VY33" s="1268"/>
      <c r="VZ33" s="141">
        <f>WA5-VZ32</f>
        <v>-22</v>
      </c>
      <c r="WG33" s="1267" t="s">
        <v>21</v>
      </c>
      <c r="WH33" s="1268"/>
      <c r="WI33" s="141">
        <f>WJ5-WI32</f>
        <v>-22</v>
      </c>
      <c r="WP33" s="1267" t="s">
        <v>21</v>
      </c>
      <c r="WQ33" s="1268"/>
      <c r="WR33" s="141">
        <f>WS5-WR32</f>
        <v>-22</v>
      </c>
      <c r="WY33" s="1267" t="s">
        <v>21</v>
      </c>
      <c r="WZ33" s="1268"/>
      <c r="XA33" s="141">
        <f>XB5-XA32</f>
        <v>-22</v>
      </c>
      <c r="XH33" s="1267" t="s">
        <v>21</v>
      </c>
      <c r="XI33" s="1268"/>
      <c r="XJ33" s="141">
        <f>XK5-XJ32</f>
        <v>-22</v>
      </c>
      <c r="XQ33" s="1267" t="s">
        <v>21</v>
      </c>
      <c r="XR33" s="1268"/>
      <c r="XS33" s="141">
        <f>XT5-XS32</f>
        <v>-22</v>
      </c>
      <c r="XZ33" s="1267" t="s">
        <v>21</v>
      </c>
      <c r="YA33" s="1268"/>
      <c r="YB33" s="141">
        <f>YC5-YB32</f>
        <v>-22</v>
      </c>
      <c r="YI33" s="1267" t="s">
        <v>21</v>
      </c>
      <c r="YJ33" s="1268"/>
      <c r="YK33" s="141">
        <f>YL5-YK32</f>
        <v>-22</v>
      </c>
      <c r="YR33" s="1267" t="s">
        <v>21</v>
      </c>
      <c r="YS33" s="1268"/>
      <c r="YT33" s="141">
        <f>YU5-YT32</f>
        <v>-22</v>
      </c>
      <c r="ZA33" s="1267" t="s">
        <v>21</v>
      </c>
      <c r="ZB33" s="1268"/>
      <c r="ZC33" s="141">
        <f>ZD5-ZC32</f>
        <v>-22</v>
      </c>
      <c r="ZJ33" s="1267" t="s">
        <v>21</v>
      </c>
      <c r="ZK33" s="1268"/>
      <c r="ZL33" s="141">
        <f>ZM5-ZL32</f>
        <v>-22</v>
      </c>
      <c r="ZS33" s="1267" t="s">
        <v>21</v>
      </c>
      <c r="ZT33" s="1268"/>
      <c r="ZU33" s="141">
        <f>ZV5-ZU32</f>
        <v>-22</v>
      </c>
      <c r="AAB33" s="1267" t="s">
        <v>21</v>
      </c>
      <c r="AAC33" s="1268"/>
      <c r="AAD33" s="141">
        <f>AAE5-AAD32</f>
        <v>-22</v>
      </c>
      <c r="AAK33" s="1267" t="s">
        <v>21</v>
      </c>
      <c r="AAL33" s="1268"/>
      <c r="AAM33" s="141">
        <f>AAN5-AAM32</f>
        <v>-22</v>
      </c>
      <c r="AAT33" s="1267" t="s">
        <v>21</v>
      </c>
      <c r="AAU33" s="1268"/>
      <c r="AAV33" s="141">
        <f>AAV32-AAT32</f>
        <v>22</v>
      </c>
      <c r="ABC33" s="1267" t="s">
        <v>21</v>
      </c>
      <c r="ABD33" s="1268"/>
      <c r="ABE33" s="141">
        <f>ABF5-ABE32</f>
        <v>-22</v>
      </c>
      <c r="ABL33" s="1267" t="s">
        <v>21</v>
      </c>
      <c r="ABM33" s="1268"/>
      <c r="ABN33" s="141">
        <f>ABO5-ABN32</f>
        <v>-22</v>
      </c>
      <c r="ABU33" s="1267" t="s">
        <v>21</v>
      </c>
      <c r="ABV33" s="1268"/>
      <c r="ABW33" s="141">
        <f>ABX5-ABW32</f>
        <v>-22</v>
      </c>
      <c r="ACD33" s="1267" t="s">
        <v>21</v>
      </c>
      <c r="ACE33" s="1268"/>
      <c r="ACF33" s="141">
        <f>ACG5-ACF32</f>
        <v>-22</v>
      </c>
      <c r="ACM33" s="1267" t="s">
        <v>21</v>
      </c>
      <c r="ACN33" s="1268"/>
      <c r="ACO33" s="141">
        <f>ACP5-ACO32</f>
        <v>-22</v>
      </c>
      <c r="ACV33" s="1267" t="s">
        <v>21</v>
      </c>
      <c r="ACW33" s="1268"/>
      <c r="ACX33" s="141">
        <f>ACY5-ACX32</f>
        <v>-22</v>
      </c>
      <c r="ADE33" s="1267" t="s">
        <v>21</v>
      </c>
      <c r="ADF33" s="1268"/>
      <c r="ADG33" s="141">
        <f>ADH5-ADG32</f>
        <v>-22</v>
      </c>
      <c r="ADN33" s="1267" t="s">
        <v>21</v>
      </c>
      <c r="ADO33" s="1268"/>
      <c r="ADP33" s="141">
        <f>ADQ5-ADP32</f>
        <v>-22</v>
      </c>
      <c r="ADW33" s="1267" t="s">
        <v>21</v>
      </c>
      <c r="ADX33" s="1268"/>
      <c r="ADY33" s="141">
        <f>ADZ5-ADY32</f>
        <v>-22</v>
      </c>
      <c r="AEF33" s="1267" t="s">
        <v>21</v>
      </c>
      <c r="AEG33" s="1268"/>
      <c r="AEH33" s="141">
        <f>AEI5-AEH32</f>
        <v>-22</v>
      </c>
      <c r="AEO33" s="1267" t="s">
        <v>21</v>
      </c>
      <c r="AEP33" s="1268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6" t="s">
        <v>4</v>
      </c>
      <c r="O34" s="967"/>
      <c r="P34" s="49"/>
      <c r="S34" s="394"/>
      <c r="X34" s="966" t="s">
        <v>4</v>
      </c>
      <c r="Y34" s="96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69" t="s">
        <v>4</v>
      </c>
      <c r="RU34" s="1270"/>
      <c r="RV34" s="49"/>
      <c r="SC34" s="1269" t="s">
        <v>4</v>
      </c>
      <c r="SD34" s="1270"/>
      <c r="SE34" s="49"/>
      <c r="SL34" s="1269" t="s">
        <v>4</v>
      </c>
      <c r="SM34" s="1270"/>
      <c r="SN34" s="49"/>
      <c r="SU34" s="1269" t="s">
        <v>4</v>
      </c>
      <c r="SV34" s="1270"/>
      <c r="SW34" s="49"/>
      <c r="TD34" s="1269" t="s">
        <v>4</v>
      </c>
      <c r="TE34" s="1270"/>
      <c r="TF34" s="49"/>
      <c r="TM34" s="1269" t="s">
        <v>4</v>
      </c>
      <c r="TN34" s="1270"/>
      <c r="TO34" s="49"/>
      <c r="TV34" s="1269" t="s">
        <v>4</v>
      </c>
      <c r="TW34" s="1270"/>
      <c r="TX34" s="49"/>
      <c r="UE34" s="1269" t="s">
        <v>4</v>
      </c>
      <c r="UF34" s="1270"/>
      <c r="UG34" s="49"/>
      <c r="UN34" s="1269" t="s">
        <v>4</v>
      </c>
      <c r="UO34" s="1270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69" t="s">
        <v>4</v>
      </c>
      <c r="VP34" s="1270"/>
      <c r="VQ34" s="49"/>
      <c r="VX34" s="1269" t="s">
        <v>4</v>
      </c>
      <c r="VY34" s="1270"/>
      <c r="VZ34" s="49"/>
      <c r="WG34" s="1269" t="s">
        <v>4</v>
      </c>
      <c r="WH34" s="1270"/>
      <c r="WI34" s="49"/>
      <c r="WP34" s="1269" t="s">
        <v>4</v>
      </c>
      <c r="WQ34" s="1270"/>
      <c r="WR34" s="49"/>
      <c r="WY34" s="1269" t="s">
        <v>4</v>
      </c>
      <c r="WZ34" s="1270"/>
      <c r="XA34" s="49"/>
      <c r="XH34" s="1269" t="s">
        <v>4</v>
      </c>
      <c r="XI34" s="1270"/>
      <c r="XJ34" s="49"/>
      <c r="XQ34" s="1269" t="s">
        <v>4</v>
      </c>
      <c r="XR34" s="1270"/>
      <c r="XS34" s="49"/>
      <c r="XZ34" s="1269" t="s">
        <v>4</v>
      </c>
      <c r="YA34" s="1270"/>
      <c r="YB34" s="49"/>
      <c r="YI34" s="1269" t="s">
        <v>4</v>
      </c>
      <c r="YJ34" s="1270"/>
      <c r="YK34" s="49"/>
      <c r="YR34" s="1269" t="s">
        <v>4</v>
      </c>
      <c r="YS34" s="1270"/>
      <c r="YT34" s="49"/>
      <c r="ZA34" s="1269" t="s">
        <v>4</v>
      </c>
      <c r="ZB34" s="1270"/>
      <c r="ZC34" s="49"/>
      <c r="ZJ34" s="1269" t="s">
        <v>4</v>
      </c>
      <c r="ZK34" s="1270"/>
      <c r="ZL34" s="49"/>
      <c r="ZS34" s="1269" t="s">
        <v>4</v>
      </c>
      <c r="ZT34" s="1270"/>
      <c r="ZU34" s="49"/>
      <c r="AAB34" s="1269" t="s">
        <v>4</v>
      </c>
      <c r="AAC34" s="1270"/>
      <c r="AAD34" s="49"/>
      <c r="AAK34" s="1269" t="s">
        <v>4</v>
      </c>
      <c r="AAL34" s="1270"/>
      <c r="AAM34" s="49"/>
      <c r="AAT34" s="1269" t="s">
        <v>4</v>
      </c>
      <c r="AAU34" s="1270"/>
      <c r="AAV34" s="49"/>
      <c r="ABC34" s="1269" t="s">
        <v>4</v>
      </c>
      <c r="ABD34" s="1270"/>
      <c r="ABE34" s="49"/>
      <c r="ABL34" s="1269" t="s">
        <v>4</v>
      </c>
      <c r="ABM34" s="1270"/>
      <c r="ABN34" s="49"/>
      <c r="ABU34" s="1269" t="s">
        <v>4</v>
      </c>
      <c r="ABV34" s="1270"/>
      <c r="ABW34" s="49"/>
      <c r="ACD34" s="1269" t="s">
        <v>4</v>
      </c>
      <c r="ACE34" s="1270"/>
      <c r="ACF34" s="49"/>
      <c r="ACM34" s="1269" t="s">
        <v>4</v>
      </c>
      <c r="ACN34" s="1270"/>
      <c r="ACO34" s="49"/>
      <c r="ACV34" s="1269" t="s">
        <v>4</v>
      </c>
      <c r="ACW34" s="1270"/>
      <c r="ACX34" s="49"/>
      <c r="ADE34" s="1269" t="s">
        <v>4</v>
      </c>
      <c r="ADF34" s="1270"/>
      <c r="ADG34" s="49"/>
      <c r="ADN34" s="1269" t="s">
        <v>4</v>
      </c>
      <c r="ADO34" s="1270"/>
      <c r="ADP34" s="49"/>
      <c r="ADW34" s="1269" t="s">
        <v>4</v>
      </c>
      <c r="ADX34" s="1270"/>
      <c r="ADY34" s="49"/>
      <c r="AEF34" s="1269" t="s">
        <v>4</v>
      </c>
      <c r="AEG34" s="1270"/>
      <c r="AEH34" s="49"/>
      <c r="AEO34" s="1269" t="s">
        <v>4</v>
      </c>
      <c r="AEP34" s="1270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1"/>
      <c r="B1" s="1271"/>
      <c r="C1" s="1271"/>
      <c r="D1" s="1271"/>
      <c r="E1" s="1271"/>
      <c r="F1" s="1271"/>
      <c r="G1" s="127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90"/>
      <c r="B5" s="130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90"/>
      <c r="B6" s="130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7" t="s">
        <v>21</v>
      </c>
      <c r="E32" s="126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0" sqref="F10:I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>
        <v>1</v>
      </c>
      <c r="D9" s="69">
        <v>5</v>
      </c>
      <c r="E9" s="245">
        <v>44901</v>
      </c>
      <c r="F9" s="105">
        <f t="shared" ref="F9:F26" si="0">D9</f>
        <v>5</v>
      </c>
      <c r="G9" s="70" t="s">
        <v>617</v>
      </c>
      <c r="H9" s="71">
        <v>300</v>
      </c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376">
        <f t="shared" si="0"/>
        <v>0</v>
      </c>
      <c r="G10" s="1379"/>
      <c r="H10" s="1380"/>
      <c r="I10" s="1383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376">
        <f t="shared" si="0"/>
        <v>0</v>
      </c>
      <c r="G11" s="1379"/>
      <c r="H11" s="1380"/>
      <c r="I11" s="1383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376">
        <f t="shared" si="0"/>
        <v>0</v>
      </c>
      <c r="G12" s="1379"/>
      <c r="H12" s="1380"/>
      <c r="I12" s="1383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67" t="s">
        <v>21</v>
      </c>
      <c r="E29" s="1268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7" t="s">
        <v>21</v>
      </c>
      <c r="E32" s="1268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workbookViewId="0">
      <selection activeCell="G23" sqref="G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78" t="s">
        <v>219</v>
      </c>
      <c r="B1" s="1278"/>
      <c r="C1" s="1278"/>
      <c r="D1" s="1278"/>
      <c r="E1" s="1278"/>
      <c r="F1" s="1278"/>
      <c r="G1" s="1278"/>
      <c r="H1" s="11">
        <v>1</v>
      </c>
      <c r="K1" s="1282" t="s">
        <v>340</v>
      </c>
      <c r="L1" s="1282"/>
      <c r="M1" s="1282"/>
      <c r="N1" s="1282"/>
      <c r="O1" s="1282"/>
      <c r="P1" s="1282"/>
      <c r="Q1" s="1282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90" t="s">
        <v>97</v>
      </c>
      <c r="B5" s="1292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90" t="s">
        <v>97</v>
      </c>
      <c r="L5" s="1292" t="s">
        <v>98</v>
      </c>
      <c r="M5" s="66">
        <v>85</v>
      </c>
      <c r="N5" s="134">
        <v>44916</v>
      </c>
      <c r="O5" s="86">
        <v>524.9</v>
      </c>
      <c r="P5" s="73">
        <v>17</v>
      </c>
      <c r="Q5" s="1126"/>
    </row>
    <row r="6" spans="1:19" ht="15.75" customHeight="1" x14ac:dyDescent="0.25">
      <c r="A6" s="1290"/>
      <c r="B6" s="1292"/>
      <c r="C6" s="66"/>
      <c r="D6" s="134"/>
      <c r="E6" s="105"/>
      <c r="F6" s="73"/>
      <c r="G6" s="88">
        <f>F27</f>
        <v>666.49</v>
      </c>
      <c r="H6" s="7">
        <f>E6-G6+E5+E7+E4</f>
        <v>352.93999999999994</v>
      </c>
      <c r="K6" s="1290"/>
      <c r="L6" s="1292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29">
        <f t="shared" ref="L12:L14" si="5">L11-M12</f>
        <v>69</v>
      </c>
      <c r="M12" s="714"/>
      <c r="N12" s="702"/>
      <c r="O12" s="845"/>
      <c r="P12" s="737">
        <f t="shared" si="1"/>
        <v>0</v>
      </c>
      <c r="Q12" s="700"/>
      <c r="R12" s="1130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29">
        <f t="shared" si="5"/>
        <v>69</v>
      </c>
      <c r="M13" s="714"/>
      <c r="N13" s="702"/>
      <c r="O13" s="845"/>
      <c r="P13" s="737">
        <f t="shared" si="1"/>
        <v>0</v>
      </c>
      <c r="Q13" s="700"/>
      <c r="R13" s="1130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29">
        <f t="shared" si="5"/>
        <v>69</v>
      </c>
      <c r="M14" s="714"/>
      <c r="N14" s="702"/>
      <c r="O14" s="845"/>
      <c r="P14" s="737">
        <f t="shared" si="1"/>
        <v>0</v>
      </c>
      <c r="Q14" s="700"/>
      <c r="R14" s="1130"/>
      <c r="S14" s="697">
        <f t="shared" si="3"/>
        <v>2048.75</v>
      </c>
    </row>
    <row r="15" spans="1:19" x14ac:dyDescent="0.25">
      <c r="B15" s="821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29">
        <f>L14-M15</f>
        <v>69</v>
      </c>
      <c r="M15" s="714"/>
      <c r="N15" s="702"/>
      <c r="O15" s="845"/>
      <c r="P15" s="737">
        <f t="shared" si="1"/>
        <v>0</v>
      </c>
      <c r="Q15" s="700"/>
      <c r="R15" s="1130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29">
        <f t="shared" ref="L16:L26" si="7">L15-M16</f>
        <v>69</v>
      </c>
      <c r="M16" s="714"/>
      <c r="N16" s="702"/>
      <c r="O16" s="845"/>
      <c r="P16" s="737">
        <f t="shared" si="1"/>
        <v>0</v>
      </c>
      <c r="Q16" s="700"/>
      <c r="R16" s="996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29">
        <f t="shared" si="7"/>
        <v>69</v>
      </c>
      <c r="M17" s="714"/>
      <c r="N17" s="702"/>
      <c r="O17" s="845"/>
      <c r="P17" s="737">
        <f t="shared" si="1"/>
        <v>0</v>
      </c>
      <c r="Q17" s="700"/>
      <c r="R17" s="996"/>
      <c r="S17" s="697">
        <f t="shared" si="3"/>
        <v>2048.75</v>
      </c>
    </row>
    <row r="18" spans="1:19" x14ac:dyDescent="0.25">
      <c r="B18" s="849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28">
        <f t="shared" si="2"/>
        <v>473.93999999999977</v>
      </c>
      <c r="L18" s="1129">
        <f t="shared" si="7"/>
        <v>69</v>
      </c>
      <c r="M18" s="714"/>
      <c r="N18" s="702"/>
      <c r="O18" s="845"/>
      <c r="P18" s="737">
        <f t="shared" si="1"/>
        <v>0</v>
      </c>
      <c r="Q18" s="700"/>
      <c r="R18" s="996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8">
        <v>31.74</v>
      </c>
      <c r="E19" s="847">
        <v>44870</v>
      </c>
      <c r="F19" s="848">
        <f t="shared" si="0"/>
        <v>31.74</v>
      </c>
      <c r="G19" s="840" t="s">
        <v>243</v>
      </c>
      <c r="H19" s="841">
        <v>61</v>
      </c>
      <c r="I19" s="132">
        <f t="shared" si="2"/>
        <v>442.19999999999976</v>
      </c>
      <c r="L19" s="1129">
        <f t="shared" si="7"/>
        <v>69</v>
      </c>
      <c r="M19" s="714"/>
      <c r="N19" s="702"/>
      <c r="O19" s="845"/>
      <c r="P19" s="737">
        <f t="shared" si="1"/>
        <v>0</v>
      </c>
      <c r="Q19" s="700"/>
      <c r="R19" s="1131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8">
        <v>31.36</v>
      </c>
      <c r="E20" s="847">
        <v>44877</v>
      </c>
      <c r="F20" s="848">
        <f t="shared" si="0"/>
        <v>31.36</v>
      </c>
      <c r="G20" s="840" t="s">
        <v>266</v>
      </c>
      <c r="H20" s="841">
        <v>61</v>
      </c>
      <c r="I20" s="132">
        <f t="shared" si="2"/>
        <v>410.83999999999975</v>
      </c>
      <c r="L20" s="1129">
        <f t="shared" si="7"/>
        <v>69</v>
      </c>
      <c r="M20" s="714"/>
      <c r="N20" s="702"/>
      <c r="O20" s="845"/>
      <c r="P20" s="737">
        <f t="shared" si="1"/>
        <v>0</v>
      </c>
      <c r="Q20" s="700"/>
      <c r="R20" s="1131"/>
      <c r="S20" s="697">
        <f t="shared" si="3"/>
        <v>2048.75</v>
      </c>
    </row>
    <row r="21" spans="1:19" x14ac:dyDescent="0.25">
      <c r="B21" s="849">
        <f t="shared" si="6"/>
        <v>12</v>
      </c>
      <c r="C21" s="73">
        <v>1</v>
      </c>
      <c r="D21" s="838">
        <v>26.53</v>
      </c>
      <c r="E21" s="847">
        <v>44881</v>
      </c>
      <c r="F21" s="848">
        <f t="shared" si="0"/>
        <v>26.53</v>
      </c>
      <c r="G21" s="840" t="s">
        <v>280</v>
      </c>
      <c r="H21" s="841">
        <v>61</v>
      </c>
      <c r="I21" s="828">
        <f t="shared" si="2"/>
        <v>384.30999999999972</v>
      </c>
      <c r="L21" s="1129">
        <f t="shared" si="7"/>
        <v>69</v>
      </c>
      <c r="M21" s="714"/>
      <c r="N21" s="702"/>
      <c r="O21" s="845"/>
      <c r="P21" s="737">
        <f t="shared" si="1"/>
        <v>0</v>
      </c>
      <c r="Q21" s="700"/>
      <c r="R21" s="1131"/>
      <c r="S21" s="697">
        <f t="shared" si="3"/>
        <v>2048.75</v>
      </c>
    </row>
    <row r="22" spans="1:19" x14ac:dyDescent="0.25">
      <c r="B22" s="417">
        <f t="shared" si="6"/>
        <v>11</v>
      </c>
      <c r="C22" s="73">
        <v>1</v>
      </c>
      <c r="D22" s="680">
        <v>31.37</v>
      </c>
      <c r="E22" s="1390">
        <v>44903</v>
      </c>
      <c r="F22" s="1391">
        <f t="shared" si="0"/>
        <v>31.37</v>
      </c>
      <c r="G22" s="682" t="s">
        <v>643</v>
      </c>
      <c r="H22" s="205">
        <v>61</v>
      </c>
      <c r="I22" s="132">
        <f t="shared" si="2"/>
        <v>352.93999999999971</v>
      </c>
      <c r="L22" s="1129">
        <f t="shared" si="7"/>
        <v>69</v>
      </c>
      <c r="M22" s="714"/>
      <c r="N22" s="702">
        <v>0</v>
      </c>
      <c r="O22" s="845"/>
      <c r="P22" s="737">
        <f t="shared" si="1"/>
        <v>0</v>
      </c>
      <c r="Q22" s="700"/>
      <c r="R22" s="996"/>
      <c r="S22" s="697">
        <f t="shared" si="3"/>
        <v>2048.75</v>
      </c>
    </row>
    <row r="23" spans="1:19" x14ac:dyDescent="0.25">
      <c r="B23" s="417">
        <f t="shared" si="6"/>
        <v>11</v>
      </c>
      <c r="C23" s="15"/>
      <c r="D23" s="680">
        <v>0</v>
      </c>
      <c r="E23" s="1390"/>
      <c r="F23" s="1391">
        <f t="shared" si="0"/>
        <v>0</v>
      </c>
      <c r="G23" s="682"/>
      <c r="H23" s="205"/>
      <c r="I23" s="132">
        <f t="shared" si="2"/>
        <v>352.93999999999971</v>
      </c>
      <c r="L23" s="1129">
        <f t="shared" si="7"/>
        <v>69</v>
      </c>
      <c r="M23" s="820"/>
      <c r="N23" s="702">
        <v>0</v>
      </c>
      <c r="O23" s="845"/>
      <c r="P23" s="737">
        <f t="shared" si="1"/>
        <v>0</v>
      </c>
      <c r="Q23" s="700"/>
      <c r="R23" s="996"/>
      <c r="S23" s="697">
        <f t="shared" si="3"/>
        <v>2048.75</v>
      </c>
    </row>
    <row r="24" spans="1:19" x14ac:dyDescent="0.25">
      <c r="B24" s="417">
        <f t="shared" si="6"/>
        <v>11</v>
      </c>
      <c r="C24" s="15"/>
      <c r="D24" s="680">
        <v>0</v>
      </c>
      <c r="E24" s="1390"/>
      <c r="F24" s="1391">
        <f t="shared" si="0"/>
        <v>0</v>
      </c>
      <c r="G24" s="682"/>
      <c r="H24" s="205"/>
      <c r="I24" s="132">
        <f t="shared" si="2"/>
        <v>352.93999999999971</v>
      </c>
      <c r="L24" s="1129">
        <f t="shared" si="7"/>
        <v>69</v>
      </c>
      <c r="M24" s="820"/>
      <c r="N24" s="702">
        <v>0</v>
      </c>
      <c r="O24" s="845"/>
      <c r="P24" s="737">
        <f t="shared" si="1"/>
        <v>0</v>
      </c>
      <c r="Q24" s="700"/>
      <c r="R24" s="996"/>
      <c r="S24" s="697">
        <f t="shared" si="3"/>
        <v>2048.75</v>
      </c>
    </row>
    <row r="25" spans="1:19" x14ac:dyDescent="0.25">
      <c r="B25" s="417">
        <f t="shared" si="6"/>
        <v>11</v>
      </c>
      <c r="C25" s="15"/>
      <c r="D25" s="680">
        <v>0</v>
      </c>
      <c r="E25" s="1390"/>
      <c r="F25" s="1391">
        <f t="shared" si="0"/>
        <v>0</v>
      </c>
      <c r="G25" s="682"/>
      <c r="H25" s="205"/>
      <c r="I25" s="132">
        <f t="shared" si="2"/>
        <v>352.93999999999971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11</v>
      </c>
      <c r="C26" s="37"/>
      <c r="D26" s="680">
        <v>0</v>
      </c>
      <c r="E26" s="1392"/>
      <c r="F26" s="1391">
        <f t="shared" si="0"/>
        <v>0</v>
      </c>
      <c r="G26" s="1393"/>
      <c r="H26" s="1394"/>
      <c r="I26" s="132">
        <f t="shared" si="2"/>
        <v>352.93999999999971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2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22</v>
      </c>
      <c r="D27" s="105">
        <f>SUM(D9:D26)</f>
        <v>666.49</v>
      </c>
      <c r="E27" s="75"/>
      <c r="F27" s="105">
        <f>SUM(F9:F26)</f>
        <v>666.49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67" t="s">
        <v>21</v>
      </c>
      <c r="E29" s="1268"/>
      <c r="F29" s="141">
        <f>E5+E6-F27+E7+E4</f>
        <v>352.93999999999994</v>
      </c>
      <c r="L29" s="5"/>
      <c r="N29" s="1267" t="s">
        <v>21</v>
      </c>
      <c r="O29" s="1268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11</v>
      </c>
      <c r="K30" s="125"/>
      <c r="N30" s="1123" t="s">
        <v>4</v>
      </c>
      <c r="O30" s="1124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83"/>
      <c r="B6" s="130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83"/>
      <c r="B7" s="130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7" t="s">
        <v>21</v>
      </c>
      <c r="E30" s="1268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K1" zoomScaleNormal="100" workbookViewId="0">
      <pane ySplit="8" topLeftCell="A9" activePane="bottomLeft" state="frozen"/>
      <selection pane="bottomLeft" activeCell="T15" sqref="T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305" t="s">
        <v>325</v>
      </c>
      <c r="B1" s="1305"/>
      <c r="C1" s="1305"/>
      <c r="D1" s="1305"/>
      <c r="E1" s="1305"/>
      <c r="F1" s="1305"/>
      <c r="G1" s="1305"/>
      <c r="H1" s="1305"/>
      <c r="I1" s="1305"/>
      <c r="J1" s="1305"/>
      <c r="K1" s="479">
        <v>1</v>
      </c>
      <c r="M1" s="1308" t="s">
        <v>340</v>
      </c>
      <c r="N1" s="1308"/>
      <c r="O1" s="1308"/>
      <c r="P1" s="1308"/>
      <c r="Q1" s="1308"/>
      <c r="R1" s="1308"/>
      <c r="S1" s="1308"/>
      <c r="T1" s="1308"/>
      <c r="U1" s="1308"/>
      <c r="V1" s="1308"/>
      <c r="W1" s="479">
        <v>2</v>
      </c>
      <c r="Y1" s="1308" t="s">
        <v>340</v>
      </c>
      <c r="Z1" s="1308"/>
      <c r="AA1" s="1308"/>
      <c r="AB1" s="1308"/>
      <c r="AC1" s="1308"/>
      <c r="AD1" s="1308"/>
      <c r="AE1" s="1308"/>
      <c r="AF1" s="1308"/>
      <c r="AG1" s="1308"/>
      <c r="AH1" s="130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306" t="s">
        <v>97</v>
      </c>
      <c r="B5" s="73" t="s">
        <v>48</v>
      </c>
      <c r="C5" s="880">
        <v>92</v>
      </c>
      <c r="D5" s="719">
        <v>44870</v>
      </c>
      <c r="E5" s="697">
        <v>5008.4799999999996</v>
      </c>
      <c r="F5" s="714">
        <v>184</v>
      </c>
      <c r="G5" s="47">
        <f>F115</f>
        <v>5013.4699999999993</v>
      </c>
      <c r="H5" s="154">
        <f>E5+E6-G5+E4</f>
        <v>2.1849189124623081E-13</v>
      </c>
      <c r="M5" s="1306" t="s">
        <v>97</v>
      </c>
      <c r="N5" s="73" t="s">
        <v>48</v>
      </c>
      <c r="O5" s="880">
        <v>88.5</v>
      </c>
      <c r="P5" s="719">
        <v>44898</v>
      </c>
      <c r="Q5" s="697">
        <v>5008.4799999999996</v>
      </c>
      <c r="R5" s="714">
        <v>184</v>
      </c>
      <c r="S5" s="47">
        <f>R115</f>
        <v>2749.2199999999993</v>
      </c>
      <c r="T5" s="154">
        <f>Q5+Q6-S5+Q4</f>
        <v>2454.79</v>
      </c>
      <c r="Y5" s="1306" t="s">
        <v>52</v>
      </c>
      <c r="Z5" s="73" t="s">
        <v>48</v>
      </c>
      <c r="AA5" s="880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307"/>
      <c r="B6" s="668" t="s">
        <v>143</v>
      </c>
      <c r="C6" s="881"/>
      <c r="D6" s="719"/>
      <c r="E6" s="852"/>
      <c r="F6" s="882"/>
      <c r="M6" s="1307"/>
      <c r="N6" s="668" t="s">
        <v>143</v>
      </c>
      <c r="O6" s="881"/>
      <c r="P6" s="719"/>
      <c r="Q6" s="852">
        <v>195.53</v>
      </c>
      <c r="R6" s="882">
        <v>7</v>
      </c>
      <c r="Y6" s="1307"/>
      <c r="Z6" s="668" t="s">
        <v>143</v>
      </c>
      <c r="AA6" s="881"/>
      <c r="AB6" s="719"/>
      <c r="AC6" s="852"/>
      <c r="AD6" s="882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0" t="s">
        <v>59</v>
      </c>
      <c r="J8" s="860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5" t="s">
        <v>59</v>
      </c>
      <c r="V8" s="96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5" t="s">
        <v>59</v>
      </c>
      <c r="AH8" s="96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8">
        <f>E5-F9+E4+E6+E7</f>
        <v>4469.07</v>
      </c>
      <c r="J9" s="989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>
        <v>24</v>
      </c>
      <c r="P9" s="297">
        <f t="shared" ref="P9" si="2">O9*N9</f>
        <v>653.28</v>
      </c>
      <c r="Q9" s="245">
        <v>44901</v>
      </c>
      <c r="R9" s="69">
        <f t="shared" ref="R9" si="3">P9</f>
        <v>653.28</v>
      </c>
      <c r="S9" s="70" t="s">
        <v>624</v>
      </c>
      <c r="T9" s="71">
        <v>95</v>
      </c>
      <c r="U9" s="1032">
        <f>Q5-R9+Q4+Q6+Q7</f>
        <v>4550.7299999999996</v>
      </c>
      <c r="V9" s="1033">
        <f>R5-O9+R4+R6+R7</f>
        <v>167</v>
      </c>
      <c r="W9" s="435">
        <f>R9*T9</f>
        <v>62061.599999999999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2">
        <f>AC5-AD9+AC4+AC6+AC7</f>
        <v>9016.44</v>
      </c>
      <c r="AH9" s="1033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>
        <v>10</v>
      </c>
      <c r="D10" s="1003">
        <f>C10*B10</f>
        <v>272.2</v>
      </c>
      <c r="E10" s="573">
        <v>44893</v>
      </c>
      <c r="F10" s="537">
        <f>D10</f>
        <v>272.2</v>
      </c>
      <c r="G10" s="330" t="s">
        <v>571</v>
      </c>
      <c r="H10" s="331">
        <v>90</v>
      </c>
      <c r="I10" s="436">
        <f>I9-F10</f>
        <v>4196.87</v>
      </c>
      <c r="J10" s="437">
        <f>J9-C10</f>
        <v>154</v>
      </c>
      <c r="K10" s="438">
        <f t="shared" ref="K10:K73" si="6">F10*H10</f>
        <v>24498</v>
      </c>
      <c r="M10" s="553"/>
      <c r="N10">
        <v>27.22</v>
      </c>
      <c r="O10" s="15">
        <v>1</v>
      </c>
      <c r="P10" s="712">
        <f>O10*N10</f>
        <v>27.22</v>
      </c>
      <c r="Q10" s="246">
        <v>44903</v>
      </c>
      <c r="R10" s="69">
        <f>P10</f>
        <v>27.22</v>
      </c>
      <c r="S10" s="70" t="s">
        <v>643</v>
      </c>
      <c r="T10" s="71">
        <v>95</v>
      </c>
      <c r="U10" s="436">
        <f>U9-R10</f>
        <v>4523.5099999999993</v>
      </c>
      <c r="V10" s="437">
        <f>V9-O10</f>
        <v>166</v>
      </c>
      <c r="W10" s="438">
        <f t="shared" ref="W10:W73" si="7">R10*T10</f>
        <v>2585.9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>
        <v>36</v>
      </c>
      <c r="D11" s="743">
        <f t="shared" ref="D11:D74" si="9">C11*B11</f>
        <v>979.92</v>
      </c>
      <c r="E11" s="741">
        <v>44894</v>
      </c>
      <c r="F11" s="537">
        <f t="shared" ref="F11:F74" si="10">D11</f>
        <v>979.92</v>
      </c>
      <c r="G11" s="330" t="s">
        <v>572</v>
      </c>
      <c r="H11" s="331">
        <v>95</v>
      </c>
      <c r="I11" s="436">
        <f t="shared" ref="I11:I74" si="11">I10-F11</f>
        <v>3216.95</v>
      </c>
      <c r="J11" s="437">
        <f t="shared" ref="J11" si="12">J10-C11</f>
        <v>118</v>
      </c>
      <c r="K11" s="438">
        <f t="shared" si="6"/>
        <v>93092.4</v>
      </c>
      <c r="M11" s="554"/>
      <c r="N11">
        <v>27.22</v>
      </c>
      <c r="O11" s="15">
        <v>24</v>
      </c>
      <c r="P11" s="297">
        <f t="shared" ref="P11:P74" si="13">O11*N11</f>
        <v>653.28</v>
      </c>
      <c r="Q11" s="245">
        <v>44904</v>
      </c>
      <c r="R11" s="69">
        <f t="shared" ref="R11:R74" si="14">P11</f>
        <v>653.28</v>
      </c>
      <c r="S11" s="70" t="s">
        <v>655</v>
      </c>
      <c r="T11" s="71">
        <v>95</v>
      </c>
      <c r="U11" s="436">
        <f t="shared" ref="U11:U74" si="15">U10-R11</f>
        <v>3870.2299999999996</v>
      </c>
      <c r="V11" s="437">
        <f t="shared" ref="V11" si="16">V10-O11</f>
        <v>142</v>
      </c>
      <c r="W11" s="438">
        <f t="shared" si="7"/>
        <v>62061.599999999999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>
        <v>1</v>
      </c>
      <c r="D12" s="743">
        <f t="shared" si="9"/>
        <v>27.22</v>
      </c>
      <c r="E12" s="741">
        <v>44895</v>
      </c>
      <c r="F12" s="537">
        <f t="shared" si="10"/>
        <v>27.22</v>
      </c>
      <c r="G12" s="330" t="s">
        <v>576</v>
      </c>
      <c r="H12" s="331">
        <v>95</v>
      </c>
      <c r="I12" s="436">
        <f t="shared" si="11"/>
        <v>3189.73</v>
      </c>
      <c r="J12" s="437">
        <f>J11-C12</f>
        <v>117</v>
      </c>
      <c r="K12" s="438">
        <f t="shared" si="6"/>
        <v>2585.9</v>
      </c>
      <c r="M12" s="55" t="s">
        <v>33</v>
      </c>
      <c r="N12">
        <v>27.22</v>
      </c>
      <c r="O12" s="15">
        <v>32</v>
      </c>
      <c r="P12" s="297">
        <f t="shared" si="13"/>
        <v>871.04</v>
      </c>
      <c r="Q12" s="245">
        <v>44905</v>
      </c>
      <c r="R12" s="69">
        <f t="shared" si="14"/>
        <v>871.04</v>
      </c>
      <c r="S12" s="70" t="s">
        <v>669</v>
      </c>
      <c r="T12" s="71">
        <v>95</v>
      </c>
      <c r="U12" s="436">
        <f t="shared" si="15"/>
        <v>2999.1899999999996</v>
      </c>
      <c r="V12" s="437">
        <f>V11-O12</f>
        <v>110</v>
      </c>
      <c r="W12" s="438">
        <f t="shared" si="7"/>
        <v>82748.800000000003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>
        <v>24</v>
      </c>
      <c r="D13" s="743">
        <f t="shared" si="9"/>
        <v>653.28</v>
      </c>
      <c r="E13" s="741">
        <v>44895</v>
      </c>
      <c r="F13" s="537">
        <f t="shared" si="10"/>
        <v>653.28</v>
      </c>
      <c r="G13" s="330" t="s">
        <v>580</v>
      </c>
      <c r="H13" s="331">
        <v>95</v>
      </c>
      <c r="I13" s="436">
        <f t="shared" si="11"/>
        <v>2536.4499999999998</v>
      </c>
      <c r="J13" s="437">
        <f t="shared" ref="J13:J76" si="21">J12-C13</f>
        <v>93</v>
      </c>
      <c r="K13" s="438">
        <f t="shared" si="6"/>
        <v>62061.599999999999</v>
      </c>
      <c r="M13" s="414"/>
      <c r="N13">
        <v>27.22</v>
      </c>
      <c r="O13" s="15">
        <v>10</v>
      </c>
      <c r="P13" s="297">
        <f t="shared" si="13"/>
        <v>272.2</v>
      </c>
      <c r="Q13" s="245">
        <v>44905</v>
      </c>
      <c r="R13" s="69">
        <f t="shared" si="14"/>
        <v>272.2</v>
      </c>
      <c r="S13" s="70" t="s">
        <v>670</v>
      </c>
      <c r="T13" s="71">
        <v>90</v>
      </c>
      <c r="U13" s="436">
        <f t="shared" si="15"/>
        <v>2726.99</v>
      </c>
      <c r="V13" s="437">
        <f t="shared" ref="V13:V76" si="22">V12-O13</f>
        <v>100</v>
      </c>
      <c r="W13" s="438">
        <f t="shared" si="7"/>
        <v>24498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>
        <v>6</v>
      </c>
      <c r="D14" s="743">
        <f t="shared" si="9"/>
        <v>163.32</v>
      </c>
      <c r="E14" s="741">
        <v>44898</v>
      </c>
      <c r="F14" s="537">
        <f t="shared" si="10"/>
        <v>163.32</v>
      </c>
      <c r="G14" s="330" t="s">
        <v>606</v>
      </c>
      <c r="H14" s="331">
        <v>95</v>
      </c>
      <c r="I14" s="436">
        <f t="shared" si="11"/>
        <v>2373.1299999999997</v>
      </c>
      <c r="J14" s="437">
        <f t="shared" si="21"/>
        <v>87</v>
      </c>
      <c r="K14" s="438">
        <f t="shared" si="6"/>
        <v>15515.4</v>
      </c>
      <c r="M14" s="414"/>
      <c r="N14">
        <v>27.22</v>
      </c>
      <c r="O14" s="15">
        <v>10</v>
      </c>
      <c r="P14" s="297">
        <f t="shared" si="13"/>
        <v>272.2</v>
      </c>
      <c r="Q14" s="245">
        <v>44907</v>
      </c>
      <c r="R14" s="69">
        <f t="shared" si="14"/>
        <v>272.2</v>
      </c>
      <c r="S14" s="70" t="s">
        <v>681</v>
      </c>
      <c r="T14" s="71">
        <v>90</v>
      </c>
      <c r="U14" s="436">
        <f t="shared" si="15"/>
        <v>2454.79</v>
      </c>
      <c r="V14" s="437">
        <f t="shared" si="22"/>
        <v>90</v>
      </c>
      <c r="W14" s="438">
        <f t="shared" si="7"/>
        <v>24498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>
        <v>1</v>
      </c>
      <c r="D15" s="743">
        <f t="shared" si="9"/>
        <v>27.22</v>
      </c>
      <c r="E15" s="741">
        <v>44898</v>
      </c>
      <c r="F15" s="537">
        <f t="shared" si="10"/>
        <v>27.22</v>
      </c>
      <c r="G15" s="330" t="s">
        <v>607</v>
      </c>
      <c r="H15" s="331">
        <v>95</v>
      </c>
      <c r="I15" s="436">
        <f t="shared" si="11"/>
        <v>2345.91</v>
      </c>
      <c r="J15" s="437">
        <f t="shared" si="21"/>
        <v>86</v>
      </c>
      <c r="K15" s="438">
        <f t="shared" si="6"/>
        <v>2585.9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2454.79</v>
      </c>
      <c r="V15" s="437">
        <f t="shared" si="22"/>
        <v>90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>
        <v>37</v>
      </c>
      <c r="D16" s="743">
        <f t="shared" si="9"/>
        <v>1007.14</v>
      </c>
      <c r="E16" s="741">
        <v>44898</v>
      </c>
      <c r="F16" s="537">
        <f t="shared" si="10"/>
        <v>1007.14</v>
      </c>
      <c r="G16" s="330" t="s">
        <v>609</v>
      </c>
      <c r="H16" s="331">
        <v>95</v>
      </c>
      <c r="I16" s="436">
        <f t="shared" si="11"/>
        <v>1338.77</v>
      </c>
      <c r="J16" s="437">
        <f t="shared" si="21"/>
        <v>49</v>
      </c>
      <c r="K16" s="438">
        <f t="shared" si="6"/>
        <v>95678.3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2454.79</v>
      </c>
      <c r="V16" s="437">
        <f t="shared" si="22"/>
        <v>90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>
        <v>10</v>
      </c>
      <c r="D17" s="743">
        <f t="shared" si="9"/>
        <v>272.2</v>
      </c>
      <c r="E17" s="741">
        <v>44900</v>
      </c>
      <c r="F17" s="537">
        <f t="shared" si="10"/>
        <v>272.2</v>
      </c>
      <c r="G17" s="330" t="s">
        <v>614</v>
      </c>
      <c r="H17" s="1382">
        <v>90</v>
      </c>
      <c r="I17" s="436">
        <f t="shared" si="11"/>
        <v>1066.57</v>
      </c>
      <c r="J17" s="437">
        <f t="shared" si="21"/>
        <v>39</v>
      </c>
      <c r="K17" s="438">
        <f t="shared" si="6"/>
        <v>24498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2454.79</v>
      </c>
      <c r="V17" s="437">
        <f t="shared" si="22"/>
        <v>90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>
        <v>32</v>
      </c>
      <c r="D18" s="743">
        <f t="shared" si="9"/>
        <v>871.04</v>
      </c>
      <c r="E18" s="741">
        <v>44901</v>
      </c>
      <c r="F18" s="537">
        <f t="shared" si="10"/>
        <v>871.04</v>
      </c>
      <c r="G18" s="330" t="s">
        <v>623</v>
      </c>
      <c r="H18" s="331">
        <v>95</v>
      </c>
      <c r="I18" s="436">
        <f t="shared" si="11"/>
        <v>195.52999999999997</v>
      </c>
      <c r="J18" s="437">
        <f t="shared" si="21"/>
        <v>7</v>
      </c>
      <c r="K18" s="438">
        <f t="shared" si="6"/>
        <v>82748.800000000003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2454.79</v>
      </c>
      <c r="V18" s="437">
        <f t="shared" si="22"/>
        <v>90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1373">
        <f t="shared" si="10"/>
        <v>0</v>
      </c>
      <c r="G19" s="1374"/>
      <c r="H19" s="1375"/>
      <c r="I19" s="1388">
        <f t="shared" si="11"/>
        <v>195.52999999999997</v>
      </c>
      <c r="J19" s="1389">
        <f t="shared" si="21"/>
        <v>7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2454.79</v>
      </c>
      <c r="V19" s="437">
        <f t="shared" si="22"/>
        <v>90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1373">
        <f t="shared" si="10"/>
        <v>0</v>
      </c>
      <c r="G20" s="1374"/>
      <c r="H20" s="1375"/>
      <c r="I20" s="1388">
        <f t="shared" si="11"/>
        <v>195.52999999999997</v>
      </c>
      <c r="J20" s="1389">
        <f t="shared" si="21"/>
        <v>7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2454.79</v>
      </c>
      <c r="V20" s="437">
        <f t="shared" si="22"/>
        <v>90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1373">
        <f t="shared" si="10"/>
        <v>0</v>
      </c>
      <c r="G21" s="1374"/>
      <c r="H21" s="1375"/>
      <c r="I21" s="1388">
        <f t="shared" si="11"/>
        <v>195.52999999999997</v>
      </c>
      <c r="J21" s="1389">
        <f t="shared" si="21"/>
        <v>7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2454.79</v>
      </c>
      <c r="V21" s="437">
        <f t="shared" si="22"/>
        <v>90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>
        <v>7</v>
      </c>
      <c r="D22" s="743">
        <f t="shared" si="9"/>
        <v>190.54</v>
      </c>
      <c r="E22" s="741"/>
      <c r="F22" s="537">
        <v>195.53</v>
      </c>
      <c r="G22" s="330"/>
      <c r="H22" s="331"/>
      <c r="I22" s="436">
        <f t="shared" si="11"/>
        <v>0</v>
      </c>
      <c r="J22" s="437">
        <f t="shared" si="21"/>
        <v>0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2454.79</v>
      </c>
      <c r="V22" s="437">
        <f t="shared" si="22"/>
        <v>90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0</v>
      </c>
      <c r="J23" s="437">
        <f t="shared" si="21"/>
        <v>0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2454.79</v>
      </c>
      <c r="V23" s="437">
        <f t="shared" si="22"/>
        <v>90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0</v>
      </c>
      <c r="J24" s="437">
        <f t="shared" si="21"/>
        <v>0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2454.79</v>
      </c>
      <c r="V24" s="437">
        <f t="shared" si="22"/>
        <v>90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0</v>
      </c>
      <c r="J25" s="437">
        <f t="shared" si="21"/>
        <v>0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2454.79</v>
      </c>
      <c r="V25" s="437">
        <f t="shared" si="22"/>
        <v>90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0</v>
      </c>
      <c r="J26" s="437">
        <f t="shared" si="21"/>
        <v>0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2454.79</v>
      </c>
      <c r="V26" s="437">
        <f t="shared" si="22"/>
        <v>90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0</v>
      </c>
      <c r="J27" s="437">
        <f t="shared" si="21"/>
        <v>0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2454.79</v>
      </c>
      <c r="V27" s="437">
        <f t="shared" si="22"/>
        <v>90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0</v>
      </c>
      <c r="J28" s="437">
        <f t="shared" si="21"/>
        <v>0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2454.79</v>
      </c>
      <c r="V28" s="437">
        <f t="shared" si="22"/>
        <v>90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0</v>
      </c>
      <c r="J29" s="437">
        <f t="shared" si="21"/>
        <v>0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2454.79</v>
      </c>
      <c r="V29" s="437">
        <f t="shared" si="22"/>
        <v>90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0</v>
      </c>
      <c r="J30" s="437">
        <f t="shared" si="21"/>
        <v>0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2454.79</v>
      </c>
      <c r="V30" s="437">
        <f t="shared" si="22"/>
        <v>90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0</v>
      </c>
      <c r="J31" s="437">
        <f t="shared" si="21"/>
        <v>0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2454.79</v>
      </c>
      <c r="V31" s="437">
        <f t="shared" si="22"/>
        <v>90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0</v>
      </c>
      <c r="J32" s="437">
        <f t="shared" si="21"/>
        <v>0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2454.79</v>
      </c>
      <c r="V32" s="437">
        <f t="shared" si="22"/>
        <v>90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0</v>
      </c>
      <c r="J33" s="437">
        <f t="shared" si="21"/>
        <v>0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2454.79</v>
      </c>
      <c r="V33" s="437">
        <f t="shared" si="22"/>
        <v>90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0</v>
      </c>
      <c r="J34" s="437">
        <f t="shared" si="21"/>
        <v>0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2454.79</v>
      </c>
      <c r="V34" s="437">
        <f t="shared" si="22"/>
        <v>90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0</v>
      </c>
      <c r="J35" s="437">
        <f t="shared" si="21"/>
        <v>0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2454.79</v>
      </c>
      <c r="V35" s="437">
        <f t="shared" si="22"/>
        <v>90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0</v>
      </c>
      <c r="J36" s="437">
        <f t="shared" si="21"/>
        <v>0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2454.79</v>
      </c>
      <c r="V36" s="437">
        <f t="shared" si="22"/>
        <v>90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0</v>
      </c>
      <c r="J37" s="437">
        <f t="shared" si="21"/>
        <v>0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2454.79</v>
      </c>
      <c r="V37" s="437">
        <f t="shared" si="22"/>
        <v>90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0</v>
      </c>
      <c r="J38" s="437">
        <f t="shared" si="21"/>
        <v>0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2454.79</v>
      </c>
      <c r="V38" s="437">
        <f t="shared" si="22"/>
        <v>90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0</v>
      </c>
      <c r="J39" s="437">
        <f t="shared" si="21"/>
        <v>0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2454.79</v>
      </c>
      <c r="V39" s="437">
        <f t="shared" si="22"/>
        <v>90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0</v>
      </c>
      <c r="J40" s="437">
        <f t="shared" si="21"/>
        <v>0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2454.79</v>
      </c>
      <c r="V40" s="437">
        <f t="shared" si="22"/>
        <v>90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0</v>
      </c>
      <c r="J41" s="437">
        <f t="shared" si="21"/>
        <v>0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2454.79</v>
      </c>
      <c r="V41" s="437">
        <f t="shared" si="22"/>
        <v>90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0</v>
      </c>
      <c r="J42" s="437">
        <f t="shared" si="21"/>
        <v>0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2454.79</v>
      </c>
      <c r="V42" s="437">
        <f t="shared" si="22"/>
        <v>90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0</v>
      </c>
      <c r="J43" s="437">
        <f t="shared" si="21"/>
        <v>0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2454.79</v>
      </c>
      <c r="V43" s="437">
        <f t="shared" si="22"/>
        <v>90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0</v>
      </c>
      <c r="J44" s="437">
        <f t="shared" si="21"/>
        <v>0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2454.79</v>
      </c>
      <c r="V44" s="437">
        <f t="shared" si="22"/>
        <v>90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0</v>
      </c>
      <c r="J45" s="437">
        <f t="shared" si="21"/>
        <v>0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2454.79</v>
      </c>
      <c r="V45" s="437">
        <f t="shared" si="22"/>
        <v>90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0</v>
      </c>
      <c r="J46" s="437">
        <f t="shared" si="21"/>
        <v>0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2454.79</v>
      </c>
      <c r="V46" s="437">
        <f t="shared" si="22"/>
        <v>90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0</v>
      </c>
      <c r="J47" s="437">
        <f t="shared" si="21"/>
        <v>0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2454.79</v>
      </c>
      <c r="V47" s="437">
        <f t="shared" si="22"/>
        <v>90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0</v>
      </c>
      <c r="J48" s="437">
        <f t="shared" si="21"/>
        <v>0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2454.79</v>
      </c>
      <c r="V48" s="437">
        <f t="shared" si="22"/>
        <v>90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0</v>
      </c>
      <c r="J49" s="437">
        <f t="shared" si="21"/>
        <v>0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2454.79</v>
      </c>
      <c r="V49" s="437">
        <f t="shared" si="22"/>
        <v>90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0</v>
      </c>
      <c r="J50" s="437">
        <f t="shared" si="21"/>
        <v>0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2454.79</v>
      </c>
      <c r="V50" s="437">
        <f t="shared" si="22"/>
        <v>90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0</v>
      </c>
      <c r="J51" s="437">
        <f t="shared" si="21"/>
        <v>0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2454.79</v>
      </c>
      <c r="V51" s="437">
        <f t="shared" si="22"/>
        <v>90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0</v>
      </c>
      <c r="J52" s="437">
        <f t="shared" si="21"/>
        <v>0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2454.79</v>
      </c>
      <c r="V52" s="437">
        <f t="shared" si="22"/>
        <v>90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0</v>
      </c>
      <c r="J53" s="437">
        <f t="shared" si="21"/>
        <v>0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2454.79</v>
      </c>
      <c r="V53" s="437">
        <f t="shared" si="22"/>
        <v>90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0</v>
      </c>
      <c r="J54" s="437">
        <f t="shared" si="21"/>
        <v>0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2454.79</v>
      </c>
      <c r="V54" s="437">
        <f t="shared" si="22"/>
        <v>90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0</v>
      </c>
      <c r="J55" s="437">
        <f t="shared" si="21"/>
        <v>0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2454.79</v>
      </c>
      <c r="V55" s="437">
        <f t="shared" si="22"/>
        <v>90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0</v>
      </c>
      <c r="J56" s="437">
        <f t="shared" si="21"/>
        <v>0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2454.79</v>
      </c>
      <c r="V56" s="437">
        <f t="shared" si="22"/>
        <v>90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0</v>
      </c>
      <c r="J57" s="437">
        <f t="shared" si="21"/>
        <v>0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2454.79</v>
      </c>
      <c r="V57" s="437">
        <f t="shared" si="22"/>
        <v>90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0</v>
      </c>
      <c r="J58" s="437">
        <f t="shared" si="21"/>
        <v>0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2454.79</v>
      </c>
      <c r="V58" s="437">
        <f t="shared" si="22"/>
        <v>90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0</v>
      </c>
      <c r="J59" s="437">
        <f t="shared" si="21"/>
        <v>0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2454.79</v>
      </c>
      <c r="V59" s="437">
        <f t="shared" si="22"/>
        <v>90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0</v>
      </c>
      <c r="J60" s="437">
        <f t="shared" si="21"/>
        <v>0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2454.79</v>
      </c>
      <c r="V60" s="437">
        <f t="shared" si="22"/>
        <v>90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0</v>
      </c>
      <c r="J61" s="437">
        <f t="shared" si="21"/>
        <v>0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2454.79</v>
      </c>
      <c r="V61" s="437">
        <f t="shared" si="22"/>
        <v>90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0</v>
      </c>
      <c r="J62" s="437">
        <f t="shared" si="21"/>
        <v>0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2454.79</v>
      </c>
      <c r="V62" s="437">
        <f t="shared" si="22"/>
        <v>90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0</v>
      </c>
      <c r="J63" s="437">
        <f t="shared" si="21"/>
        <v>0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2454.79</v>
      </c>
      <c r="V63" s="437">
        <f t="shared" si="22"/>
        <v>90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0</v>
      </c>
      <c r="J64" s="437">
        <f t="shared" si="21"/>
        <v>0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2454.79</v>
      </c>
      <c r="V64" s="437">
        <f t="shared" si="22"/>
        <v>90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0</v>
      </c>
      <c r="J65" s="437">
        <f t="shared" si="21"/>
        <v>0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2454.79</v>
      </c>
      <c r="V65" s="437">
        <f t="shared" si="22"/>
        <v>90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0</v>
      </c>
      <c r="J66" s="437">
        <f t="shared" si="21"/>
        <v>0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2454.79</v>
      </c>
      <c r="V66" s="437">
        <f t="shared" si="22"/>
        <v>90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0</v>
      </c>
      <c r="J67" s="437">
        <f t="shared" si="21"/>
        <v>0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2454.79</v>
      </c>
      <c r="V67" s="437">
        <f t="shared" si="22"/>
        <v>90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0</v>
      </c>
      <c r="J68" s="437">
        <f t="shared" si="21"/>
        <v>0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2454.79</v>
      </c>
      <c r="V68" s="437">
        <f t="shared" si="22"/>
        <v>90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0</v>
      </c>
      <c r="J69" s="437">
        <f t="shared" si="21"/>
        <v>0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2454.79</v>
      </c>
      <c r="V69" s="437">
        <f t="shared" si="22"/>
        <v>90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0</v>
      </c>
      <c r="J70" s="437">
        <f t="shared" si="21"/>
        <v>0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2454.79</v>
      </c>
      <c r="V70" s="437">
        <f t="shared" si="22"/>
        <v>90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0</v>
      </c>
      <c r="J71" s="437">
        <f t="shared" si="21"/>
        <v>0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2454.79</v>
      </c>
      <c r="V71" s="437">
        <f t="shared" si="22"/>
        <v>90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0</v>
      </c>
      <c r="J72" s="437">
        <f t="shared" si="21"/>
        <v>0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2454.79</v>
      </c>
      <c r="V72" s="437">
        <f t="shared" si="22"/>
        <v>90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0</v>
      </c>
      <c r="J73" s="437">
        <f t="shared" si="21"/>
        <v>0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2454.79</v>
      </c>
      <c r="V73" s="437">
        <f t="shared" si="22"/>
        <v>90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0</v>
      </c>
      <c r="J74" s="437">
        <f t="shared" si="21"/>
        <v>0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2454.79</v>
      </c>
      <c r="V74" s="437">
        <f t="shared" si="22"/>
        <v>90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0</v>
      </c>
      <c r="J75" s="437">
        <f t="shared" si="21"/>
        <v>0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2454.79</v>
      </c>
      <c r="V75" s="437">
        <f t="shared" si="22"/>
        <v>90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0</v>
      </c>
      <c r="J76" s="437">
        <f t="shared" si="21"/>
        <v>0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2454.79</v>
      </c>
      <c r="V76" s="437">
        <f t="shared" si="22"/>
        <v>90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0</v>
      </c>
      <c r="J77" s="437">
        <f t="shared" ref="J77:J113" si="36">J76-C77</f>
        <v>0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2454.79</v>
      </c>
      <c r="V77" s="437">
        <f t="shared" ref="V77:V113" si="37">V76-O77</f>
        <v>90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0</v>
      </c>
      <c r="J78" s="437">
        <f t="shared" si="36"/>
        <v>0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2454.79</v>
      </c>
      <c r="V78" s="437">
        <f t="shared" si="37"/>
        <v>90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0</v>
      </c>
      <c r="J79" s="437">
        <f t="shared" si="36"/>
        <v>0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2454.79</v>
      </c>
      <c r="V79" s="437">
        <f t="shared" si="37"/>
        <v>90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0</v>
      </c>
      <c r="J80" s="437">
        <f t="shared" si="36"/>
        <v>0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2454.79</v>
      </c>
      <c r="V80" s="437">
        <f t="shared" si="37"/>
        <v>90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0</v>
      </c>
      <c r="J81" s="437">
        <f t="shared" si="36"/>
        <v>0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2454.79</v>
      </c>
      <c r="V81" s="437">
        <f t="shared" si="37"/>
        <v>90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0</v>
      </c>
      <c r="J82" s="437">
        <f t="shared" si="36"/>
        <v>0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2454.79</v>
      </c>
      <c r="V82" s="437">
        <f t="shared" si="37"/>
        <v>90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0</v>
      </c>
      <c r="J83" s="437">
        <f t="shared" si="36"/>
        <v>0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2454.79</v>
      </c>
      <c r="V83" s="437">
        <f t="shared" si="37"/>
        <v>90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0</v>
      </c>
      <c r="J84" s="437">
        <f t="shared" si="36"/>
        <v>0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2454.79</v>
      </c>
      <c r="V84" s="437">
        <f t="shared" si="37"/>
        <v>90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0</v>
      </c>
      <c r="J85" s="437">
        <f t="shared" si="36"/>
        <v>0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2454.79</v>
      </c>
      <c r="V85" s="437">
        <f t="shared" si="37"/>
        <v>90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0</v>
      </c>
      <c r="J86" s="437">
        <f t="shared" si="36"/>
        <v>0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2454.79</v>
      </c>
      <c r="V86" s="437">
        <f t="shared" si="37"/>
        <v>90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0</v>
      </c>
      <c r="J87" s="437">
        <f t="shared" si="36"/>
        <v>0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2454.79</v>
      </c>
      <c r="V87" s="437">
        <f t="shared" si="37"/>
        <v>90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0</v>
      </c>
      <c r="J88" s="437">
        <f t="shared" si="36"/>
        <v>0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2454.79</v>
      </c>
      <c r="V88" s="437">
        <f t="shared" si="37"/>
        <v>90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0</v>
      </c>
      <c r="J89" s="437">
        <f t="shared" si="36"/>
        <v>0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2454.79</v>
      </c>
      <c r="V89" s="437">
        <f t="shared" si="37"/>
        <v>90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0</v>
      </c>
      <c r="J90" s="437">
        <f t="shared" si="36"/>
        <v>0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2454.79</v>
      </c>
      <c r="V90" s="437">
        <f t="shared" si="37"/>
        <v>90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0</v>
      </c>
      <c r="J91" s="437">
        <f t="shared" si="36"/>
        <v>0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2454.79</v>
      </c>
      <c r="V91" s="437">
        <f t="shared" si="37"/>
        <v>90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0</v>
      </c>
      <c r="J92" s="437">
        <f t="shared" si="36"/>
        <v>0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2454.79</v>
      </c>
      <c r="V92" s="437">
        <f t="shared" si="37"/>
        <v>90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0</v>
      </c>
      <c r="J93" s="437">
        <f t="shared" si="36"/>
        <v>0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2454.79</v>
      </c>
      <c r="V93" s="437">
        <f t="shared" si="37"/>
        <v>90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0</v>
      </c>
      <c r="J94" s="437">
        <f t="shared" si="36"/>
        <v>0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2454.79</v>
      </c>
      <c r="V94" s="437">
        <f t="shared" si="37"/>
        <v>90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0</v>
      </c>
      <c r="J95" s="437">
        <f t="shared" si="36"/>
        <v>0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2454.79</v>
      </c>
      <c r="V95" s="437">
        <f t="shared" si="37"/>
        <v>90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0</v>
      </c>
      <c r="J96" s="437">
        <f t="shared" si="36"/>
        <v>0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2454.79</v>
      </c>
      <c r="V96" s="437">
        <f t="shared" si="37"/>
        <v>90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0</v>
      </c>
      <c r="J97" s="437">
        <f t="shared" si="36"/>
        <v>0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2454.79</v>
      </c>
      <c r="V97" s="437">
        <f t="shared" si="37"/>
        <v>90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0</v>
      </c>
      <c r="J98" s="437">
        <f t="shared" si="36"/>
        <v>0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2454.79</v>
      </c>
      <c r="V98" s="437">
        <f t="shared" si="37"/>
        <v>90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0</v>
      </c>
      <c r="J99" s="437">
        <f t="shared" si="36"/>
        <v>0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2454.79</v>
      </c>
      <c r="V99" s="437">
        <f t="shared" si="37"/>
        <v>90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0</v>
      </c>
      <c r="J100" s="437">
        <f t="shared" si="36"/>
        <v>0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2454.79</v>
      </c>
      <c r="V100" s="437">
        <f t="shared" si="37"/>
        <v>90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0</v>
      </c>
      <c r="J101" s="437">
        <f t="shared" si="36"/>
        <v>0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2454.79</v>
      </c>
      <c r="V101" s="437">
        <f t="shared" si="37"/>
        <v>90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0</v>
      </c>
      <c r="J102" s="437">
        <f t="shared" si="36"/>
        <v>0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2454.79</v>
      </c>
      <c r="V102" s="437">
        <f t="shared" si="37"/>
        <v>90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0</v>
      </c>
      <c r="J103" s="437">
        <f t="shared" si="36"/>
        <v>0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2454.79</v>
      </c>
      <c r="V103" s="437">
        <f t="shared" si="37"/>
        <v>90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0</v>
      </c>
      <c r="J104" s="437">
        <f t="shared" si="36"/>
        <v>0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2454.79</v>
      </c>
      <c r="V104" s="437">
        <f t="shared" si="37"/>
        <v>90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0</v>
      </c>
      <c r="J105" s="437">
        <f t="shared" si="36"/>
        <v>0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2454.79</v>
      </c>
      <c r="V105" s="437">
        <f t="shared" si="37"/>
        <v>90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0</v>
      </c>
      <c r="J106" s="437">
        <f t="shared" si="36"/>
        <v>0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2454.79</v>
      </c>
      <c r="V106" s="437">
        <f t="shared" si="37"/>
        <v>90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0</v>
      </c>
      <c r="J107" s="437">
        <f t="shared" si="36"/>
        <v>0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2454.79</v>
      </c>
      <c r="V107" s="437">
        <f t="shared" si="37"/>
        <v>90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0</v>
      </c>
      <c r="J108" s="437">
        <f t="shared" si="36"/>
        <v>0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2454.79</v>
      </c>
      <c r="V108" s="437">
        <f t="shared" si="37"/>
        <v>90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0</v>
      </c>
      <c r="J109" s="437">
        <f t="shared" si="36"/>
        <v>0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2454.79</v>
      </c>
      <c r="V109" s="437">
        <f t="shared" si="37"/>
        <v>90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0</v>
      </c>
      <c r="J110" s="437">
        <f t="shared" si="36"/>
        <v>0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2454.79</v>
      </c>
      <c r="V110" s="437">
        <f t="shared" si="37"/>
        <v>90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0</v>
      </c>
      <c r="J111" s="437">
        <f t="shared" si="36"/>
        <v>0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2454.79</v>
      </c>
      <c r="V111" s="437">
        <f t="shared" si="37"/>
        <v>90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0</v>
      </c>
      <c r="J112" s="437">
        <f t="shared" si="36"/>
        <v>0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2454.79</v>
      </c>
      <c r="V112" s="437">
        <f t="shared" si="37"/>
        <v>90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0</v>
      </c>
      <c r="J113" s="437">
        <f t="shared" si="36"/>
        <v>0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2454.79</v>
      </c>
      <c r="V113" s="437">
        <f t="shared" si="37"/>
        <v>90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101</v>
      </c>
      <c r="P115" s="6">
        <f>SUM(P9:P114)</f>
        <v>2749.2199999999993</v>
      </c>
      <c r="R115" s="6">
        <f>SUM(R9:R114)</f>
        <v>2749.2199999999993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90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80" t="s">
        <v>11</v>
      </c>
      <c r="D120" s="1281"/>
      <c r="E120" s="57">
        <f>E4+E5+E6-F115</f>
        <v>0</v>
      </c>
      <c r="G120" s="47"/>
      <c r="H120" s="91"/>
      <c r="O120" s="1280" t="s">
        <v>11</v>
      </c>
      <c r="P120" s="1281"/>
      <c r="Q120" s="57">
        <f>Q4+Q5+Q6-R115</f>
        <v>2454.79</v>
      </c>
      <c r="S120" s="47"/>
      <c r="T120" s="91"/>
      <c r="AA120" s="1280" t="s">
        <v>11</v>
      </c>
      <c r="AB120" s="1281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selection activeCell="G20" sqref="G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8" t="s">
        <v>326</v>
      </c>
      <c r="B1" s="1278"/>
      <c r="C1" s="1278"/>
      <c r="D1" s="1278"/>
      <c r="E1" s="1278"/>
      <c r="F1" s="1278"/>
      <c r="G1" s="1278"/>
      <c r="H1" s="11">
        <v>1</v>
      </c>
      <c r="K1" s="1282" t="s">
        <v>499</v>
      </c>
      <c r="L1" s="1282"/>
      <c r="M1" s="1282"/>
      <c r="N1" s="1282"/>
      <c r="O1" s="1282"/>
      <c r="P1" s="1282"/>
      <c r="Q1" s="12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0"/>
      <c r="D4" s="891"/>
      <c r="E4" s="953">
        <v>111.09</v>
      </c>
      <c r="F4" s="882">
        <v>6</v>
      </c>
      <c r="G4" s="73"/>
      <c r="L4" s="83"/>
      <c r="M4" s="890"/>
      <c r="N4" s="891"/>
      <c r="O4" s="953"/>
      <c r="P4" s="882"/>
      <c r="Q4" s="73"/>
    </row>
    <row r="5" spans="1:19" ht="15.75" customHeight="1" x14ac:dyDescent="0.25">
      <c r="A5" s="1283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897.8</v>
      </c>
      <c r="H5" s="7">
        <f>E5-G5+E4+E6+E7</f>
        <v>1758.7599999999998</v>
      </c>
      <c r="K5" s="1283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83"/>
      <c r="B6" s="861" t="s">
        <v>67</v>
      </c>
      <c r="C6" s="893"/>
      <c r="D6" s="893"/>
      <c r="E6" s="893"/>
      <c r="F6" s="892"/>
      <c r="K6" s="1283"/>
      <c r="L6" s="1125" t="s">
        <v>67</v>
      </c>
      <c r="M6" s="893"/>
      <c r="N6" s="893"/>
      <c r="O6" s="893"/>
      <c r="P6" s="892"/>
    </row>
    <row r="7" spans="1:19" ht="15.75" thickBot="1" x14ac:dyDescent="0.3">
      <c r="B7" s="73"/>
      <c r="C7" s="894"/>
      <c r="D7" s="894"/>
      <c r="E7" s="894"/>
      <c r="F7" s="892"/>
      <c r="L7" s="73"/>
      <c r="M7" s="894"/>
      <c r="N7" s="894"/>
      <c r="O7" s="894"/>
      <c r="P7" s="892"/>
    </row>
    <row r="8" spans="1:19" ht="16.5" thickTop="1" thickBot="1" x14ac:dyDescent="0.3">
      <c r="B8" s="64" t="s">
        <v>7</v>
      </c>
      <c r="C8" s="830" t="s">
        <v>8</v>
      </c>
      <c r="D8" s="831" t="s">
        <v>3</v>
      </c>
      <c r="E8" s="832" t="s">
        <v>2</v>
      </c>
      <c r="F8" s="9" t="s">
        <v>9</v>
      </c>
      <c r="G8" s="10" t="s">
        <v>15</v>
      </c>
      <c r="H8" s="24"/>
      <c r="L8" s="64" t="s">
        <v>7</v>
      </c>
      <c r="M8" s="830" t="s">
        <v>8</v>
      </c>
      <c r="N8" s="831" t="s">
        <v>3</v>
      </c>
      <c r="O8" s="832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2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2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6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29">
        <f t="shared" si="3"/>
        <v>2197.1400000000003</v>
      </c>
      <c r="K12" s="55" t="s">
        <v>33</v>
      </c>
      <c r="L12" s="888">
        <f t="shared" si="4"/>
        <v>52</v>
      </c>
      <c r="M12" s="1128"/>
      <c r="N12" s="702"/>
      <c r="O12" s="851"/>
      <c r="P12" s="702">
        <f t="shared" si="1"/>
        <v>0</v>
      </c>
      <c r="Q12" s="700"/>
      <c r="R12" s="701"/>
      <c r="S12" s="852">
        <f t="shared" si="5"/>
        <v>1085.3399999999999</v>
      </c>
    </row>
    <row r="13" spans="1:19" x14ac:dyDescent="0.25">
      <c r="A13" s="77"/>
      <c r="B13" s="182">
        <f t="shared" si="2"/>
        <v>104</v>
      </c>
      <c r="C13" s="127">
        <v>6</v>
      </c>
      <c r="D13" s="537">
        <v>115.79</v>
      </c>
      <c r="E13" s="573">
        <v>44893</v>
      </c>
      <c r="F13" s="537">
        <f t="shared" si="0"/>
        <v>115.79</v>
      </c>
      <c r="G13" s="330" t="s">
        <v>572</v>
      </c>
      <c r="H13" s="331">
        <v>148</v>
      </c>
      <c r="I13" s="78">
        <f t="shared" si="3"/>
        <v>2081.3500000000004</v>
      </c>
      <c r="K13" s="77"/>
      <c r="L13" s="888">
        <f t="shared" si="4"/>
        <v>52</v>
      </c>
      <c r="M13" s="1128"/>
      <c r="N13" s="702"/>
      <c r="O13" s="851"/>
      <c r="P13" s="702">
        <f t="shared" si="1"/>
        <v>0</v>
      </c>
      <c r="Q13" s="700"/>
      <c r="R13" s="701"/>
      <c r="S13" s="852">
        <f t="shared" si="5"/>
        <v>1085.3399999999999</v>
      </c>
    </row>
    <row r="14" spans="1:19" x14ac:dyDescent="0.25">
      <c r="A14" s="12"/>
      <c r="B14" s="182">
        <f t="shared" si="2"/>
        <v>103</v>
      </c>
      <c r="C14" s="127">
        <v>1</v>
      </c>
      <c r="D14" s="537">
        <v>18.190000000000001</v>
      </c>
      <c r="E14" s="573">
        <v>44895</v>
      </c>
      <c r="F14" s="537">
        <f t="shared" si="0"/>
        <v>18.190000000000001</v>
      </c>
      <c r="G14" s="330" t="s">
        <v>579</v>
      </c>
      <c r="H14" s="331">
        <v>148</v>
      </c>
      <c r="I14" s="78">
        <f t="shared" si="3"/>
        <v>2063.1600000000003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93</v>
      </c>
      <c r="C15" s="127">
        <v>10</v>
      </c>
      <c r="D15" s="537">
        <v>179.11</v>
      </c>
      <c r="E15" s="573">
        <v>44897</v>
      </c>
      <c r="F15" s="537">
        <f t="shared" si="0"/>
        <v>179.11</v>
      </c>
      <c r="G15" s="330" t="s">
        <v>597</v>
      </c>
      <c r="H15" s="331">
        <v>148</v>
      </c>
      <c r="I15" s="78">
        <f t="shared" si="3"/>
        <v>1884.0500000000002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92</v>
      </c>
      <c r="C16" s="127">
        <v>1</v>
      </c>
      <c r="D16" s="537">
        <v>17.850000000000001</v>
      </c>
      <c r="E16" s="573">
        <v>44898</v>
      </c>
      <c r="F16" s="537">
        <f t="shared" si="0"/>
        <v>17.850000000000001</v>
      </c>
      <c r="G16" s="330" t="s">
        <v>607</v>
      </c>
      <c r="H16" s="331">
        <v>148</v>
      </c>
      <c r="I16" s="78">
        <f t="shared" si="3"/>
        <v>1866.2000000000003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91</v>
      </c>
      <c r="C17" s="127">
        <v>1</v>
      </c>
      <c r="D17" s="537">
        <v>17.350000000000001</v>
      </c>
      <c r="E17" s="573">
        <v>44902</v>
      </c>
      <c r="F17" s="537">
        <f t="shared" si="0"/>
        <v>17.350000000000001</v>
      </c>
      <c r="G17" s="330" t="s">
        <v>639</v>
      </c>
      <c r="H17" s="331">
        <v>148</v>
      </c>
      <c r="I17" s="78">
        <f t="shared" si="3"/>
        <v>1848.8500000000004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90</v>
      </c>
      <c r="C18" s="127">
        <v>1</v>
      </c>
      <c r="D18" s="537">
        <v>17.79</v>
      </c>
      <c r="E18" s="573">
        <v>44904</v>
      </c>
      <c r="F18" s="537">
        <f t="shared" si="0"/>
        <v>17.79</v>
      </c>
      <c r="G18" s="330" t="s">
        <v>654</v>
      </c>
      <c r="H18" s="331">
        <v>148</v>
      </c>
      <c r="I18" s="78">
        <f t="shared" si="3"/>
        <v>1831.0600000000004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86</v>
      </c>
      <c r="C19" s="127">
        <v>4</v>
      </c>
      <c r="D19" s="537">
        <v>72.3</v>
      </c>
      <c r="E19" s="573">
        <v>44905</v>
      </c>
      <c r="F19" s="537">
        <f t="shared" si="0"/>
        <v>72.3</v>
      </c>
      <c r="G19" s="330" t="s">
        <v>668</v>
      </c>
      <c r="H19" s="331">
        <v>148</v>
      </c>
      <c r="I19" s="78">
        <f t="shared" si="3"/>
        <v>1758.7600000000004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86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1758.7600000000004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86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1758.7600000000004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86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1758.7600000000004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86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1758.7600000000004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86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1758.7600000000004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86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1758.7600000000004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86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1758.7600000000004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86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1758.7600000000004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86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1758.7600000000004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86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1758.7600000000004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86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1758.7600000000004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86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1758.7600000000004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86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1758.7600000000004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86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1758.7600000000004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86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1758.7600000000004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86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1758.7600000000004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86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1758.7600000000004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86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1758.7600000000004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86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1758.7600000000004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86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1758.7600000000004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86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1758.7600000000004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86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1758.7600000000004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86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1758.7600000000004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86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1758.7600000000004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86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1758.7600000000004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86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1758.7600000000004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86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1758.7600000000004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86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1758.7600000000004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86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1758.7600000000004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86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1758.7600000000004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86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1758.7600000000004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86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1758.7600000000004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86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1758.7600000000004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1758.7600000000004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48</v>
      </c>
      <c r="D68" s="124">
        <f>SUM(D9:D67)</f>
        <v>897.8</v>
      </c>
      <c r="E68" s="165"/>
      <c r="F68" s="124">
        <f>SUM(F9:F67)</f>
        <v>897.8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86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80" t="s">
        <v>11</v>
      </c>
      <c r="D73" s="1281"/>
      <c r="E73" s="57">
        <f>E5-F68+E4+E6+E7</f>
        <v>1758.7599999999998</v>
      </c>
      <c r="L73" s="91"/>
      <c r="M73" s="1280" t="s">
        <v>11</v>
      </c>
      <c r="N73" s="1281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83"/>
      <c r="B5" s="130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83"/>
      <c r="B6" s="130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80" t="s">
        <v>11</v>
      </c>
      <c r="D60" s="128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Q13" sqref="Q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8" t="s">
        <v>327</v>
      </c>
      <c r="B1" s="1278"/>
      <c r="C1" s="1278"/>
      <c r="D1" s="1278"/>
      <c r="E1" s="1278"/>
      <c r="F1" s="1278"/>
      <c r="G1" s="1278"/>
      <c r="H1" s="11">
        <v>1</v>
      </c>
      <c r="K1" s="1282" t="s">
        <v>327</v>
      </c>
      <c r="L1" s="1282"/>
      <c r="M1" s="1282"/>
      <c r="N1" s="1282"/>
      <c r="O1" s="1282"/>
      <c r="P1" s="1282"/>
      <c r="Q1" s="12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83"/>
      <c r="B4" s="1310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283"/>
      <c r="L4" s="1310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283"/>
      <c r="B5" s="1311"/>
      <c r="C5" s="128">
        <v>75.5</v>
      </c>
      <c r="D5" s="232">
        <v>44887</v>
      </c>
      <c r="E5" s="78">
        <v>2997.33</v>
      </c>
      <c r="F5" s="62">
        <v>113</v>
      </c>
      <c r="K5" s="1283"/>
      <c r="L5" s="131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311"/>
      <c r="C6" s="128"/>
      <c r="D6" s="232"/>
      <c r="E6" s="78"/>
      <c r="F6" s="62"/>
      <c r="K6" s="1065" t="s">
        <v>52</v>
      </c>
      <c r="L6" s="1311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5"/>
      <c r="L7" s="1066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5"/>
      <c r="L8" s="1066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9">
        <f>F4+F5-C10+F6+F7+F8</f>
        <v>80</v>
      </c>
      <c r="C10" s="53">
        <v>33</v>
      </c>
      <c r="D10" s="69">
        <v>877.04</v>
      </c>
      <c r="E10" s="246">
        <v>44895</v>
      </c>
      <c r="F10" s="69">
        <f t="shared" ref="F10:F55" si="0">D10</f>
        <v>877.04</v>
      </c>
      <c r="G10" s="70" t="s">
        <v>582</v>
      </c>
      <c r="H10" s="71">
        <v>77.5</v>
      </c>
      <c r="I10" s="829">
        <f>E5+E4-F10+E6+E7+E8</f>
        <v>2120.29</v>
      </c>
      <c r="K10" s="55" t="s">
        <v>32</v>
      </c>
      <c r="L10" s="849">
        <f>P4+P5-M10+P6+P7+P8</f>
        <v>80</v>
      </c>
      <c r="M10" s="53">
        <v>35</v>
      </c>
      <c r="N10" s="69">
        <v>934.72</v>
      </c>
      <c r="O10" s="246">
        <v>44902</v>
      </c>
      <c r="P10" s="69">
        <f t="shared" ref="P10:P55" si="1">N10</f>
        <v>934.72</v>
      </c>
      <c r="Q10" s="70" t="s">
        <v>640</v>
      </c>
      <c r="R10" s="71">
        <v>75</v>
      </c>
      <c r="S10" s="829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6">
        <v>44896</v>
      </c>
      <c r="F11" s="69">
        <f t="shared" si="0"/>
        <v>1064.6600000000001</v>
      </c>
      <c r="G11" s="70" t="s">
        <v>593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6">
        <v>44903</v>
      </c>
      <c r="P11" s="69">
        <f t="shared" si="1"/>
        <v>1075.07</v>
      </c>
      <c r="Q11" s="70" t="s">
        <v>653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6">
        <v>44898</v>
      </c>
      <c r="F12" s="69">
        <f t="shared" si="0"/>
        <v>530.54999999999995</v>
      </c>
      <c r="G12" s="70" t="s">
        <v>604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6">
        <v>44904</v>
      </c>
      <c r="P12" s="69">
        <f t="shared" si="1"/>
        <v>1040.6300000000001</v>
      </c>
      <c r="Q12" s="70" t="s">
        <v>666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702">
        <v>525.08000000000004</v>
      </c>
      <c r="E13" s="851">
        <v>44900</v>
      </c>
      <c r="F13" s="702">
        <f t="shared" si="0"/>
        <v>525.08000000000004</v>
      </c>
      <c r="G13" s="700" t="s">
        <v>613</v>
      </c>
      <c r="H13" s="701">
        <v>77.5</v>
      </c>
      <c r="I13" s="852">
        <f t="shared" si="4"/>
        <v>0</v>
      </c>
      <c r="K13" s="55" t="s">
        <v>33</v>
      </c>
      <c r="L13" s="182">
        <f t="shared" si="3"/>
        <v>0</v>
      </c>
      <c r="M13" s="15"/>
      <c r="N13" s="702"/>
      <c r="O13" s="851"/>
      <c r="P13" s="702">
        <f t="shared" si="1"/>
        <v>0</v>
      </c>
      <c r="Q13" s="700"/>
      <c r="R13" s="701"/>
      <c r="S13" s="852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702"/>
      <c r="E14" s="851"/>
      <c r="F14" s="1378">
        <f t="shared" si="0"/>
        <v>0</v>
      </c>
      <c r="G14" s="1379"/>
      <c r="H14" s="1380"/>
      <c r="I14" s="1381">
        <f t="shared" si="4"/>
        <v>0</v>
      </c>
      <c r="K14" s="77"/>
      <c r="L14" s="182">
        <f t="shared" si="3"/>
        <v>0</v>
      </c>
      <c r="M14" s="15"/>
      <c r="N14" s="702"/>
      <c r="O14" s="851"/>
      <c r="P14" s="702">
        <f t="shared" si="1"/>
        <v>0</v>
      </c>
      <c r="Q14" s="700"/>
      <c r="R14" s="701"/>
      <c r="S14" s="852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702"/>
      <c r="E15" s="851"/>
      <c r="F15" s="1378">
        <f t="shared" si="0"/>
        <v>0</v>
      </c>
      <c r="G15" s="1379"/>
      <c r="H15" s="1380"/>
      <c r="I15" s="1381">
        <f t="shared" si="4"/>
        <v>0</v>
      </c>
      <c r="K15" s="12"/>
      <c r="L15" s="182">
        <f t="shared" si="3"/>
        <v>0</v>
      </c>
      <c r="M15" s="15"/>
      <c r="N15" s="702"/>
      <c r="O15" s="851"/>
      <c r="P15" s="702">
        <f t="shared" si="1"/>
        <v>0</v>
      </c>
      <c r="Q15" s="700"/>
      <c r="R15" s="701"/>
      <c r="S15" s="852">
        <f t="shared" si="5"/>
        <v>0</v>
      </c>
    </row>
    <row r="16" spans="1:19" x14ac:dyDescent="0.25">
      <c r="B16" s="182">
        <f t="shared" si="2"/>
        <v>0</v>
      </c>
      <c r="C16" s="15"/>
      <c r="D16" s="702"/>
      <c r="E16" s="851"/>
      <c r="F16" s="1378">
        <f t="shared" si="0"/>
        <v>0</v>
      </c>
      <c r="G16" s="1379"/>
      <c r="H16" s="1380"/>
      <c r="I16" s="1381">
        <f t="shared" si="4"/>
        <v>0</v>
      </c>
      <c r="L16" s="182">
        <f t="shared" si="3"/>
        <v>0</v>
      </c>
      <c r="M16" s="15"/>
      <c r="N16" s="702"/>
      <c r="O16" s="851"/>
      <c r="P16" s="702">
        <f t="shared" si="1"/>
        <v>0</v>
      </c>
      <c r="Q16" s="700"/>
      <c r="R16" s="701"/>
      <c r="S16" s="852">
        <f t="shared" si="5"/>
        <v>0</v>
      </c>
    </row>
    <row r="17" spans="2:19" x14ac:dyDescent="0.25">
      <c r="B17" s="182">
        <f t="shared" si="2"/>
        <v>0</v>
      </c>
      <c r="C17" s="15"/>
      <c r="D17" s="702"/>
      <c r="E17" s="851"/>
      <c r="F17" s="1378">
        <f t="shared" si="0"/>
        <v>0</v>
      </c>
      <c r="G17" s="1379"/>
      <c r="H17" s="1380"/>
      <c r="I17" s="1381">
        <f t="shared" si="4"/>
        <v>0</v>
      </c>
      <c r="L17" s="182">
        <f t="shared" si="3"/>
        <v>0</v>
      </c>
      <c r="M17" s="15"/>
      <c r="N17" s="702"/>
      <c r="O17" s="851"/>
      <c r="P17" s="702">
        <f t="shared" si="1"/>
        <v>0</v>
      </c>
      <c r="Q17" s="700"/>
      <c r="R17" s="701"/>
      <c r="S17" s="852">
        <f t="shared" si="5"/>
        <v>0</v>
      </c>
    </row>
    <row r="18" spans="2:19" x14ac:dyDescent="0.25">
      <c r="B18" s="182">
        <f t="shared" si="2"/>
        <v>0</v>
      </c>
      <c r="C18" s="15"/>
      <c r="D18" s="702"/>
      <c r="E18" s="851"/>
      <c r="F18" s="702">
        <f t="shared" si="0"/>
        <v>0</v>
      </c>
      <c r="G18" s="700"/>
      <c r="H18" s="701"/>
      <c r="I18" s="852">
        <f t="shared" si="4"/>
        <v>0</v>
      </c>
      <c r="L18" s="182">
        <f t="shared" si="3"/>
        <v>0</v>
      </c>
      <c r="M18" s="15"/>
      <c r="N18" s="702"/>
      <c r="O18" s="851"/>
      <c r="P18" s="702">
        <f t="shared" si="1"/>
        <v>0</v>
      </c>
      <c r="Q18" s="700"/>
      <c r="R18" s="701"/>
      <c r="S18" s="852">
        <f t="shared" si="5"/>
        <v>0</v>
      </c>
    </row>
    <row r="19" spans="2:19" x14ac:dyDescent="0.25">
      <c r="B19" s="182">
        <f t="shared" si="2"/>
        <v>0</v>
      </c>
      <c r="C19" s="53"/>
      <c r="D19" s="702"/>
      <c r="E19" s="851"/>
      <c r="F19" s="702">
        <f t="shared" si="0"/>
        <v>0</v>
      </c>
      <c r="G19" s="700"/>
      <c r="H19" s="701"/>
      <c r="I19" s="852">
        <f t="shared" si="4"/>
        <v>0</v>
      </c>
      <c r="L19" s="182">
        <f t="shared" si="3"/>
        <v>0</v>
      </c>
      <c r="M19" s="53"/>
      <c r="N19" s="702"/>
      <c r="O19" s="851"/>
      <c r="P19" s="702">
        <f t="shared" si="1"/>
        <v>0</v>
      </c>
      <c r="Q19" s="700"/>
      <c r="R19" s="701"/>
      <c r="S19" s="852">
        <f t="shared" si="5"/>
        <v>0</v>
      </c>
    </row>
    <row r="20" spans="2:19" x14ac:dyDescent="0.25">
      <c r="B20" s="182">
        <f t="shared" si="2"/>
        <v>0</v>
      </c>
      <c r="C20" s="15"/>
      <c r="D20" s="702"/>
      <c r="E20" s="851"/>
      <c r="F20" s="702">
        <f t="shared" si="0"/>
        <v>0</v>
      </c>
      <c r="G20" s="700"/>
      <c r="H20" s="701"/>
      <c r="I20" s="852">
        <f t="shared" si="4"/>
        <v>0</v>
      </c>
      <c r="L20" s="182">
        <f t="shared" si="3"/>
        <v>0</v>
      </c>
      <c r="M20" s="15"/>
      <c r="N20" s="702"/>
      <c r="O20" s="851"/>
      <c r="P20" s="702">
        <f t="shared" si="1"/>
        <v>0</v>
      </c>
      <c r="Q20" s="700"/>
      <c r="R20" s="701"/>
      <c r="S20" s="852">
        <f t="shared" si="5"/>
        <v>0</v>
      </c>
    </row>
    <row r="21" spans="2:19" x14ac:dyDescent="0.25">
      <c r="B21" s="182">
        <f t="shared" si="2"/>
        <v>0</v>
      </c>
      <c r="C21" s="15"/>
      <c r="D21" s="702"/>
      <c r="E21" s="851"/>
      <c r="F21" s="702">
        <f t="shared" si="0"/>
        <v>0</v>
      </c>
      <c r="G21" s="700"/>
      <c r="H21" s="701"/>
      <c r="I21" s="852">
        <f t="shared" si="4"/>
        <v>0</v>
      </c>
      <c r="L21" s="182">
        <f t="shared" si="3"/>
        <v>0</v>
      </c>
      <c r="M21" s="15"/>
      <c r="N21" s="702"/>
      <c r="O21" s="851"/>
      <c r="P21" s="702">
        <f t="shared" si="1"/>
        <v>0</v>
      </c>
      <c r="Q21" s="700"/>
      <c r="R21" s="701"/>
      <c r="S21" s="852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80" t="s">
        <v>11</v>
      </c>
      <c r="D61" s="1281"/>
      <c r="E61" s="57">
        <f>E5+E6+E7+E8-F56</f>
        <v>0</v>
      </c>
      <c r="L61" s="91"/>
      <c r="M61" s="1280" t="s">
        <v>11</v>
      </c>
      <c r="N61" s="1281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82"/>
      <c r="B1" s="1282"/>
      <c r="C1" s="1282"/>
      <c r="D1" s="1282"/>
      <c r="E1" s="1282"/>
      <c r="F1" s="1282"/>
      <c r="G1" s="128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12"/>
      <c r="B5" s="131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13"/>
      <c r="B6" s="131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6" t="s">
        <v>11</v>
      </c>
      <c r="D56" s="131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78" t="s">
        <v>107</v>
      </c>
      <c r="B1" s="1278"/>
      <c r="C1" s="1278"/>
      <c r="D1" s="1278"/>
      <c r="E1" s="1278"/>
      <c r="F1" s="1278"/>
      <c r="G1" s="127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79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79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80" t="s">
        <v>11</v>
      </c>
      <c r="D83" s="128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1"/>
      <c r="B1" s="1271"/>
      <c r="C1" s="1271"/>
      <c r="D1" s="1271"/>
      <c r="E1" s="1271"/>
      <c r="F1" s="1271"/>
      <c r="G1" s="12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18"/>
      <c r="C4" s="17"/>
      <c r="E4" s="254"/>
      <c r="F4" s="240"/>
    </row>
    <row r="5" spans="1:10" ht="15" customHeight="1" x14ac:dyDescent="0.25">
      <c r="A5" s="1312"/>
      <c r="B5" s="131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13"/>
      <c r="B6" s="132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6" t="s">
        <v>11</v>
      </c>
      <c r="D55" s="131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M9" activePane="bottomRight" state="frozen"/>
      <selection activeCell="J1" sqref="J1"/>
      <selection pane="topRight" activeCell="M1" sqref="M1"/>
      <selection pane="bottomLeft" activeCell="J9" sqref="J9"/>
      <selection pane="bottomRight" activeCell="S15" sqref="S1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8" t="s">
        <v>328</v>
      </c>
      <c r="B1" s="1278"/>
      <c r="C1" s="1278"/>
      <c r="D1" s="1278"/>
      <c r="E1" s="1278"/>
      <c r="F1" s="1278"/>
      <c r="G1" s="1278"/>
      <c r="H1" s="1278"/>
      <c r="I1" s="1278"/>
      <c r="J1" s="11">
        <v>1</v>
      </c>
      <c r="M1" s="1282" t="s">
        <v>340</v>
      </c>
      <c r="N1" s="1282"/>
      <c r="O1" s="1282"/>
      <c r="P1" s="1282"/>
      <c r="Q1" s="1282"/>
      <c r="R1" s="1282"/>
      <c r="S1" s="1282"/>
      <c r="T1" s="1282"/>
      <c r="U1" s="128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3"/>
      <c r="P4" s="1054"/>
      <c r="Q4" s="737">
        <v>22.7</v>
      </c>
      <c r="R4" s="714">
        <v>2</v>
      </c>
      <c r="S4" s="73"/>
      <c r="U4" s="190"/>
      <c r="V4" s="73"/>
    </row>
    <row r="5" spans="1:23" ht="15" customHeight="1" x14ac:dyDescent="0.25">
      <c r="A5" s="1290" t="s">
        <v>175</v>
      </c>
      <c r="B5" s="132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290" t="s">
        <v>175</v>
      </c>
      <c r="N5" s="1321" t="s">
        <v>43</v>
      </c>
      <c r="O5" s="1053">
        <v>44</v>
      </c>
      <c r="P5" s="1054">
        <v>44900</v>
      </c>
      <c r="Q5" s="737">
        <v>1502.74</v>
      </c>
      <c r="R5" s="714">
        <v>331</v>
      </c>
      <c r="S5" s="5">
        <f>R109</f>
        <v>494.86</v>
      </c>
      <c r="T5" s="7">
        <f>Q4+Q5-S5+Q6+Q7</f>
        <v>3536.66</v>
      </c>
      <c r="U5" s="190"/>
      <c r="V5" s="73"/>
    </row>
    <row r="6" spans="1:23" x14ac:dyDescent="0.25">
      <c r="A6" s="1290"/>
      <c r="B6" s="132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90"/>
      <c r="N6" s="1321"/>
      <c r="O6" s="1053">
        <v>44</v>
      </c>
      <c r="P6" s="1028">
        <v>44914</v>
      </c>
      <c r="Q6" s="852">
        <v>1003.34</v>
      </c>
      <c r="R6" s="882">
        <v>22</v>
      </c>
      <c r="U6" s="191"/>
      <c r="V6" s="73"/>
    </row>
    <row r="7" spans="1:23" ht="15.75" thickBot="1" x14ac:dyDescent="0.3">
      <c r="B7" s="12"/>
      <c r="C7" s="961"/>
      <c r="D7" s="962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28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656</v>
      </c>
      <c r="T9" s="71">
        <v>50</v>
      </c>
      <c r="U9" s="190">
        <f>Q5+Q4+Q6+Q7-R9</f>
        <v>3986.1200000000003</v>
      </c>
      <c r="V9" s="73">
        <f>R5-O9+R6+R4+R7</f>
        <v>676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668</v>
      </c>
      <c r="T10" s="71">
        <v>50</v>
      </c>
      <c r="U10" s="190">
        <f>U9-R10</f>
        <v>3940.7200000000003</v>
      </c>
      <c r="V10" s="73">
        <f>V9-O10</f>
        <v>666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>
        <f>6+74</f>
        <v>80</v>
      </c>
      <c r="P11" s="69">
        <f t="shared" si="2"/>
        <v>363.2</v>
      </c>
      <c r="Q11" s="195">
        <v>44905</v>
      </c>
      <c r="R11" s="69">
        <f t="shared" si="3"/>
        <v>363.2</v>
      </c>
      <c r="S11" s="70" t="s">
        <v>669</v>
      </c>
      <c r="T11" s="71">
        <v>50</v>
      </c>
      <c r="U11" s="190">
        <f t="shared" ref="U11:U74" si="8">U10-R11</f>
        <v>3577.5200000000004</v>
      </c>
      <c r="V11" s="73">
        <f t="shared" ref="V11:V74" si="9">V10-O11</f>
        <v>586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670</v>
      </c>
      <c r="T12" s="71">
        <v>50</v>
      </c>
      <c r="U12" s="190">
        <f t="shared" si="8"/>
        <v>3550.2800000000007</v>
      </c>
      <c r="V12" s="73">
        <f t="shared" si="9"/>
        <v>580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671</v>
      </c>
      <c r="T13" s="71">
        <v>50</v>
      </c>
      <c r="U13" s="190">
        <f t="shared" si="8"/>
        <v>3545.7400000000007</v>
      </c>
      <c r="V13" s="73">
        <f t="shared" si="9"/>
        <v>579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678</v>
      </c>
      <c r="T14" s="71">
        <v>50</v>
      </c>
      <c r="U14" s="190">
        <f t="shared" si="8"/>
        <v>3536.6600000000008</v>
      </c>
      <c r="V14" s="73">
        <f t="shared" si="9"/>
        <v>577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3536.6600000000008</v>
      </c>
      <c r="V15" s="73">
        <f t="shared" si="9"/>
        <v>577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3536.6600000000008</v>
      </c>
      <c r="V16" s="73">
        <f t="shared" si="9"/>
        <v>577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3536.6600000000008</v>
      </c>
      <c r="V17" s="73">
        <f t="shared" si="9"/>
        <v>577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3536.6600000000008</v>
      </c>
      <c r="V18" s="73">
        <f t="shared" si="9"/>
        <v>577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3536.6600000000008</v>
      </c>
      <c r="V19" s="73">
        <f t="shared" si="9"/>
        <v>577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3536.6600000000008</v>
      </c>
      <c r="V20" s="73">
        <f t="shared" si="9"/>
        <v>577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3536.6600000000008</v>
      </c>
      <c r="V21" s="73">
        <f t="shared" si="9"/>
        <v>577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3536.6600000000008</v>
      </c>
      <c r="V22" s="73">
        <f t="shared" si="9"/>
        <v>577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3536.6600000000008</v>
      </c>
      <c r="V23" s="73">
        <f t="shared" si="9"/>
        <v>577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3536.6600000000008</v>
      </c>
      <c r="V24" s="73">
        <f t="shared" si="9"/>
        <v>577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3536.6600000000008</v>
      </c>
      <c r="V25" s="73">
        <f t="shared" si="9"/>
        <v>577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3536.6600000000008</v>
      </c>
      <c r="V26" s="73">
        <f t="shared" si="9"/>
        <v>577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3536.6600000000008</v>
      </c>
      <c r="V27" s="73">
        <f t="shared" si="9"/>
        <v>577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3536.6600000000008</v>
      </c>
      <c r="V28" s="73">
        <f t="shared" si="9"/>
        <v>577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3536.6600000000008</v>
      </c>
      <c r="V29" s="73">
        <f t="shared" si="9"/>
        <v>577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3536.6600000000008</v>
      </c>
      <c r="V30" s="73">
        <f t="shared" si="9"/>
        <v>577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3536.6600000000008</v>
      </c>
      <c r="V31" s="73">
        <f t="shared" si="9"/>
        <v>577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3536.6600000000008</v>
      </c>
      <c r="V32" s="73">
        <f t="shared" si="9"/>
        <v>577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3536.6600000000008</v>
      </c>
      <c r="V33" s="73">
        <f t="shared" si="9"/>
        <v>577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3536.6600000000008</v>
      </c>
      <c r="V34" s="73">
        <f t="shared" si="9"/>
        <v>577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3536.6600000000008</v>
      </c>
      <c r="V35" s="73">
        <f t="shared" si="9"/>
        <v>577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3536.6600000000008</v>
      </c>
      <c r="V36" s="73">
        <f t="shared" si="9"/>
        <v>577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3536.6600000000008</v>
      </c>
      <c r="V37" s="73">
        <f t="shared" si="9"/>
        <v>577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3536.6600000000008</v>
      </c>
      <c r="V38" s="73">
        <f t="shared" si="9"/>
        <v>577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3536.6600000000008</v>
      </c>
      <c r="V39" s="73">
        <f t="shared" si="9"/>
        <v>577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3536.6600000000008</v>
      </c>
      <c r="V40" s="73">
        <f t="shared" si="9"/>
        <v>577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3536.6600000000008</v>
      </c>
      <c r="V41" s="73">
        <f t="shared" si="9"/>
        <v>577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3">
        <f t="shared" si="7"/>
        <v>338</v>
      </c>
      <c r="K42" s="843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3536.6600000000008</v>
      </c>
      <c r="V42" s="714">
        <f t="shared" si="9"/>
        <v>577</v>
      </c>
      <c r="W42" s="736">
        <f t="shared" si="5"/>
        <v>0</v>
      </c>
    </row>
    <row r="43" spans="1:23" x14ac:dyDescent="0.25">
      <c r="B43" s="133">
        <v>4.54</v>
      </c>
      <c r="C43" s="15">
        <v>30</v>
      </c>
      <c r="D43" s="537">
        <f t="shared" si="0"/>
        <v>136.19999999999999</v>
      </c>
      <c r="E43" s="744">
        <v>44893</v>
      </c>
      <c r="F43" s="537">
        <f t="shared" si="10"/>
        <v>136.19999999999999</v>
      </c>
      <c r="G43" s="330" t="s">
        <v>567</v>
      </c>
      <c r="H43" s="331">
        <v>50</v>
      </c>
      <c r="I43" s="1004">
        <f t="shared" si="6"/>
        <v>1398.3200000000018</v>
      </c>
      <c r="J43" s="753">
        <f t="shared" si="7"/>
        <v>308</v>
      </c>
      <c r="K43" s="60">
        <f t="shared" si="4"/>
        <v>6809.9999999999991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4">
        <f t="shared" si="8"/>
        <v>3536.6600000000008</v>
      </c>
      <c r="V43" s="753">
        <f t="shared" si="9"/>
        <v>577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537">
        <f t="shared" si="0"/>
        <v>45.4</v>
      </c>
      <c r="E44" s="744">
        <v>44893</v>
      </c>
      <c r="F44" s="537">
        <f t="shared" si="10"/>
        <v>45.4</v>
      </c>
      <c r="G44" s="330" t="s">
        <v>568</v>
      </c>
      <c r="H44" s="331">
        <v>50</v>
      </c>
      <c r="I44" s="1004">
        <f t="shared" si="6"/>
        <v>1352.9200000000017</v>
      </c>
      <c r="J44" s="753">
        <f t="shared" si="7"/>
        <v>298</v>
      </c>
      <c r="K44" s="60">
        <f t="shared" si="4"/>
        <v>2270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4">
        <f t="shared" si="8"/>
        <v>3536.6600000000008</v>
      </c>
      <c r="V44" s="753">
        <f t="shared" si="9"/>
        <v>577</v>
      </c>
      <c r="W44" s="60">
        <f t="shared" si="5"/>
        <v>0</v>
      </c>
    </row>
    <row r="45" spans="1:23" x14ac:dyDescent="0.25">
      <c r="B45" s="133">
        <v>4.54</v>
      </c>
      <c r="C45" s="15">
        <v>4</v>
      </c>
      <c r="D45" s="537">
        <f t="shared" si="0"/>
        <v>18.16</v>
      </c>
      <c r="E45" s="744">
        <v>44895</v>
      </c>
      <c r="F45" s="537">
        <f t="shared" si="10"/>
        <v>18.16</v>
      </c>
      <c r="G45" s="330" t="s">
        <v>577</v>
      </c>
      <c r="H45" s="331">
        <v>50</v>
      </c>
      <c r="I45" s="1004">
        <f t="shared" si="6"/>
        <v>1334.7600000000016</v>
      </c>
      <c r="J45" s="753">
        <f t="shared" si="7"/>
        <v>294</v>
      </c>
      <c r="K45" s="60">
        <f t="shared" si="4"/>
        <v>908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4">
        <f t="shared" si="8"/>
        <v>3536.6600000000008</v>
      </c>
      <c r="V45" s="753">
        <f t="shared" si="9"/>
        <v>577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537">
        <f t="shared" si="0"/>
        <v>90.8</v>
      </c>
      <c r="E46" s="744">
        <v>44895</v>
      </c>
      <c r="F46" s="537">
        <f t="shared" si="10"/>
        <v>90.8</v>
      </c>
      <c r="G46" s="330" t="s">
        <v>578</v>
      </c>
      <c r="H46" s="331">
        <v>50</v>
      </c>
      <c r="I46" s="1004">
        <f t="shared" si="6"/>
        <v>1243.9600000000016</v>
      </c>
      <c r="J46" s="753">
        <f t="shared" si="7"/>
        <v>274</v>
      </c>
      <c r="K46" s="60">
        <f t="shared" si="4"/>
        <v>4540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4">
        <f t="shared" si="8"/>
        <v>3536.6600000000008</v>
      </c>
      <c r="V46" s="753">
        <f t="shared" si="9"/>
        <v>577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537">
        <f t="shared" si="0"/>
        <v>136.19999999999999</v>
      </c>
      <c r="E47" s="744">
        <v>44895</v>
      </c>
      <c r="F47" s="537">
        <f t="shared" si="10"/>
        <v>136.19999999999999</v>
      </c>
      <c r="G47" s="330" t="s">
        <v>578</v>
      </c>
      <c r="H47" s="331">
        <v>50</v>
      </c>
      <c r="I47" s="1004">
        <f t="shared" si="6"/>
        <v>1107.7600000000016</v>
      </c>
      <c r="J47" s="753">
        <f t="shared" si="7"/>
        <v>244</v>
      </c>
      <c r="K47" s="60">
        <f t="shared" si="4"/>
        <v>6809.9999999999991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4">
        <f t="shared" si="8"/>
        <v>3536.6600000000008</v>
      </c>
      <c r="V47" s="753">
        <f t="shared" si="9"/>
        <v>577</v>
      </c>
      <c r="W47" s="60">
        <f t="shared" si="5"/>
        <v>0</v>
      </c>
    </row>
    <row r="48" spans="1:23" x14ac:dyDescent="0.25">
      <c r="B48" s="133">
        <v>4.54</v>
      </c>
      <c r="C48" s="15">
        <v>2</v>
      </c>
      <c r="D48" s="537">
        <f t="shared" si="0"/>
        <v>9.08</v>
      </c>
      <c r="E48" s="744">
        <v>44895</v>
      </c>
      <c r="F48" s="537">
        <f t="shared" si="10"/>
        <v>9.08</v>
      </c>
      <c r="G48" s="330" t="s">
        <v>586</v>
      </c>
      <c r="H48" s="331">
        <v>50</v>
      </c>
      <c r="I48" s="1004">
        <f t="shared" si="6"/>
        <v>1098.6800000000017</v>
      </c>
      <c r="J48" s="753">
        <f t="shared" si="7"/>
        <v>242</v>
      </c>
      <c r="K48" s="60">
        <f t="shared" si="4"/>
        <v>454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4">
        <f t="shared" si="8"/>
        <v>3536.6600000000008</v>
      </c>
      <c r="V48" s="753">
        <f t="shared" si="9"/>
        <v>577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537">
        <f t="shared" si="0"/>
        <v>4.54</v>
      </c>
      <c r="E49" s="744">
        <v>44896</v>
      </c>
      <c r="F49" s="537">
        <f t="shared" si="10"/>
        <v>4.54</v>
      </c>
      <c r="G49" s="330" t="s">
        <v>587</v>
      </c>
      <c r="H49" s="331">
        <v>50</v>
      </c>
      <c r="I49" s="1004">
        <f t="shared" si="6"/>
        <v>1094.1400000000017</v>
      </c>
      <c r="J49" s="753">
        <f t="shared" si="7"/>
        <v>241</v>
      </c>
      <c r="K49" s="60">
        <f t="shared" si="4"/>
        <v>227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4">
        <f t="shared" si="8"/>
        <v>3536.6600000000008</v>
      </c>
      <c r="V49" s="753">
        <f t="shared" si="9"/>
        <v>577</v>
      </c>
      <c r="W49" s="60">
        <f t="shared" si="5"/>
        <v>0</v>
      </c>
    </row>
    <row r="50" spans="1:23" x14ac:dyDescent="0.25">
      <c r="B50" s="133">
        <v>4.54</v>
      </c>
      <c r="C50" s="15">
        <v>30</v>
      </c>
      <c r="D50" s="537">
        <f t="shared" si="0"/>
        <v>136.19999999999999</v>
      </c>
      <c r="E50" s="744">
        <v>44896</v>
      </c>
      <c r="F50" s="537">
        <f t="shared" si="10"/>
        <v>136.19999999999999</v>
      </c>
      <c r="G50" s="330" t="s">
        <v>592</v>
      </c>
      <c r="H50" s="331">
        <v>50</v>
      </c>
      <c r="I50" s="1004">
        <f t="shared" si="6"/>
        <v>957.94000000000165</v>
      </c>
      <c r="J50" s="753">
        <f t="shared" si="7"/>
        <v>211</v>
      </c>
      <c r="K50" s="60">
        <f t="shared" si="4"/>
        <v>6809.9999999999991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4">
        <f t="shared" si="8"/>
        <v>3536.6600000000008</v>
      </c>
      <c r="V50" s="753">
        <f t="shared" si="9"/>
        <v>577</v>
      </c>
      <c r="W50" s="60">
        <f t="shared" si="5"/>
        <v>0</v>
      </c>
    </row>
    <row r="51" spans="1:23" x14ac:dyDescent="0.25">
      <c r="B51" s="133">
        <v>4.54</v>
      </c>
      <c r="C51" s="15">
        <v>10</v>
      </c>
      <c r="D51" s="537">
        <f t="shared" si="0"/>
        <v>45.4</v>
      </c>
      <c r="E51" s="744">
        <v>44898</v>
      </c>
      <c r="F51" s="537">
        <f t="shared" si="10"/>
        <v>45.4</v>
      </c>
      <c r="G51" s="330" t="s">
        <v>606</v>
      </c>
      <c r="H51" s="331">
        <v>50</v>
      </c>
      <c r="I51" s="1004">
        <f t="shared" si="6"/>
        <v>912.54000000000167</v>
      </c>
      <c r="J51" s="753">
        <f t="shared" si="7"/>
        <v>201</v>
      </c>
      <c r="K51" s="60">
        <f t="shared" si="4"/>
        <v>2270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4">
        <f t="shared" si="8"/>
        <v>3536.6600000000008</v>
      </c>
      <c r="V51" s="753">
        <f t="shared" si="9"/>
        <v>577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537">
        <f t="shared" si="0"/>
        <v>4.54</v>
      </c>
      <c r="E52" s="744">
        <v>44898</v>
      </c>
      <c r="F52" s="537">
        <f t="shared" si="10"/>
        <v>4.54</v>
      </c>
      <c r="G52" s="330" t="s">
        <v>602</v>
      </c>
      <c r="H52" s="331">
        <v>50</v>
      </c>
      <c r="I52" s="1004">
        <f t="shared" si="6"/>
        <v>908.00000000000171</v>
      </c>
      <c r="J52" s="753">
        <f t="shared" si="7"/>
        <v>200</v>
      </c>
      <c r="K52" s="60">
        <f t="shared" si="4"/>
        <v>227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4">
        <f t="shared" si="8"/>
        <v>3536.6600000000008</v>
      </c>
      <c r="V52" s="753">
        <f t="shared" si="9"/>
        <v>577</v>
      </c>
      <c r="W52" s="60">
        <f t="shared" si="5"/>
        <v>0</v>
      </c>
    </row>
    <row r="53" spans="1:23" x14ac:dyDescent="0.25">
      <c r="B53" s="133">
        <v>4.54</v>
      </c>
      <c r="C53" s="15">
        <v>6</v>
      </c>
      <c r="D53" s="537">
        <f t="shared" si="0"/>
        <v>27.240000000000002</v>
      </c>
      <c r="E53" s="744">
        <v>44898</v>
      </c>
      <c r="F53" s="537">
        <f t="shared" si="10"/>
        <v>27.240000000000002</v>
      </c>
      <c r="G53" s="330" t="s">
        <v>608</v>
      </c>
      <c r="H53" s="331">
        <v>50</v>
      </c>
      <c r="I53" s="1004">
        <f t="shared" si="6"/>
        <v>880.7600000000017</v>
      </c>
      <c r="J53" s="753">
        <f t="shared" si="7"/>
        <v>194</v>
      </c>
      <c r="K53" s="60">
        <f t="shared" si="4"/>
        <v>1362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4">
        <f t="shared" si="8"/>
        <v>3536.6600000000008</v>
      </c>
      <c r="V53" s="753">
        <f t="shared" si="9"/>
        <v>577</v>
      </c>
      <c r="W53" s="60">
        <f t="shared" si="5"/>
        <v>0</v>
      </c>
    </row>
    <row r="54" spans="1:23" x14ac:dyDescent="0.25">
      <c r="A54" s="720" t="s">
        <v>218</v>
      </c>
      <c r="B54" s="909">
        <v>4.54</v>
      </c>
      <c r="C54" s="820">
        <v>30</v>
      </c>
      <c r="D54" s="994">
        <f t="shared" si="0"/>
        <v>136.19999999999999</v>
      </c>
      <c r="E54" s="993">
        <v>44898</v>
      </c>
      <c r="F54" s="994">
        <f t="shared" si="10"/>
        <v>136.19999999999999</v>
      </c>
      <c r="G54" s="995" t="s">
        <v>609</v>
      </c>
      <c r="H54" s="996">
        <v>50</v>
      </c>
      <c r="I54" s="1005">
        <f t="shared" si="6"/>
        <v>744.56000000000176</v>
      </c>
      <c r="J54" s="1006">
        <f t="shared" si="7"/>
        <v>164</v>
      </c>
      <c r="K54" s="60">
        <f t="shared" si="4"/>
        <v>6809.9999999999991</v>
      </c>
      <c r="M54" s="720" t="s">
        <v>218</v>
      </c>
      <c r="N54" s="909">
        <v>4.54</v>
      </c>
      <c r="O54" s="820"/>
      <c r="P54" s="994">
        <f t="shared" si="2"/>
        <v>0</v>
      </c>
      <c r="Q54" s="993"/>
      <c r="R54" s="994">
        <f t="shared" si="11"/>
        <v>0</v>
      </c>
      <c r="S54" s="995"/>
      <c r="T54" s="996"/>
      <c r="U54" s="1005">
        <f t="shared" si="8"/>
        <v>3536.6600000000008</v>
      </c>
      <c r="V54" s="1006">
        <f t="shared" si="9"/>
        <v>577</v>
      </c>
      <c r="W54" s="60">
        <f t="shared" si="5"/>
        <v>0</v>
      </c>
    </row>
    <row r="55" spans="1:23" x14ac:dyDescent="0.25">
      <c r="A55" s="735"/>
      <c r="B55" s="909">
        <v>4.54</v>
      </c>
      <c r="C55" s="820">
        <v>10</v>
      </c>
      <c r="D55" s="994">
        <f t="shared" si="0"/>
        <v>45.4</v>
      </c>
      <c r="E55" s="993">
        <v>44900</v>
      </c>
      <c r="F55" s="994">
        <f t="shared" si="10"/>
        <v>45.4</v>
      </c>
      <c r="G55" s="995" t="s">
        <v>611</v>
      </c>
      <c r="H55" s="996">
        <v>50</v>
      </c>
      <c r="I55" s="1005">
        <f t="shared" si="6"/>
        <v>699.16000000000179</v>
      </c>
      <c r="J55" s="1006">
        <f t="shared" si="7"/>
        <v>154</v>
      </c>
      <c r="K55" s="60">
        <f t="shared" si="4"/>
        <v>2270</v>
      </c>
      <c r="M55" s="735"/>
      <c r="N55" s="909">
        <v>4.54</v>
      </c>
      <c r="O55" s="820"/>
      <c r="P55" s="994">
        <f t="shared" si="2"/>
        <v>0</v>
      </c>
      <c r="Q55" s="993"/>
      <c r="R55" s="994">
        <f t="shared" si="11"/>
        <v>0</v>
      </c>
      <c r="S55" s="995"/>
      <c r="T55" s="996"/>
      <c r="U55" s="1005">
        <f t="shared" si="8"/>
        <v>3536.6600000000008</v>
      </c>
      <c r="V55" s="1006">
        <f t="shared" si="9"/>
        <v>577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537">
        <f t="shared" si="0"/>
        <v>136.19999999999999</v>
      </c>
      <c r="E56" s="744">
        <v>44900</v>
      </c>
      <c r="F56" s="537">
        <f t="shared" si="10"/>
        <v>136.19999999999999</v>
      </c>
      <c r="G56" s="330" t="s">
        <v>616</v>
      </c>
      <c r="H56" s="331">
        <v>50</v>
      </c>
      <c r="I56" s="1004">
        <f t="shared" si="6"/>
        <v>562.96000000000186</v>
      </c>
      <c r="J56" s="753">
        <f t="shared" si="7"/>
        <v>124</v>
      </c>
      <c r="K56" s="60">
        <f t="shared" si="4"/>
        <v>6809.9999999999991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4">
        <f t="shared" si="8"/>
        <v>3536.6600000000008</v>
      </c>
      <c r="V56" s="753">
        <f t="shared" si="9"/>
        <v>577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537">
        <f t="shared" si="0"/>
        <v>45.4</v>
      </c>
      <c r="E57" s="744">
        <v>44901</v>
      </c>
      <c r="F57" s="537">
        <f t="shared" si="10"/>
        <v>45.4</v>
      </c>
      <c r="G57" s="330" t="s">
        <v>622</v>
      </c>
      <c r="H57" s="331">
        <v>50</v>
      </c>
      <c r="I57" s="1004">
        <f t="shared" si="6"/>
        <v>517.56000000000188</v>
      </c>
      <c r="J57" s="753">
        <f t="shared" si="7"/>
        <v>114</v>
      </c>
      <c r="K57" s="60">
        <f t="shared" si="4"/>
        <v>2270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4">
        <f t="shared" si="8"/>
        <v>3536.6600000000008</v>
      </c>
      <c r="V57" s="753">
        <f t="shared" si="9"/>
        <v>577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537">
        <f t="shared" si="0"/>
        <v>136.19999999999999</v>
      </c>
      <c r="E58" s="744">
        <v>44901</v>
      </c>
      <c r="F58" s="537">
        <f t="shared" si="10"/>
        <v>136.19999999999999</v>
      </c>
      <c r="G58" s="330" t="s">
        <v>626</v>
      </c>
      <c r="H58" s="331">
        <v>50</v>
      </c>
      <c r="I58" s="1004">
        <f t="shared" si="6"/>
        <v>381.36000000000189</v>
      </c>
      <c r="J58" s="753">
        <f t="shared" si="7"/>
        <v>84</v>
      </c>
      <c r="K58" s="60">
        <f t="shared" si="4"/>
        <v>6809.9999999999991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4">
        <f t="shared" si="8"/>
        <v>3536.6600000000008</v>
      </c>
      <c r="V58" s="753">
        <f t="shared" si="9"/>
        <v>577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537">
        <f t="shared" si="0"/>
        <v>4.54</v>
      </c>
      <c r="E59" s="744">
        <v>44902</v>
      </c>
      <c r="F59" s="537">
        <f t="shared" si="10"/>
        <v>4.54</v>
      </c>
      <c r="G59" s="330" t="s">
        <v>630</v>
      </c>
      <c r="H59" s="331">
        <v>50</v>
      </c>
      <c r="I59" s="1004">
        <f t="shared" si="6"/>
        <v>376.82000000000187</v>
      </c>
      <c r="J59" s="753">
        <f t="shared" si="7"/>
        <v>83</v>
      </c>
      <c r="K59" s="60">
        <f t="shared" si="4"/>
        <v>227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4">
        <f t="shared" si="8"/>
        <v>3536.6600000000008</v>
      </c>
      <c r="V59" s="753">
        <f t="shared" si="9"/>
        <v>577</v>
      </c>
      <c r="W59" s="60">
        <f t="shared" si="5"/>
        <v>0</v>
      </c>
    </row>
    <row r="60" spans="1:23" x14ac:dyDescent="0.25">
      <c r="B60" s="133">
        <v>4.54</v>
      </c>
      <c r="C60" s="15">
        <v>30</v>
      </c>
      <c r="D60" s="537">
        <f t="shared" si="0"/>
        <v>136.19999999999999</v>
      </c>
      <c r="E60" s="744">
        <v>44902</v>
      </c>
      <c r="F60" s="537">
        <f t="shared" si="10"/>
        <v>136.19999999999999</v>
      </c>
      <c r="G60" s="330" t="s">
        <v>632</v>
      </c>
      <c r="H60" s="331">
        <v>50</v>
      </c>
      <c r="I60" s="1004">
        <f t="shared" si="6"/>
        <v>240.62000000000188</v>
      </c>
      <c r="J60" s="753">
        <f t="shared" si="7"/>
        <v>53</v>
      </c>
      <c r="K60" s="60">
        <f t="shared" si="4"/>
        <v>6809.9999999999991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4">
        <f t="shared" si="8"/>
        <v>3536.6600000000008</v>
      </c>
      <c r="V60" s="753">
        <f t="shared" si="9"/>
        <v>577</v>
      </c>
      <c r="W60" s="60">
        <f t="shared" si="5"/>
        <v>0</v>
      </c>
    </row>
    <row r="61" spans="1:23" x14ac:dyDescent="0.25">
      <c r="B61" s="133">
        <v>4.54</v>
      </c>
      <c r="C61" s="15">
        <v>10</v>
      </c>
      <c r="D61" s="537">
        <f t="shared" si="0"/>
        <v>45.4</v>
      </c>
      <c r="E61" s="744">
        <v>44903</v>
      </c>
      <c r="F61" s="537">
        <f t="shared" si="10"/>
        <v>45.4</v>
      </c>
      <c r="G61" s="330" t="s">
        <v>642</v>
      </c>
      <c r="H61" s="331">
        <v>50</v>
      </c>
      <c r="I61" s="1004">
        <f t="shared" si="6"/>
        <v>195.22000000000187</v>
      </c>
      <c r="J61" s="753">
        <f t="shared" si="7"/>
        <v>43</v>
      </c>
      <c r="K61" s="60">
        <f t="shared" si="4"/>
        <v>2270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4">
        <f t="shared" si="8"/>
        <v>3536.6600000000008</v>
      </c>
      <c r="V61" s="753">
        <f t="shared" si="9"/>
        <v>577</v>
      </c>
      <c r="W61" s="60">
        <f t="shared" si="5"/>
        <v>0</v>
      </c>
    </row>
    <row r="62" spans="1:23" x14ac:dyDescent="0.25">
      <c r="B62" s="133">
        <v>4.54</v>
      </c>
      <c r="C62" s="15">
        <v>8</v>
      </c>
      <c r="D62" s="537">
        <f t="shared" si="0"/>
        <v>36.32</v>
      </c>
      <c r="E62" s="744">
        <v>44904</v>
      </c>
      <c r="F62" s="537">
        <f t="shared" si="10"/>
        <v>36.32</v>
      </c>
      <c r="G62" s="330" t="s">
        <v>654</v>
      </c>
      <c r="H62" s="331">
        <v>50</v>
      </c>
      <c r="I62" s="1004">
        <f t="shared" si="6"/>
        <v>158.90000000000188</v>
      </c>
      <c r="J62" s="753">
        <f t="shared" si="7"/>
        <v>35</v>
      </c>
      <c r="K62" s="60">
        <f t="shared" si="4"/>
        <v>1816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4">
        <f t="shared" si="8"/>
        <v>3536.6600000000008</v>
      </c>
      <c r="V62" s="753">
        <f t="shared" si="9"/>
        <v>577</v>
      </c>
      <c r="W62" s="60">
        <f t="shared" si="5"/>
        <v>0</v>
      </c>
    </row>
    <row r="63" spans="1:23" x14ac:dyDescent="0.25">
      <c r="B63" s="133">
        <v>4.54</v>
      </c>
      <c r="C63" s="15">
        <v>30</v>
      </c>
      <c r="D63" s="537">
        <f t="shared" si="0"/>
        <v>136.19999999999999</v>
      </c>
      <c r="E63" s="744">
        <v>44904</v>
      </c>
      <c r="F63" s="537">
        <f t="shared" si="10"/>
        <v>136.19999999999999</v>
      </c>
      <c r="G63" s="330" t="s">
        <v>655</v>
      </c>
      <c r="H63" s="331">
        <v>50</v>
      </c>
      <c r="I63" s="1004">
        <f t="shared" si="6"/>
        <v>22.700000000001893</v>
      </c>
      <c r="J63" s="753">
        <f t="shared" si="7"/>
        <v>5</v>
      </c>
      <c r="K63" s="60">
        <f t="shared" si="4"/>
        <v>6809.9999999999991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4">
        <f t="shared" si="8"/>
        <v>3536.6600000000008</v>
      </c>
      <c r="V63" s="753">
        <f t="shared" si="9"/>
        <v>577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4">
        <f t="shared" si="6"/>
        <v>22.700000000001893</v>
      </c>
      <c r="J64" s="753">
        <f t="shared" si="7"/>
        <v>5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4">
        <f t="shared" si="8"/>
        <v>3536.6600000000008</v>
      </c>
      <c r="V64" s="753">
        <f t="shared" si="9"/>
        <v>577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4">
        <f t="shared" si="6"/>
        <v>22.700000000001893</v>
      </c>
      <c r="J65" s="753">
        <f t="shared" si="7"/>
        <v>5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4">
        <f t="shared" si="8"/>
        <v>3536.6600000000008</v>
      </c>
      <c r="V65" s="753">
        <f t="shared" si="9"/>
        <v>577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7">
        <f t="shared" si="0"/>
        <v>22.7</v>
      </c>
      <c r="E66" s="744"/>
      <c r="F66" s="537">
        <f t="shared" si="10"/>
        <v>22.7</v>
      </c>
      <c r="G66" s="1374"/>
      <c r="H66" s="1375"/>
      <c r="I66" s="1397">
        <f t="shared" si="6"/>
        <v>1.893596390800667E-12</v>
      </c>
      <c r="J66" s="1398">
        <f t="shared" si="7"/>
        <v>0</v>
      </c>
      <c r="K66" s="1399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4">
        <f t="shared" si="8"/>
        <v>3536.6600000000008</v>
      </c>
      <c r="V66" s="753">
        <f t="shared" si="9"/>
        <v>577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1374"/>
      <c r="H67" s="1375"/>
      <c r="I67" s="1397">
        <f t="shared" si="6"/>
        <v>1.893596390800667E-12</v>
      </c>
      <c r="J67" s="1398">
        <f t="shared" si="7"/>
        <v>0</v>
      </c>
      <c r="K67" s="1399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4">
        <f t="shared" si="8"/>
        <v>3536.6600000000008</v>
      </c>
      <c r="V67" s="753">
        <f t="shared" si="9"/>
        <v>577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1374"/>
      <c r="H68" s="1375"/>
      <c r="I68" s="1397">
        <f t="shared" si="6"/>
        <v>1.893596390800667E-12</v>
      </c>
      <c r="J68" s="1398">
        <f t="shared" si="7"/>
        <v>0</v>
      </c>
      <c r="K68" s="1399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4">
        <f t="shared" si="8"/>
        <v>3536.6600000000008</v>
      </c>
      <c r="V68" s="753">
        <f t="shared" si="9"/>
        <v>577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1374"/>
      <c r="H69" s="1375"/>
      <c r="I69" s="1397">
        <f t="shared" si="6"/>
        <v>1.893596390800667E-12</v>
      </c>
      <c r="J69" s="1398">
        <f t="shared" si="7"/>
        <v>0</v>
      </c>
      <c r="K69" s="1399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4">
        <f t="shared" si="8"/>
        <v>3536.6600000000008</v>
      </c>
      <c r="V69" s="753">
        <f t="shared" si="9"/>
        <v>577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1374"/>
      <c r="H70" s="1375"/>
      <c r="I70" s="1397">
        <f t="shared" si="6"/>
        <v>1.893596390800667E-12</v>
      </c>
      <c r="J70" s="1398">
        <f t="shared" si="7"/>
        <v>0</v>
      </c>
      <c r="K70" s="1399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4">
        <f t="shared" si="8"/>
        <v>3536.6600000000008</v>
      </c>
      <c r="V70" s="753">
        <f t="shared" si="9"/>
        <v>577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4">
        <f t="shared" si="6"/>
        <v>1.893596390800667E-12</v>
      </c>
      <c r="J71" s="753">
        <f t="shared" si="7"/>
        <v>0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4">
        <f t="shared" si="8"/>
        <v>3536.6600000000008</v>
      </c>
      <c r="V71" s="753">
        <f t="shared" si="9"/>
        <v>577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4">
        <f t="shared" si="6"/>
        <v>1.893596390800667E-12</v>
      </c>
      <c r="J72" s="753">
        <f t="shared" si="7"/>
        <v>0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4">
        <f t="shared" si="8"/>
        <v>3536.6600000000008</v>
      </c>
      <c r="V72" s="753">
        <f t="shared" si="9"/>
        <v>577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4">
        <f t="shared" si="6"/>
        <v>1.893596390800667E-12</v>
      </c>
      <c r="J73" s="753">
        <f t="shared" si="7"/>
        <v>0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4">
        <f t="shared" si="8"/>
        <v>3536.6600000000008</v>
      </c>
      <c r="V73" s="753">
        <f t="shared" si="9"/>
        <v>577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4">
        <f t="shared" si="6"/>
        <v>1.893596390800667E-12</v>
      </c>
      <c r="J74" s="753">
        <f t="shared" si="7"/>
        <v>0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4">
        <f t="shared" si="8"/>
        <v>3536.6600000000008</v>
      </c>
      <c r="V74" s="753">
        <f t="shared" si="9"/>
        <v>577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4">
        <f t="shared" ref="I75:I107" si="14">I74-F75</f>
        <v>1.893596390800667E-12</v>
      </c>
      <c r="J75" s="753">
        <f t="shared" ref="J75:J106" si="15">J74-C75</f>
        <v>0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4">
        <f t="shared" ref="U75:U107" si="16">U74-R75</f>
        <v>3536.6600000000008</v>
      </c>
      <c r="V75" s="753">
        <f t="shared" ref="V75:V106" si="17">V74-O75</f>
        <v>577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4">
        <f t="shared" si="14"/>
        <v>1.893596390800667E-12</v>
      </c>
      <c r="J76" s="753">
        <f t="shared" si="15"/>
        <v>0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4">
        <f t="shared" si="16"/>
        <v>3536.6600000000008</v>
      </c>
      <c r="V76" s="753">
        <f t="shared" si="17"/>
        <v>577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4">
        <f t="shared" si="14"/>
        <v>1.893596390800667E-12</v>
      </c>
      <c r="J77" s="753">
        <f t="shared" si="15"/>
        <v>0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4">
        <f t="shared" si="16"/>
        <v>3536.6600000000008</v>
      </c>
      <c r="V77" s="753">
        <f t="shared" si="17"/>
        <v>577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4">
        <f t="shared" si="14"/>
        <v>1.893596390800667E-12</v>
      </c>
      <c r="J78" s="753">
        <f t="shared" si="15"/>
        <v>0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4">
        <f t="shared" si="16"/>
        <v>3536.6600000000008</v>
      </c>
      <c r="V78" s="753">
        <f t="shared" si="17"/>
        <v>577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4">
        <f t="shared" si="14"/>
        <v>1.893596390800667E-12</v>
      </c>
      <c r="J79" s="753">
        <f t="shared" si="15"/>
        <v>0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4">
        <f t="shared" si="16"/>
        <v>3536.6600000000008</v>
      </c>
      <c r="V79" s="753">
        <f t="shared" si="17"/>
        <v>577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4">
        <f t="shared" si="14"/>
        <v>1.893596390800667E-12</v>
      </c>
      <c r="J80" s="753">
        <f t="shared" si="15"/>
        <v>0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4">
        <f t="shared" si="16"/>
        <v>3536.6600000000008</v>
      </c>
      <c r="V80" s="753">
        <f t="shared" si="17"/>
        <v>577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4">
        <f t="shared" si="14"/>
        <v>1.893596390800667E-12</v>
      </c>
      <c r="J81" s="753">
        <f t="shared" si="15"/>
        <v>0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4">
        <f t="shared" si="16"/>
        <v>3536.6600000000008</v>
      </c>
      <c r="V81" s="753">
        <f t="shared" si="17"/>
        <v>577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4">
        <f t="shared" si="14"/>
        <v>1.893596390800667E-12</v>
      </c>
      <c r="J82" s="753">
        <f t="shared" si="15"/>
        <v>0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4">
        <f t="shared" si="16"/>
        <v>3536.6600000000008</v>
      </c>
      <c r="V82" s="753">
        <f t="shared" si="17"/>
        <v>577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3536.6600000000008</v>
      </c>
      <c r="V83" s="73">
        <f t="shared" si="17"/>
        <v>577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3536.6600000000008</v>
      </c>
      <c r="V84" s="73">
        <f t="shared" si="17"/>
        <v>577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3536.6600000000008</v>
      </c>
      <c r="V85" s="73">
        <f t="shared" si="17"/>
        <v>577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3536.6600000000008</v>
      </c>
      <c r="V86" s="73">
        <f t="shared" si="17"/>
        <v>577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3536.6600000000008</v>
      </c>
      <c r="V87" s="73">
        <f t="shared" si="17"/>
        <v>577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3536.6600000000008</v>
      </c>
      <c r="V88" s="73">
        <f t="shared" si="17"/>
        <v>577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3536.6600000000008</v>
      </c>
      <c r="V89" s="73">
        <f t="shared" si="17"/>
        <v>577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3536.6600000000008</v>
      </c>
      <c r="V90" s="73">
        <f t="shared" si="17"/>
        <v>577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3536.6600000000008</v>
      </c>
      <c r="V91" s="73">
        <f t="shared" si="17"/>
        <v>577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3536.6600000000008</v>
      </c>
      <c r="V92" s="73">
        <f t="shared" si="17"/>
        <v>577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3536.6600000000008</v>
      </c>
      <c r="V93" s="73">
        <f t="shared" si="17"/>
        <v>577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3536.6600000000008</v>
      </c>
      <c r="V94" s="73">
        <f t="shared" si="17"/>
        <v>577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3536.6600000000008</v>
      </c>
      <c r="V95" s="73">
        <f t="shared" si="17"/>
        <v>577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3536.6600000000008</v>
      </c>
      <c r="V96" s="73">
        <f t="shared" si="17"/>
        <v>577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3536.6600000000008</v>
      </c>
      <c r="V97" s="73">
        <f t="shared" si="17"/>
        <v>577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3536.6600000000008</v>
      </c>
      <c r="V98" s="73">
        <f t="shared" si="17"/>
        <v>577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3536.6600000000008</v>
      </c>
      <c r="V99" s="73">
        <f t="shared" si="17"/>
        <v>577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3536.6600000000008</v>
      </c>
      <c r="V100" s="73">
        <f t="shared" si="17"/>
        <v>577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3536.6600000000008</v>
      </c>
      <c r="V101" s="73">
        <f t="shared" si="17"/>
        <v>577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3536.6600000000008</v>
      </c>
      <c r="V102" s="73">
        <f t="shared" si="17"/>
        <v>577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3536.6600000000008</v>
      </c>
      <c r="V103" s="73">
        <f t="shared" si="17"/>
        <v>577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3536.6600000000008</v>
      </c>
      <c r="V104" s="73">
        <f t="shared" si="17"/>
        <v>577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3536.6600000000008</v>
      </c>
      <c r="V105" s="73">
        <f t="shared" si="17"/>
        <v>577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3536.6600000000008</v>
      </c>
      <c r="V106" s="73">
        <f t="shared" si="17"/>
        <v>577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3536.6600000000008</v>
      </c>
      <c r="V107" s="73">
        <f>V83-O107</f>
        <v>577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109</v>
      </c>
      <c r="P109" s="6">
        <f>SUM(P9:P108)</f>
        <v>494.86</v>
      </c>
      <c r="Q109" s="13"/>
      <c r="R109" s="6">
        <f>SUM(R9:R108)</f>
        <v>494.86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577</v>
      </c>
      <c r="Q111" s="40"/>
      <c r="R111" s="6"/>
      <c r="S111" s="31"/>
      <c r="T111" s="17"/>
      <c r="U111" s="132"/>
      <c r="V111" s="73"/>
    </row>
    <row r="112" spans="2:23" x14ac:dyDescent="0.25">
      <c r="C112" s="1322" t="s">
        <v>19</v>
      </c>
      <c r="D112" s="1323"/>
      <c r="E112" s="39">
        <f>E4+E5-F109+E6+E7</f>
        <v>9.8232533218833851E-13</v>
      </c>
      <c r="F112" s="6"/>
      <c r="G112" s="6"/>
      <c r="H112" s="17"/>
      <c r="I112" s="132"/>
      <c r="J112" s="73"/>
      <c r="O112" s="1322" t="s">
        <v>19</v>
      </c>
      <c r="P112" s="1323"/>
      <c r="Q112" s="39">
        <f>Q4+Q5-R109+Q6+Q7</f>
        <v>3536.66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83" t="s">
        <v>52</v>
      </c>
      <c r="B5" s="1324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83"/>
      <c r="B6" s="132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2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26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5">
        <f>B9-C10</f>
        <v>0</v>
      </c>
      <c r="C10" s="820"/>
      <c r="D10" s="990"/>
      <c r="E10" s="857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5">
        <f t="shared" ref="B11:B30" si="1">B10-C11</f>
        <v>0</v>
      </c>
      <c r="C11" s="820"/>
      <c r="D11" s="991"/>
      <c r="E11" s="857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5">
        <f t="shared" si="1"/>
        <v>0</v>
      </c>
      <c r="C12" s="820"/>
      <c r="D12" s="991"/>
      <c r="E12" s="857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5">
        <f t="shared" si="1"/>
        <v>0</v>
      </c>
      <c r="C13" s="820"/>
      <c r="D13" s="991"/>
      <c r="E13" s="857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5">
        <f t="shared" si="1"/>
        <v>0</v>
      </c>
      <c r="C14" s="820"/>
      <c r="D14" s="991"/>
      <c r="E14" s="857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5">
        <f t="shared" si="1"/>
        <v>0</v>
      </c>
      <c r="C15" s="820"/>
      <c r="D15" s="992"/>
      <c r="E15" s="857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5">
        <f t="shared" si="1"/>
        <v>0</v>
      </c>
      <c r="C16" s="820"/>
      <c r="D16" s="992"/>
      <c r="E16" s="857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5">
        <f t="shared" si="1"/>
        <v>0</v>
      </c>
      <c r="C17" s="820"/>
      <c r="D17" s="992"/>
      <c r="E17" s="857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5">
        <f t="shared" si="1"/>
        <v>0</v>
      </c>
      <c r="C18" s="820"/>
      <c r="D18" s="992"/>
      <c r="E18" s="857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5">
        <f t="shared" si="1"/>
        <v>0</v>
      </c>
      <c r="C19" s="820"/>
      <c r="D19" s="992"/>
      <c r="E19" s="857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5">
        <f t="shared" si="1"/>
        <v>0</v>
      </c>
      <c r="C20" s="820"/>
      <c r="D20" s="992"/>
      <c r="E20" s="857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5">
        <f t="shared" si="1"/>
        <v>0</v>
      </c>
      <c r="C21" s="820"/>
      <c r="D21" s="997"/>
      <c r="E21" s="857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5">
        <f t="shared" si="1"/>
        <v>0</v>
      </c>
      <c r="C22" s="820"/>
      <c r="D22" s="997"/>
      <c r="E22" s="857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5">
        <f t="shared" si="1"/>
        <v>0</v>
      </c>
      <c r="C23" s="820"/>
      <c r="D23" s="997"/>
      <c r="E23" s="857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5">
        <f t="shared" si="1"/>
        <v>0</v>
      </c>
      <c r="C24" s="820"/>
      <c r="D24" s="997"/>
      <c r="E24" s="857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5">
        <f t="shared" si="1"/>
        <v>0</v>
      </c>
      <c r="C25" s="820"/>
      <c r="D25" s="997"/>
      <c r="E25" s="857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5">
        <f t="shared" si="1"/>
        <v>0</v>
      </c>
      <c r="C26" s="820"/>
      <c r="D26" s="997"/>
      <c r="E26" s="857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5">
        <f t="shared" si="1"/>
        <v>0</v>
      </c>
      <c r="C27" s="820"/>
      <c r="D27" s="997"/>
      <c r="E27" s="857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5">
        <f t="shared" si="1"/>
        <v>0</v>
      </c>
      <c r="C28" s="820"/>
      <c r="D28" s="842"/>
      <c r="E28" s="857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5">
        <f t="shared" si="1"/>
        <v>0</v>
      </c>
      <c r="C29" s="820"/>
      <c r="D29" s="842"/>
      <c r="E29" s="857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22" t="s">
        <v>19</v>
      </c>
      <c r="D34" s="132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P1" workbookViewId="0">
      <pane ySplit="8" topLeftCell="A9" activePane="bottomLeft" state="frozen"/>
      <selection pane="bottomLeft" activeCell="AA10" sqref="AA10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78" t="s">
        <v>329</v>
      </c>
      <c r="B1" s="1278"/>
      <c r="C1" s="1278"/>
      <c r="D1" s="1278"/>
      <c r="E1" s="1278"/>
      <c r="F1" s="1278"/>
      <c r="G1" s="1278"/>
      <c r="H1" s="11">
        <v>1</v>
      </c>
      <c r="K1" s="1278" t="str">
        <f>A1</f>
        <v>INVENTARIO DEL MES DE  NOVIEMBRE  2022</v>
      </c>
      <c r="L1" s="1278"/>
      <c r="M1" s="1278"/>
      <c r="N1" s="1278"/>
      <c r="O1" s="1278"/>
      <c r="P1" s="1278"/>
      <c r="Q1" s="1278"/>
      <c r="R1" s="11">
        <v>2</v>
      </c>
      <c r="U1" s="1282" t="s">
        <v>340</v>
      </c>
      <c r="V1" s="1282"/>
      <c r="W1" s="1282"/>
      <c r="X1" s="1282"/>
      <c r="Y1" s="1282"/>
      <c r="Z1" s="1282"/>
      <c r="AA1" s="1282"/>
      <c r="AB1" s="11">
        <v>3</v>
      </c>
      <c r="AE1" s="1282" t="s">
        <v>340</v>
      </c>
      <c r="AF1" s="1282"/>
      <c r="AG1" s="1282"/>
      <c r="AH1" s="1282"/>
      <c r="AI1" s="1282"/>
      <c r="AJ1" s="1282"/>
      <c r="AK1" s="1282"/>
      <c r="AL1" s="11">
        <v>4</v>
      </c>
      <c r="AO1" s="1282" t="s">
        <v>340</v>
      </c>
      <c r="AP1" s="1282"/>
      <c r="AQ1" s="1282"/>
      <c r="AR1" s="1282"/>
      <c r="AS1" s="1282"/>
      <c r="AT1" s="1282"/>
      <c r="AU1" s="128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90" t="s">
        <v>64</v>
      </c>
      <c r="B5" s="1327" t="s">
        <v>69</v>
      </c>
      <c r="C5" s="392">
        <v>85</v>
      </c>
      <c r="D5" s="134">
        <v>44862</v>
      </c>
      <c r="E5" s="836">
        <v>150</v>
      </c>
      <c r="F5" s="854">
        <v>15</v>
      </c>
      <c r="G5" s="5"/>
      <c r="K5" s="1312" t="s">
        <v>176</v>
      </c>
      <c r="L5" s="1328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90" t="s">
        <v>375</v>
      </c>
      <c r="V5" s="1327" t="s">
        <v>69</v>
      </c>
      <c r="W5" s="392">
        <v>85</v>
      </c>
      <c r="X5" s="716">
        <v>44900</v>
      </c>
      <c r="Y5" s="1029">
        <v>150</v>
      </c>
      <c r="Z5" s="882">
        <v>15</v>
      </c>
      <c r="AA5" s="5"/>
      <c r="AE5" s="1312" t="s">
        <v>176</v>
      </c>
      <c r="AF5" s="1395" t="s">
        <v>657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12" t="s">
        <v>176</v>
      </c>
      <c r="AP5" s="1328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90"/>
      <c r="B6" s="1327"/>
      <c r="C6" s="12"/>
      <c r="D6" s="12"/>
      <c r="E6" s="559"/>
      <c r="F6" s="144"/>
      <c r="G6" s="47">
        <f>F78</f>
        <v>150</v>
      </c>
      <c r="H6" s="7">
        <f>E6-G6+E7+E5-G5+E4</f>
        <v>0</v>
      </c>
      <c r="K6" s="1312"/>
      <c r="L6" s="1329"/>
      <c r="M6" s="392">
        <v>95</v>
      </c>
      <c r="N6" s="134">
        <v>44862</v>
      </c>
      <c r="O6" s="208">
        <v>100</v>
      </c>
      <c r="P6" s="62">
        <v>10</v>
      </c>
      <c r="Q6" s="47">
        <f>P78</f>
        <v>240</v>
      </c>
      <c r="R6" s="7">
        <f>O6-Q6+O7+O5-Q5+O4</f>
        <v>10</v>
      </c>
      <c r="U6" s="1290"/>
      <c r="V6" s="1327"/>
      <c r="W6" s="392">
        <v>85</v>
      </c>
      <c r="X6" s="716">
        <v>44925</v>
      </c>
      <c r="Y6" s="559">
        <v>100</v>
      </c>
      <c r="Z6" s="144">
        <v>10</v>
      </c>
      <c r="AA6" s="47">
        <f>Z78</f>
        <v>10</v>
      </c>
      <c r="AB6" s="7">
        <f>Y6-AA6+Y7+Y5-AA5+Y4</f>
        <v>240</v>
      </c>
      <c r="AE6" s="1312"/>
      <c r="AF6" s="1396"/>
      <c r="AG6" s="392"/>
      <c r="AH6" s="134"/>
      <c r="AI6" s="208"/>
      <c r="AJ6" s="62"/>
      <c r="AK6" s="47">
        <f>AJ78</f>
        <v>20</v>
      </c>
      <c r="AL6" s="7">
        <f>AI6-AK6+AI7+AI5-AK5+AI4</f>
        <v>0</v>
      </c>
      <c r="AO6" s="1312"/>
      <c r="AP6" s="1329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681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652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24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240</v>
      </c>
      <c r="AE10" s="194"/>
      <c r="AF10" s="896">
        <f t="shared" ref="AF10:AF73" si="5">AF9-AG10</f>
        <v>0</v>
      </c>
      <c r="AG10" s="820"/>
      <c r="AH10" s="702"/>
      <c r="AI10" s="733"/>
      <c r="AJ10" s="1378">
        <f>AH10</f>
        <v>0</v>
      </c>
      <c r="AK10" s="1379"/>
      <c r="AL10" s="1380"/>
      <c r="AM10" s="1376">
        <f>AM9-AJ10</f>
        <v>0</v>
      </c>
      <c r="AN10" s="735"/>
      <c r="AO10" s="194"/>
      <c r="AP10" s="896">
        <f t="shared" ref="AP10:AP73" si="6">AP9-AQ10</f>
        <v>30</v>
      </c>
      <c r="AQ10" s="820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4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3">
        <f t="shared" ref="S11:S74" si="8">S10-P11</f>
        <v>220</v>
      </c>
      <c r="U11" s="182"/>
      <c r="V11" s="83">
        <f t="shared" si="3"/>
        <v>24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240</v>
      </c>
      <c r="AE11" s="182"/>
      <c r="AF11" s="896">
        <f t="shared" si="5"/>
        <v>0</v>
      </c>
      <c r="AG11" s="820"/>
      <c r="AH11" s="702"/>
      <c r="AI11" s="733"/>
      <c r="AJ11" s="1378">
        <f>AH11</f>
        <v>0</v>
      </c>
      <c r="AK11" s="1379"/>
      <c r="AL11" s="1380"/>
      <c r="AM11" s="1376">
        <f t="shared" ref="AM11:AM74" si="10">AM10-AJ11</f>
        <v>0</v>
      </c>
      <c r="AN11" s="735"/>
      <c r="AO11" s="182"/>
      <c r="AP11" s="896">
        <f t="shared" si="6"/>
        <v>30</v>
      </c>
      <c r="AQ11" s="820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8">
        <v>10</v>
      </c>
      <c r="O12" s="839">
        <v>44866</v>
      </c>
      <c r="P12" s="838">
        <f>N12</f>
        <v>10</v>
      </c>
      <c r="Q12" s="840" t="s">
        <v>235</v>
      </c>
      <c r="R12" s="841">
        <v>115</v>
      </c>
      <c r="S12" s="105">
        <f t="shared" si="8"/>
        <v>210</v>
      </c>
      <c r="U12" s="182"/>
      <c r="V12" s="83">
        <f t="shared" si="3"/>
        <v>24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240</v>
      </c>
      <c r="AE12" s="182"/>
      <c r="AF12" s="896">
        <f t="shared" si="5"/>
        <v>0</v>
      </c>
      <c r="AG12" s="820"/>
      <c r="AH12" s="702"/>
      <c r="AI12" s="733"/>
      <c r="AJ12" s="1378">
        <f>AH12</f>
        <v>0</v>
      </c>
      <c r="AK12" s="1379"/>
      <c r="AL12" s="1380"/>
      <c r="AM12" s="1376">
        <f t="shared" si="10"/>
        <v>0</v>
      </c>
      <c r="AN12" s="735"/>
      <c r="AO12" s="182"/>
      <c r="AP12" s="896">
        <f t="shared" si="6"/>
        <v>30</v>
      </c>
      <c r="AQ12" s="820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8">
        <v>10</v>
      </c>
      <c r="O13" s="839">
        <v>44867</v>
      </c>
      <c r="P13" s="838">
        <f>N13</f>
        <v>10</v>
      </c>
      <c r="Q13" s="840" t="s">
        <v>239</v>
      </c>
      <c r="R13" s="841">
        <v>115</v>
      </c>
      <c r="S13" s="105">
        <f t="shared" si="8"/>
        <v>200</v>
      </c>
      <c r="U13" s="82" t="s">
        <v>33</v>
      </c>
      <c r="V13" s="83">
        <f t="shared" si="3"/>
        <v>24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240</v>
      </c>
      <c r="AE13" s="82" t="s">
        <v>33</v>
      </c>
      <c r="AF13" s="896">
        <f t="shared" si="5"/>
        <v>0</v>
      </c>
      <c r="AG13" s="820"/>
      <c r="AH13" s="702"/>
      <c r="AI13" s="733"/>
      <c r="AJ13" s="1378">
        <f>AH13</f>
        <v>0</v>
      </c>
      <c r="AK13" s="1379"/>
      <c r="AL13" s="1380"/>
      <c r="AM13" s="1376">
        <f t="shared" si="10"/>
        <v>0</v>
      </c>
      <c r="AN13" s="735"/>
      <c r="AO13" s="82" t="s">
        <v>33</v>
      </c>
      <c r="AP13" s="896">
        <f t="shared" si="6"/>
        <v>30</v>
      </c>
      <c r="AQ13" s="820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8">
        <v>10</v>
      </c>
      <c r="O14" s="839">
        <v>44868</v>
      </c>
      <c r="P14" s="838">
        <f t="shared" ref="P14:P76" si="12">N14</f>
        <v>10</v>
      </c>
      <c r="Q14" s="840" t="s">
        <v>241</v>
      </c>
      <c r="R14" s="841">
        <v>115</v>
      </c>
      <c r="S14" s="105">
        <f t="shared" si="8"/>
        <v>190</v>
      </c>
      <c r="U14" s="73"/>
      <c r="V14" s="83">
        <f t="shared" si="3"/>
        <v>24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240</v>
      </c>
      <c r="AE14" s="73"/>
      <c r="AF14" s="896">
        <f t="shared" si="5"/>
        <v>0</v>
      </c>
      <c r="AG14" s="820"/>
      <c r="AH14" s="702"/>
      <c r="AI14" s="733"/>
      <c r="AJ14" s="1378">
        <f t="shared" ref="AJ14:AJ76" si="13">AH14</f>
        <v>0</v>
      </c>
      <c r="AK14" s="1379"/>
      <c r="AL14" s="1380"/>
      <c r="AM14" s="1376">
        <f t="shared" si="10"/>
        <v>0</v>
      </c>
      <c r="AN14" s="735"/>
      <c r="AO14" s="73"/>
      <c r="AP14" s="896">
        <f t="shared" si="6"/>
        <v>30</v>
      </c>
      <c r="AQ14" s="820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8">
        <v>10</v>
      </c>
      <c r="O15" s="839">
        <v>44869</v>
      </c>
      <c r="P15" s="838">
        <f t="shared" si="12"/>
        <v>10</v>
      </c>
      <c r="Q15" s="840" t="s">
        <v>242</v>
      </c>
      <c r="R15" s="841">
        <v>115</v>
      </c>
      <c r="S15" s="105">
        <f t="shared" si="8"/>
        <v>180</v>
      </c>
      <c r="U15" s="73"/>
      <c r="V15" s="83">
        <f t="shared" si="3"/>
        <v>24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240</v>
      </c>
      <c r="AE15" s="73" t="s">
        <v>22</v>
      </c>
      <c r="AF15" s="896">
        <f t="shared" si="5"/>
        <v>0</v>
      </c>
      <c r="AG15" s="820"/>
      <c r="AH15" s="702"/>
      <c r="AI15" s="733"/>
      <c r="AJ15" s="702">
        <f t="shared" si="13"/>
        <v>0</v>
      </c>
      <c r="AK15" s="700"/>
      <c r="AL15" s="701"/>
      <c r="AM15" s="737">
        <f t="shared" si="10"/>
        <v>0</v>
      </c>
      <c r="AN15" s="735"/>
      <c r="AO15" s="73" t="s">
        <v>22</v>
      </c>
      <c r="AP15" s="896">
        <f t="shared" si="6"/>
        <v>30</v>
      </c>
      <c r="AQ15" s="820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8">
        <v>10</v>
      </c>
      <c r="O16" s="839">
        <v>44872</v>
      </c>
      <c r="P16" s="838">
        <f t="shared" si="12"/>
        <v>10</v>
      </c>
      <c r="Q16" s="840" t="s">
        <v>250</v>
      </c>
      <c r="R16" s="841">
        <v>115</v>
      </c>
      <c r="S16" s="105">
        <f t="shared" si="8"/>
        <v>170</v>
      </c>
      <c r="V16" s="83">
        <f t="shared" si="3"/>
        <v>24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240</v>
      </c>
      <c r="AF16" s="896">
        <f t="shared" si="5"/>
        <v>0</v>
      </c>
      <c r="AG16" s="820"/>
      <c r="AH16" s="702"/>
      <c r="AI16" s="733"/>
      <c r="AJ16" s="702">
        <f t="shared" si="13"/>
        <v>0</v>
      </c>
      <c r="AK16" s="700"/>
      <c r="AL16" s="701"/>
      <c r="AM16" s="737">
        <f t="shared" si="10"/>
        <v>0</v>
      </c>
      <c r="AN16" s="735"/>
      <c r="AP16" s="896">
        <f t="shared" si="6"/>
        <v>30</v>
      </c>
      <c r="AQ16" s="820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4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3">
        <f t="shared" si="7"/>
        <v>50</v>
      </c>
      <c r="L17" s="83">
        <f t="shared" si="2"/>
        <v>16</v>
      </c>
      <c r="M17" s="15">
        <v>1</v>
      </c>
      <c r="N17" s="838">
        <v>10</v>
      </c>
      <c r="O17" s="839">
        <v>44873</v>
      </c>
      <c r="P17" s="838">
        <f t="shared" si="12"/>
        <v>10</v>
      </c>
      <c r="Q17" s="840" t="s">
        <v>251</v>
      </c>
      <c r="R17" s="841">
        <v>115</v>
      </c>
      <c r="S17" s="105">
        <f t="shared" si="8"/>
        <v>160</v>
      </c>
      <c r="V17" s="896">
        <f t="shared" si="3"/>
        <v>24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240</v>
      </c>
      <c r="AF17" s="896">
        <f t="shared" si="5"/>
        <v>0</v>
      </c>
      <c r="AG17" s="820"/>
      <c r="AH17" s="702"/>
      <c r="AI17" s="733"/>
      <c r="AJ17" s="702">
        <f t="shared" si="13"/>
        <v>0</v>
      </c>
      <c r="AK17" s="700"/>
      <c r="AL17" s="701"/>
      <c r="AM17" s="737">
        <f t="shared" si="10"/>
        <v>0</v>
      </c>
      <c r="AN17" s="735"/>
      <c r="AP17" s="896">
        <f t="shared" si="6"/>
        <v>30</v>
      </c>
      <c r="AQ17" s="820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4</v>
      </c>
      <c r="C18" s="73">
        <v>1</v>
      </c>
      <c r="D18" s="537">
        <v>10</v>
      </c>
      <c r="E18" s="732">
        <v>44895</v>
      </c>
      <c r="F18" s="537">
        <f t="shared" si="1"/>
        <v>10</v>
      </c>
      <c r="G18" s="330" t="s">
        <v>578</v>
      </c>
      <c r="H18" s="331">
        <v>100</v>
      </c>
      <c r="I18" s="742">
        <f t="shared" si="7"/>
        <v>40</v>
      </c>
      <c r="K18" s="122"/>
      <c r="L18" s="83">
        <f t="shared" si="2"/>
        <v>15</v>
      </c>
      <c r="M18" s="15">
        <v>1</v>
      </c>
      <c r="N18" s="838">
        <v>10</v>
      </c>
      <c r="O18" s="839">
        <v>44875</v>
      </c>
      <c r="P18" s="838">
        <f t="shared" si="12"/>
        <v>10</v>
      </c>
      <c r="Q18" s="840" t="s">
        <v>261</v>
      </c>
      <c r="R18" s="841">
        <v>115</v>
      </c>
      <c r="S18" s="105">
        <f t="shared" si="8"/>
        <v>150</v>
      </c>
      <c r="U18" s="122"/>
      <c r="V18" s="896">
        <f t="shared" si="3"/>
        <v>24</v>
      </c>
      <c r="W18" s="714"/>
      <c r="X18" s="994"/>
      <c r="Y18" s="998"/>
      <c r="Z18" s="994">
        <f t="shared" si="4"/>
        <v>0</v>
      </c>
      <c r="AA18" s="995"/>
      <c r="AB18" s="996"/>
      <c r="AC18" s="1000">
        <f t="shared" si="9"/>
        <v>240</v>
      </c>
      <c r="AE18" s="122"/>
      <c r="AF18" s="896">
        <f t="shared" si="5"/>
        <v>0</v>
      </c>
      <c r="AG18" s="820"/>
      <c r="AH18" s="702"/>
      <c r="AI18" s="733"/>
      <c r="AJ18" s="702">
        <f t="shared" si="13"/>
        <v>0</v>
      </c>
      <c r="AK18" s="700"/>
      <c r="AL18" s="701"/>
      <c r="AM18" s="737">
        <f t="shared" si="10"/>
        <v>0</v>
      </c>
      <c r="AN18" s="735"/>
      <c r="AO18" s="122"/>
      <c r="AP18" s="896">
        <f t="shared" si="6"/>
        <v>30</v>
      </c>
      <c r="AQ18" s="820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3</v>
      </c>
      <c r="C19" s="15">
        <v>1</v>
      </c>
      <c r="D19" s="537">
        <v>10</v>
      </c>
      <c r="E19" s="732">
        <v>44898</v>
      </c>
      <c r="F19" s="537">
        <f t="shared" si="1"/>
        <v>10</v>
      </c>
      <c r="G19" s="330" t="s">
        <v>608</v>
      </c>
      <c r="H19" s="331">
        <v>100</v>
      </c>
      <c r="I19" s="742">
        <f t="shared" si="7"/>
        <v>30</v>
      </c>
      <c r="K19" s="122"/>
      <c r="L19" s="83">
        <f t="shared" si="2"/>
        <v>14</v>
      </c>
      <c r="M19" s="15">
        <v>1</v>
      </c>
      <c r="N19" s="838">
        <v>10</v>
      </c>
      <c r="O19" s="839">
        <v>44877</v>
      </c>
      <c r="P19" s="838">
        <f t="shared" si="12"/>
        <v>10</v>
      </c>
      <c r="Q19" s="840" t="s">
        <v>266</v>
      </c>
      <c r="R19" s="841">
        <v>115</v>
      </c>
      <c r="S19" s="105">
        <f t="shared" si="8"/>
        <v>140</v>
      </c>
      <c r="U19" s="122"/>
      <c r="V19" s="83">
        <f t="shared" si="3"/>
        <v>24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240</v>
      </c>
      <c r="AE19" s="122"/>
      <c r="AF19" s="896">
        <f t="shared" si="5"/>
        <v>0</v>
      </c>
      <c r="AG19" s="820"/>
      <c r="AH19" s="702"/>
      <c r="AI19" s="733"/>
      <c r="AJ19" s="702">
        <f t="shared" si="13"/>
        <v>0</v>
      </c>
      <c r="AK19" s="700"/>
      <c r="AL19" s="701"/>
      <c r="AM19" s="737">
        <f t="shared" si="10"/>
        <v>0</v>
      </c>
      <c r="AN19" s="735"/>
      <c r="AO19" s="122"/>
      <c r="AP19" s="896">
        <f t="shared" si="6"/>
        <v>30</v>
      </c>
      <c r="AQ19" s="820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2</v>
      </c>
      <c r="C20" s="15">
        <v>1</v>
      </c>
      <c r="D20" s="537">
        <v>10</v>
      </c>
      <c r="E20" s="732">
        <v>44900</v>
      </c>
      <c r="F20" s="537">
        <f t="shared" si="1"/>
        <v>10</v>
      </c>
      <c r="G20" s="330" t="s">
        <v>612</v>
      </c>
      <c r="H20" s="331">
        <v>100</v>
      </c>
      <c r="I20" s="742">
        <f t="shared" si="7"/>
        <v>20</v>
      </c>
      <c r="K20" s="122"/>
      <c r="L20" s="83">
        <f t="shared" si="2"/>
        <v>13</v>
      </c>
      <c r="M20" s="15">
        <v>1</v>
      </c>
      <c r="N20" s="838">
        <v>10</v>
      </c>
      <c r="O20" s="839">
        <v>44879</v>
      </c>
      <c r="P20" s="838">
        <f t="shared" si="12"/>
        <v>10</v>
      </c>
      <c r="Q20" s="840" t="s">
        <v>273</v>
      </c>
      <c r="R20" s="841">
        <v>115</v>
      </c>
      <c r="S20" s="105">
        <f t="shared" si="8"/>
        <v>130</v>
      </c>
      <c r="U20" s="122"/>
      <c r="V20" s="83">
        <f t="shared" si="3"/>
        <v>24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240</v>
      </c>
      <c r="AE20" s="122"/>
      <c r="AF20" s="896">
        <f t="shared" si="5"/>
        <v>0</v>
      </c>
      <c r="AG20" s="820"/>
      <c r="AH20" s="702"/>
      <c r="AI20" s="733"/>
      <c r="AJ20" s="702">
        <f t="shared" si="13"/>
        <v>0</v>
      </c>
      <c r="AK20" s="700"/>
      <c r="AL20" s="701"/>
      <c r="AM20" s="737">
        <f t="shared" si="10"/>
        <v>0</v>
      </c>
      <c r="AN20" s="735"/>
      <c r="AO20" s="122"/>
      <c r="AP20" s="896">
        <f t="shared" si="6"/>
        <v>30</v>
      </c>
      <c r="AQ20" s="820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1</v>
      </c>
      <c r="C21" s="15">
        <v>1</v>
      </c>
      <c r="D21" s="537">
        <v>10</v>
      </c>
      <c r="E21" s="732">
        <v>44901</v>
      </c>
      <c r="F21" s="537">
        <f t="shared" si="1"/>
        <v>10</v>
      </c>
      <c r="G21" s="330" t="s">
        <v>623</v>
      </c>
      <c r="H21" s="331">
        <v>100</v>
      </c>
      <c r="I21" s="742">
        <f t="shared" si="7"/>
        <v>10</v>
      </c>
      <c r="K21" s="122"/>
      <c r="L21" s="83">
        <f t="shared" si="2"/>
        <v>12</v>
      </c>
      <c r="M21" s="15">
        <v>1</v>
      </c>
      <c r="N21" s="838">
        <v>10</v>
      </c>
      <c r="O21" s="839">
        <v>44880</v>
      </c>
      <c r="P21" s="838">
        <f t="shared" si="12"/>
        <v>10</v>
      </c>
      <c r="Q21" s="840" t="s">
        <v>277</v>
      </c>
      <c r="R21" s="841">
        <v>115</v>
      </c>
      <c r="S21" s="105">
        <f t="shared" si="8"/>
        <v>120</v>
      </c>
      <c r="U21" s="122"/>
      <c r="V21" s="83">
        <f t="shared" si="3"/>
        <v>24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240</v>
      </c>
      <c r="AE21" s="122"/>
      <c r="AF21" s="896">
        <f t="shared" si="5"/>
        <v>0</v>
      </c>
      <c r="AG21" s="820"/>
      <c r="AH21" s="702"/>
      <c r="AI21" s="733"/>
      <c r="AJ21" s="702">
        <f t="shared" si="13"/>
        <v>0</v>
      </c>
      <c r="AK21" s="700"/>
      <c r="AL21" s="701"/>
      <c r="AM21" s="737">
        <f t="shared" si="10"/>
        <v>0</v>
      </c>
      <c r="AN21" s="735"/>
      <c r="AO21" s="122"/>
      <c r="AP21" s="896">
        <f t="shared" si="6"/>
        <v>30</v>
      </c>
      <c r="AQ21" s="820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0</v>
      </c>
      <c r="C22" s="15">
        <v>1</v>
      </c>
      <c r="D22" s="537">
        <v>10</v>
      </c>
      <c r="E22" s="732">
        <v>44905</v>
      </c>
      <c r="F22" s="537">
        <f t="shared" si="1"/>
        <v>10</v>
      </c>
      <c r="G22" s="330" t="s">
        <v>667</v>
      </c>
      <c r="H22" s="331">
        <v>100</v>
      </c>
      <c r="I22" s="742">
        <f t="shared" si="7"/>
        <v>0</v>
      </c>
      <c r="K22" s="122"/>
      <c r="L22" s="233">
        <f t="shared" si="2"/>
        <v>11</v>
      </c>
      <c r="M22" s="15">
        <v>1</v>
      </c>
      <c r="N22" s="838">
        <v>10</v>
      </c>
      <c r="O22" s="839">
        <v>44881</v>
      </c>
      <c r="P22" s="838">
        <f t="shared" si="12"/>
        <v>10</v>
      </c>
      <c r="Q22" s="840" t="s">
        <v>279</v>
      </c>
      <c r="R22" s="841">
        <v>115</v>
      </c>
      <c r="S22" s="105">
        <f t="shared" si="8"/>
        <v>110</v>
      </c>
      <c r="U22" s="122"/>
      <c r="V22" s="233">
        <f t="shared" si="3"/>
        <v>24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240</v>
      </c>
      <c r="AE22" s="122"/>
      <c r="AF22" s="1055">
        <f t="shared" si="5"/>
        <v>0</v>
      </c>
      <c r="AG22" s="820"/>
      <c r="AH22" s="702"/>
      <c r="AI22" s="733"/>
      <c r="AJ22" s="702">
        <f t="shared" si="13"/>
        <v>0</v>
      </c>
      <c r="AK22" s="700"/>
      <c r="AL22" s="701"/>
      <c r="AM22" s="737">
        <f t="shared" si="10"/>
        <v>0</v>
      </c>
      <c r="AN22" s="735"/>
      <c r="AO22" s="122"/>
      <c r="AP22" s="1055">
        <f t="shared" si="6"/>
        <v>30</v>
      </c>
      <c r="AQ22" s="820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0</v>
      </c>
      <c r="C23" s="15"/>
      <c r="D23" s="537"/>
      <c r="E23" s="732"/>
      <c r="F23" s="1373">
        <f t="shared" si="1"/>
        <v>0</v>
      </c>
      <c r="G23" s="1374"/>
      <c r="H23" s="1375"/>
      <c r="I23" s="1400">
        <f t="shared" si="7"/>
        <v>0</v>
      </c>
      <c r="K23" s="123"/>
      <c r="L23" s="233">
        <f t="shared" si="2"/>
        <v>10</v>
      </c>
      <c r="M23" s="15">
        <v>1</v>
      </c>
      <c r="N23" s="838">
        <v>10</v>
      </c>
      <c r="O23" s="839">
        <v>44884</v>
      </c>
      <c r="P23" s="838">
        <f t="shared" si="12"/>
        <v>10</v>
      </c>
      <c r="Q23" s="840" t="s">
        <v>291</v>
      </c>
      <c r="R23" s="841">
        <v>115</v>
      </c>
      <c r="S23" s="105">
        <f t="shared" si="8"/>
        <v>100</v>
      </c>
      <c r="U23" s="123"/>
      <c r="V23" s="233">
        <f t="shared" si="3"/>
        <v>24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240</v>
      </c>
      <c r="AE23" s="123"/>
      <c r="AF23" s="1055">
        <f t="shared" si="5"/>
        <v>0</v>
      </c>
      <c r="AG23" s="820"/>
      <c r="AH23" s="702"/>
      <c r="AI23" s="733"/>
      <c r="AJ23" s="702">
        <f t="shared" si="13"/>
        <v>0</v>
      </c>
      <c r="AK23" s="700"/>
      <c r="AL23" s="701"/>
      <c r="AM23" s="737">
        <f t="shared" si="10"/>
        <v>0</v>
      </c>
      <c r="AN23" s="735"/>
      <c r="AO23" s="123"/>
      <c r="AP23" s="1055">
        <f t="shared" si="6"/>
        <v>30</v>
      </c>
      <c r="AQ23" s="820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0</v>
      </c>
      <c r="C24" s="15"/>
      <c r="D24" s="537"/>
      <c r="E24" s="732"/>
      <c r="F24" s="1373">
        <f t="shared" si="1"/>
        <v>0</v>
      </c>
      <c r="G24" s="1374"/>
      <c r="H24" s="1375"/>
      <c r="I24" s="1400">
        <f t="shared" si="7"/>
        <v>0</v>
      </c>
      <c r="K24" s="122"/>
      <c r="L24" s="233">
        <f t="shared" si="2"/>
        <v>9</v>
      </c>
      <c r="M24" s="15">
        <v>1</v>
      </c>
      <c r="N24" s="838">
        <v>10</v>
      </c>
      <c r="O24" s="839">
        <v>44888</v>
      </c>
      <c r="P24" s="838">
        <f t="shared" si="12"/>
        <v>10</v>
      </c>
      <c r="Q24" s="840" t="s">
        <v>298</v>
      </c>
      <c r="R24" s="841">
        <v>115</v>
      </c>
      <c r="S24" s="105">
        <f t="shared" si="8"/>
        <v>90</v>
      </c>
      <c r="U24" s="122"/>
      <c r="V24" s="233">
        <f t="shared" si="3"/>
        <v>24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240</v>
      </c>
      <c r="AE24" s="122"/>
      <c r="AF24" s="1055">
        <f t="shared" si="5"/>
        <v>0</v>
      </c>
      <c r="AG24" s="820"/>
      <c r="AH24" s="702"/>
      <c r="AI24" s="733"/>
      <c r="AJ24" s="702">
        <f t="shared" si="13"/>
        <v>0</v>
      </c>
      <c r="AK24" s="700"/>
      <c r="AL24" s="701"/>
      <c r="AM24" s="737">
        <f t="shared" si="10"/>
        <v>0</v>
      </c>
      <c r="AN24" s="735"/>
      <c r="AO24" s="122"/>
      <c r="AP24" s="1055">
        <f t="shared" si="6"/>
        <v>30</v>
      </c>
      <c r="AQ24" s="820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0</v>
      </c>
      <c r="C25" s="15"/>
      <c r="D25" s="537"/>
      <c r="E25" s="732"/>
      <c r="F25" s="1373">
        <f t="shared" si="1"/>
        <v>0</v>
      </c>
      <c r="G25" s="1374"/>
      <c r="H25" s="1375"/>
      <c r="I25" s="1400">
        <f t="shared" si="7"/>
        <v>0</v>
      </c>
      <c r="K25" s="122"/>
      <c r="L25" s="853">
        <f t="shared" si="2"/>
        <v>8</v>
      </c>
      <c r="M25" s="15">
        <v>1</v>
      </c>
      <c r="N25" s="838">
        <v>10</v>
      </c>
      <c r="O25" s="839">
        <v>44889</v>
      </c>
      <c r="P25" s="838">
        <f t="shared" si="12"/>
        <v>10</v>
      </c>
      <c r="Q25" s="840" t="s">
        <v>303</v>
      </c>
      <c r="R25" s="841">
        <v>115</v>
      </c>
      <c r="S25" s="823">
        <f t="shared" si="8"/>
        <v>80</v>
      </c>
      <c r="U25" s="122"/>
      <c r="V25" s="233">
        <f t="shared" si="3"/>
        <v>24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240</v>
      </c>
      <c r="AE25" s="122"/>
      <c r="AF25" s="1055">
        <f t="shared" si="5"/>
        <v>0</v>
      </c>
      <c r="AG25" s="820"/>
      <c r="AH25" s="702"/>
      <c r="AI25" s="733"/>
      <c r="AJ25" s="702">
        <f t="shared" si="13"/>
        <v>0</v>
      </c>
      <c r="AK25" s="700"/>
      <c r="AL25" s="701"/>
      <c r="AM25" s="737">
        <f t="shared" si="10"/>
        <v>0</v>
      </c>
      <c r="AN25" s="735"/>
      <c r="AO25" s="122"/>
      <c r="AP25" s="1055">
        <f t="shared" si="6"/>
        <v>30</v>
      </c>
      <c r="AQ25" s="820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0</v>
      </c>
      <c r="C26" s="15"/>
      <c r="D26" s="537"/>
      <c r="E26" s="732"/>
      <c r="F26" s="1373">
        <f t="shared" si="1"/>
        <v>0</v>
      </c>
      <c r="G26" s="1374"/>
      <c r="H26" s="1375"/>
      <c r="I26" s="1400">
        <f t="shared" si="7"/>
        <v>0</v>
      </c>
      <c r="K26" s="122"/>
      <c r="L26" s="182">
        <f t="shared" si="2"/>
        <v>7</v>
      </c>
      <c r="M26" s="15">
        <v>1</v>
      </c>
      <c r="N26" s="537">
        <v>10</v>
      </c>
      <c r="O26" s="732">
        <v>44895</v>
      </c>
      <c r="P26" s="537">
        <f t="shared" si="12"/>
        <v>10</v>
      </c>
      <c r="Q26" s="330" t="s">
        <v>578</v>
      </c>
      <c r="R26" s="331">
        <v>115</v>
      </c>
      <c r="S26" s="105">
        <f t="shared" si="8"/>
        <v>70</v>
      </c>
      <c r="U26" s="122"/>
      <c r="V26" s="182">
        <f t="shared" si="3"/>
        <v>24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240</v>
      </c>
      <c r="AE26" s="122"/>
      <c r="AF26" s="888">
        <f t="shared" si="5"/>
        <v>0</v>
      </c>
      <c r="AG26" s="820"/>
      <c r="AH26" s="702"/>
      <c r="AI26" s="733"/>
      <c r="AJ26" s="702">
        <f t="shared" si="13"/>
        <v>0</v>
      </c>
      <c r="AK26" s="700"/>
      <c r="AL26" s="701"/>
      <c r="AM26" s="737">
        <f t="shared" si="10"/>
        <v>0</v>
      </c>
      <c r="AN26" s="735"/>
      <c r="AO26" s="122"/>
      <c r="AP26" s="888">
        <f t="shared" si="6"/>
        <v>30</v>
      </c>
      <c r="AQ26" s="820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0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0</v>
      </c>
      <c r="K27" s="122"/>
      <c r="L27" s="233">
        <f t="shared" si="2"/>
        <v>6</v>
      </c>
      <c r="M27" s="15">
        <v>1</v>
      </c>
      <c r="N27" s="537">
        <v>10</v>
      </c>
      <c r="O27" s="732">
        <v>44898</v>
      </c>
      <c r="P27" s="537">
        <f t="shared" si="12"/>
        <v>10</v>
      </c>
      <c r="Q27" s="330" t="s">
        <v>608</v>
      </c>
      <c r="R27" s="331">
        <v>115</v>
      </c>
      <c r="S27" s="105">
        <f t="shared" si="8"/>
        <v>60</v>
      </c>
      <c r="U27" s="122"/>
      <c r="V27" s="233">
        <f t="shared" si="3"/>
        <v>24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240</v>
      </c>
      <c r="AE27" s="122"/>
      <c r="AF27" s="1055">
        <f t="shared" si="5"/>
        <v>0</v>
      </c>
      <c r="AG27" s="820"/>
      <c r="AH27" s="702"/>
      <c r="AI27" s="733"/>
      <c r="AJ27" s="702">
        <f t="shared" si="13"/>
        <v>0</v>
      </c>
      <c r="AK27" s="700"/>
      <c r="AL27" s="701"/>
      <c r="AM27" s="737">
        <f t="shared" si="10"/>
        <v>0</v>
      </c>
      <c r="AN27" s="735"/>
      <c r="AO27" s="122"/>
      <c r="AP27" s="1055">
        <f t="shared" si="6"/>
        <v>30</v>
      </c>
      <c r="AQ27" s="820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0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0</v>
      </c>
      <c r="K28" s="122"/>
      <c r="L28" s="182">
        <f t="shared" si="2"/>
        <v>5</v>
      </c>
      <c r="M28" s="15">
        <v>1</v>
      </c>
      <c r="N28" s="537">
        <v>10</v>
      </c>
      <c r="O28" s="732">
        <v>44900</v>
      </c>
      <c r="P28" s="537">
        <f t="shared" si="12"/>
        <v>10</v>
      </c>
      <c r="Q28" s="330" t="s">
        <v>612</v>
      </c>
      <c r="R28" s="331">
        <v>115</v>
      </c>
      <c r="S28" s="105">
        <f t="shared" si="8"/>
        <v>50</v>
      </c>
      <c r="U28" s="122"/>
      <c r="V28" s="182">
        <f t="shared" si="3"/>
        <v>24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240</v>
      </c>
      <c r="AE28" s="122"/>
      <c r="AF28" s="888">
        <f t="shared" si="5"/>
        <v>0</v>
      </c>
      <c r="AG28" s="820"/>
      <c r="AH28" s="702"/>
      <c r="AI28" s="733"/>
      <c r="AJ28" s="702">
        <f t="shared" si="13"/>
        <v>0</v>
      </c>
      <c r="AK28" s="700"/>
      <c r="AL28" s="701"/>
      <c r="AM28" s="737">
        <f t="shared" si="10"/>
        <v>0</v>
      </c>
      <c r="AN28" s="735"/>
      <c r="AO28" s="122"/>
      <c r="AP28" s="888">
        <f t="shared" si="6"/>
        <v>30</v>
      </c>
      <c r="AQ28" s="820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0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0</v>
      </c>
      <c r="K29" s="122"/>
      <c r="L29" s="233">
        <f t="shared" si="2"/>
        <v>4</v>
      </c>
      <c r="M29" s="15">
        <v>1</v>
      </c>
      <c r="N29" s="537">
        <v>10</v>
      </c>
      <c r="O29" s="732">
        <v>44901</v>
      </c>
      <c r="P29" s="537">
        <f t="shared" si="12"/>
        <v>10</v>
      </c>
      <c r="Q29" s="330" t="s">
        <v>623</v>
      </c>
      <c r="R29" s="331">
        <v>115</v>
      </c>
      <c r="S29" s="105">
        <f t="shared" si="8"/>
        <v>40</v>
      </c>
      <c r="U29" s="122"/>
      <c r="V29" s="233">
        <f t="shared" si="3"/>
        <v>24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240</v>
      </c>
      <c r="AE29" s="122"/>
      <c r="AF29" s="233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0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0</v>
      </c>
      <c r="K30" s="122"/>
      <c r="L30" s="233">
        <f t="shared" si="2"/>
        <v>3</v>
      </c>
      <c r="M30" s="15">
        <v>1</v>
      </c>
      <c r="N30" s="537">
        <v>10</v>
      </c>
      <c r="O30" s="732">
        <v>44903</v>
      </c>
      <c r="P30" s="537">
        <f t="shared" si="12"/>
        <v>10</v>
      </c>
      <c r="Q30" s="330" t="s">
        <v>641</v>
      </c>
      <c r="R30" s="331">
        <v>115</v>
      </c>
      <c r="S30" s="105">
        <f t="shared" si="8"/>
        <v>30</v>
      </c>
      <c r="U30" s="122"/>
      <c r="V30" s="233">
        <f t="shared" si="3"/>
        <v>24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240</v>
      </c>
      <c r="AE30" s="122"/>
      <c r="AF30" s="233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0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0</v>
      </c>
      <c r="K31" s="122"/>
      <c r="L31" s="233">
        <f t="shared" si="2"/>
        <v>2</v>
      </c>
      <c r="M31" s="15">
        <v>1</v>
      </c>
      <c r="N31" s="537">
        <v>10</v>
      </c>
      <c r="O31" s="732">
        <v>44905</v>
      </c>
      <c r="P31" s="537">
        <f t="shared" si="12"/>
        <v>10</v>
      </c>
      <c r="Q31" s="330" t="s">
        <v>667</v>
      </c>
      <c r="R31" s="331">
        <v>115</v>
      </c>
      <c r="S31" s="105">
        <f t="shared" si="8"/>
        <v>20</v>
      </c>
      <c r="U31" s="122"/>
      <c r="V31" s="233">
        <f t="shared" si="3"/>
        <v>24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240</v>
      </c>
      <c r="AE31" s="122"/>
      <c r="AF31" s="233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0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0</v>
      </c>
      <c r="K32" s="122"/>
      <c r="L32" s="233">
        <f t="shared" si="2"/>
        <v>1</v>
      </c>
      <c r="M32" s="15">
        <v>1</v>
      </c>
      <c r="N32" s="537">
        <v>10</v>
      </c>
      <c r="O32" s="732">
        <v>44907</v>
      </c>
      <c r="P32" s="537">
        <f t="shared" si="12"/>
        <v>10</v>
      </c>
      <c r="Q32" s="330" t="s">
        <v>681</v>
      </c>
      <c r="R32" s="331">
        <v>115</v>
      </c>
      <c r="S32" s="105">
        <f t="shared" si="8"/>
        <v>10</v>
      </c>
      <c r="U32" s="122"/>
      <c r="V32" s="233">
        <f t="shared" si="3"/>
        <v>24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240</v>
      </c>
      <c r="AE32" s="122"/>
      <c r="AF32" s="233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0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0</v>
      </c>
      <c r="K33" s="122"/>
      <c r="L33" s="233">
        <f t="shared" si="2"/>
        <v>1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10</v>
      </c>
      <c r="U33" s="122"/>
      <c r="V33" s="233">
        <f t="shared" si="3"/>
        <v>24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240</v>
      </c>
      <c r="AE33" s="122"/>
      <c r="AF33" s="233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0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0</v>
      </c>
      <c r="K34" s="122"/>
      <c r="L34" s="233">
        <f t="shared" si="2"/>
        <v>1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10</v>
      </c>
      <c r="U34" s="122"/>
      <c r="V34" s="233">
        <f t="shared" si="3"/>
        <v>24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240</v>
      </c>
      <c r="AE34" s="122"/>
      <c r="AF34" s="233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0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0</v>
      </c>
      <c r="K35" s="122"/>
      <c r="L35" s="233">
        <f t="shared" si="2"/>
        <v>1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10</v>
      </c>
      <c r="U35" s="122"/>
      <c r="V35" s="233">
        <f t="shared" si="3"/>
        <v>24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240</v>
      </c>
      <c r="AE35" s="122"/>
      <c r="AF35" s="233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0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0</v>
      </c>
      <c r="K36" s="122" t="s">
        <v>22</v>
      </c>
      <c r="L36" s="233">
        <f t="shared" si="2"/>
        <v>1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10</v>
      </c>
      <c r="U36" s="122" t="s">
        <v>22</v>
      </c>
      <c r="V36" s="233">
        <f t="shared" si="3"/>
        <v>24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240</v>
      </c>
      <c r="AE36" s="122" t="s">
        <v>22</v>
      </c>
      <c r="AF36" s="233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0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0</v>
      </c>
      <c r="K37" s="123"/>
      <c r="L37" s="233">
        <f t="shared" si="2"/>
        <v>1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10</v>
      </c>
      <c r="U37" s="123"/>
      <c r="V37" s="233">
        <f t="shared" si="3"/>
        <v>24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240</v>
      </c>
      <c r="AE37" s="123"/>
      <c r="AF37" s="233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0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0</v>
      </c>
      <c r="K38" s="122"/>
      <c r="L38" s="233">
        <f t="shared" si="2"/>
        <v>1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10</v>
      </c>
      <c r="U38" s="122"/>
      <c r="V38" s="233">
        <f t="shared" si="3"/>
        <v>24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240</v>
      </c>
      <c r="AE38" s="122"/>
      <c r="AF38" s="233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0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0</v>
      </c>
      <c r="K39" s="122"/>
      <c r="L39" s="83">
        <f t="shared" si="2"/>
        <v>1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10</v>
      </c>
      <c r="U39" s="122"/>
      <c r="V39" s="83">
        <f t="shared" si="3"/>
        <v>24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240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0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0</v>
      </c>
      <c r="K40" s="122"/>
      <c r="L40" s="83">
        <f t="shared" si="2"/>
        <v>1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10</v>
      </c>
      <c r="U40" s="122"/>
      <c r="V40" s="83">
        <f t="shared" si="3"/>
        <v>24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240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0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0</v>
      </c>
      <c r="K41" s="122"/>
      <c r="L41" s="83">
        <f t="shared" si="2"/>
        <v>1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10</v>
      </c>
      <c r="U41" s="122"/>
      <c r="V41" s="83">
        <f t="shared" si="3"/>
        <v>24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240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0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0</v>
      </c>
      <c r="K42" s="122"/>
      <c r="L42" s="83">
        <f t="shared" si="2"/>
        <v>1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10</v>
      </c>
      <c r="U42" s="122"/>
      <c r="V42" s="83">
        <f t="shared" si="3"/>
        <v>24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240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1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10</v>
      </c>
      <c r="U43" s="122"/>
      <c r="V43" s="83">
        <f t="shared" si="3"/>
        <v>24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240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1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10</v>
      </c>
      <c r="U44" s="122"/>
      <c r="V44" s="83">
        <f t="shared" si="3"/>
        <v>24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240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1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10</v>
      </c>
      <c r="U45" s="122"/>
      <c r="V45" s="83">
        <f t="shared" si="3"/>
        <v>24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240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1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10</v>
      </c>
      <c r="U46" s="122"/>
      <c r="V46" s="83">
        <f t="shared" si="3"/>
        <v>24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240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1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10</v>
      </c>
      <c r="U47" s="122"/>
      <c r="V47" s="83">
        <f t="shared" si="3"/>
        <v>24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240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1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10</v>
      </c>
      <c r="U48" s="122"/>
      <c r="V48" s="83">
        <f t="shared" si="3"/>
        <v>24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240</v>
      </c>
      <c r="AE48" s="122"/>
      <c r="AF48" s="83">
        <f t="shared" si="5"/>
        <v>0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1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10</v>
      </c>
      <c r="U49" s="122"/>
      <c r="V49" s="83">
        <f t="shared" si="3"/>
        <v>24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240</v>
      </c>
      <c r="AE49" s="122"/>
      <c r="AF49" s="83">
        <f t="shared" si="5"/>
        <v>0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1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10</v>
      </c>
      <c r="U50" s="122"/>
      <c r="V50" s="83">
        <f t="shared" si="3"/>
        <v>24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240</v>
      </c>
      <c r="AE50" s="122"/>
      <c r="AF50" s="83">
        <f t="shared" si="5"/>
        <v>0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1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10</v>
      </c>
      <c r="U51" s="122"/>
      <c r="V51" s="83">
        <f t="shared" si="3"/>
        <v>24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240</v>
      </c>
      <c r="AE51" s="122"/>
      <c r="AF51" s="83">
        <f t="shared" si="5"/>
        <v>0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1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10</v>
      </c>
      <c r="U52" s="122"/>
      <c r="V52" s="83">
        <f t="shared" si="3"/>
        <v>24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240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1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10</v>
      </c>
      <c r="U53" s="122"/>
      <c r="V53" s="83">
        <f t="shared" si="3"/>
        <v>24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240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1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10</v>
      </c>
      <c r="U54" s="122"/>
      <c r="V54" s="83">
        <f t="shared" si="3"/>
        <v>24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240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1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10</v>
      </c>
      <c r="U55" s="122"/>
      <c r="V55" s="12">
        <f t="shared" si="3"/>
        <v>24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240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1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10</v>
      </c>
      <c r="U56" s="122"/>
      <c r="V56" s="12">
        <f t="shared" si="3"/>
        <v>24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240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1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10</v>
      </c>
      <c r="U57" s="122"/>
      <c r="V57" s="12">
        <f t="shared" si="3"/>
        <v>24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240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1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10</v>
      </c>
      <c r="U58" s="122"/>
      <c r="V58" s="12">
        <f t="shared" si="3"/>
        <v>24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240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1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10</v>
      </c>
      <c r="U59" s="122"/>
      <c r="V59" s="12">
        <f t="shared" si="3"/>
        <v>24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240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1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10</v>
      </c>
      <c r="U60" s="122"/>
      <c r="V60" s="12">
        <f t="shared" si="3"/>
        <v>24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240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1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10</v>
      </c>
      <c r="U61" s="122"/>
      <c r="V61" s="12">
        <f t="shared" si="3"/>
        <v>24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240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1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10</v>
      </c>
      <c r="U62" s="122"/>
      <c r="V62" s="12">
        <f t="shared" si="3"/>
        <v>24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240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1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10</v>
      </c>
      <c r="U63" s="122"/>
      <c r="V63" s="12">
        <f t="shared" si="3"/>
        <v>24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240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1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10</v>
      </c>
      <c r="U64" s="122"/>
      <c r="V64" s="12">
        <f t="shared" si="3"/>
        <v>24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240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1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10</v>
      </c>
      <c r="U65" s="122"/>
      <c r="V65" s="12">
        <f t="shared" si="3"/>
        <v>24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240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1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10</v>
      </c>
      <c r="U66" s="122"/>
      <c r="V66" s="12">
        <f t="shared" si="3"/>
        <v>24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240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1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10</v>
      </c>
      <c r="U67" s="122"/>
      <c r="V67" s="12">
        <f t="shared" si="3"/>
        <v>24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240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1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10</v>
      </c>
      <c r="U68" s="122"/>
      <c r="V68" s="12">
        <f t="shared" si="3"/>
        <v>24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240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1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10</v>
      </c>
      <c r="U69" s="122"/>
      <c r="V69" s="12">
        <f t="shared" si="3"/>
        <v>24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240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1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10</v>
      </c>
      <c r="U70" s="122"/>
      <c r="V70" s="12">
        <f t="shared" si="3"/>
        <v>24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240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1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10</v>
      </c>
      <c r="U71" s="122"/>
      <c r="V71" s="12">
        <f t="shared" si="3"/>
        <v>24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240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1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10</v>
      </c>
      <c r="U72" s="122"/>
      <c r="V72" s="12">
        <f t="shared" si="3"/>
        <v>24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240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1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10</v>
      </c>
      <c r="U73" s="122"/>
      <c r="V73" s="12">
        <f t="shared" si="3"/>
        <v>24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240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1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10</v>
      </c>
      <c r="U74" s="122"/>
      <c r="V74" s="12">
        <f t="shared" ref="V74:V75" si="18">V73-W74</f>
        <v>24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240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1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10</v>
      </c>
      <c r="U75" s="122"/>
      <c r="V75" s="12">
        <f t="shared" si="18"/>
        <v>24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240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10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240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24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80" t="s">
        <v>11</v>
      </c>
      <c r="D83" s="1281"/>
      <c r="E83" s="57">
        <f>E5+E6-F78+E7</f>
        <v>0</v>
      </c>
      <c r="F83" s="73"/>
      <c r="M83" s="1280" t="s">
        <v>11</v>
      </c>
      <c r="N83" s="1281"/>
      <c r="O83" s="57">
        <f>O5+O6-P78+O7</f>
        <v>10</v>
      </c>
      <c r="P83" s="73"/>
      <c r="W83" s="1280" t="s">
        <v>11</v>
      </c>
      <c r="X83" s="1281"/>
      <c r="Y83" s="57">
        <f>Y5+Y6-Z78+Y7</f>
        <v>240</v>
      </c>
      <c r="Z83" s="73"/>
      <c r="AG83" s="1280" t="s">
        <v>11</v>
      </c>
      <c r="AH83" s="1281"/>
      <c r="AI83" s="57">
        <f>AI5+AI6-AJ78+AI7</f>
        <v>0</v>
      </c>
      <c r="AJ83" s="73"/>
      <c r="AQ83" s="1280" t="s">
        <v>11</v>
      </c>
      <c r="AR83" s="1281"/>
      <c r="AS83" s="57">
        <f>AS5+AS6-AT78+AS7</f>
        <v>300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workbookViewId="0">
      <selection activeCell="G27" sqref="G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78" t="s">
        <v>330</v>
      </c>
      <c r="B1" s="1278"/>
      <c r="C1" s="1278"/>
      <c r="D1" s="1278"/>
      <c r="E1" s="1278"/>
      <c r="F1" s="1278"/>
      <c r="G1" s="1278"/>
      <c r="H1" s="11">
        <v>1</v>
      </c>
      <c r="L1" s="1282" t="s">
        <v>510</v>
      </c>
      <c r="M1" s="1282"/>
      <c r="N1" s="1282"/>
      <c r="O1" s="1282"/>
      <c r="P1" s="1282"/>
      <c r="Q1" s="1282"/>
      <c r="R1" s="1282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83" t="s">
        <v>222</v>
      </c>
      <c r="B5" s="1291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14421.4</v>
      </c>
      <c r="H5" s="138">
        <f>E4+E5-G5+E6+E7</f>
        <v>4583.1000000000004</v>
      </c>
      <c r="L5" s="1283" t="s">
        <v>222</v>
      </c>
      <c r="M5" s="1291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83"/>
      <c r="B6" s="1291"/>
      <c r="C6" s="199"/>
      <c r="D6" s="149"/>
      <c r="E6" s="105"/>
      <c r="F6" s="73"/>
      <c r="L6" s="1283"/>
      <c r="M6" s="1291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5" t="s">
        <v>3</v>
      </c>
    </row>
    <row r="9" spans="1:21" ht="15.75" thickTop="1" x14ac:dyDescent="0.25">
      <c r="A9" s="73"/>
      <c r="B9" s="865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6">
        <f>H9*F9</f>
        <v>32670</v>
      </c>
      <c r="J9" s="737">
        <f>E4+E5+E6+E7-F9</f>
        <v>18351.099999999999</v>
      </c>
      <c r="L9" s="73"/>
      <c r="M9" s="865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6">
        <f>S9*Q9</f>
        <v>0</v>
      </c>
      <c r="U9" s="737">
        <f>P4+P5+P6+P7-Q9</f>
        <v>18568</v>
      </c>
    </row>
    <row r="10" spans="1:21" x14ac:dyDescent="0.25">
      <c r="B10" s="865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7">
        <f t="shared" ref="I10:I30" si="2">H10*F10</f>
        <v>33260</v>
      </c>
      <c r="J10" s="737">
        <f>J9-F10</f>
        <v>17685.899999999998</v>
      </c>
      <c r="M10" s="865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7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5">
        <f t="shared" ref="B11:B30" si="4">B10-C11</f>
        <v>596</v>
      </c>
      <c r="C11" s="820">
        <v>24</v>
      </c>
      <c r="D11" s="699">
        <v>666.4</v>
      </c>
      <c r="E11" s="857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7">
        <f t="shared" si="2"/>
        <v>33320</v>
      </c>
      <c r="J11" s="737">
        <f t="shared" ref="J11:J12" si="6">J10-F11</f>
        <v>17019.499999999996</v>
      </c>
      <c r="L11" s="55" t="s">
        <v>32</v>
      </c>
      <c r="M11" s="865">
        <f t="shared" ref="M11:M30" si="7">M10-N11</f>
        <v>620</v>
      </c>
      <c r="N11" s="820"/>
      <c r="O11" s="699"/>
      <c r="P11" s="857"/>
      <c r="Q11" s="702">
        <f t="shared" si="1"/>
        <v>0</v>
      </c>
      <c r="R11" s="700"/>
      <c r="S11" s="701"/>
      <c r="T11" s="867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5">
        <f t="shared" si="4"/>
        <v>572</v>
      </c>
      <c r="C12" s="820">
        <v>24</v>
      </c>
      <c r="D12" s="699">
        <v>601</v>
      </c>
      <c r="E12" s="857">
        <v>44875</v>
      </c>
      <c r="F12" s="702">
        <f t="shared" si="5"/>
        <v>601</v>
      </c>
      <c r="G12" s="700" t="s">
        <v>261</v>
      </c>
      <c r="H12" s="701">
        <v>50</v>
      </c>
      <c r="I12" s="867">
        <f t="shared" si="2"/>
        <v>30050</v>
      </c>
      <c r="J12" s="737">
        <f t="shared" si="6"/>
        <v>16418.499999999996</v>
      </c>
      <c r="L12" s="85"/>
      <c r="M12" s="865">
        <f t="shared" si="7"/>
        <v>620</v>
      </c>
      <c r="N12" s="820"/>
      <c r="O12" s="699"/>
      <c r="P12" s="857"/>
      <c r="Q12" s="702">
        <f t="shared" si="1"/>
        <v>0</v>
      </c>
      <c r="R12" s="700"/>
      <c r="S12" s="701"/>
      <c r="T12" s="867">
        <f t="shared" si="3"/>
        <v>0</v>
      </c>
      <c r="U12" s="737">
        <f t="shared" si="8"/>
        <v>18568</v>
      </c>
    </row>
    <row r="13" spans="1:21" x14ac:dyDescent="0.25">
      <c r="B13" s="865">
        <f t="shared" si="4"/>
        <v>548</v>
      </c>
      <c r="C13" s="820">
        <v>24</v>
      </c>
      <c r="D13" s="699">
        <v>685.1</v>
      </c>
      <c r="E13" s="857">
        <v>44877</v>
      </c>
      <c r="F13" s="702">
        <f t="shared" si="5"/>
        <v>685.1</v>
      </c>
      <c r="G13" s="700" t="s">
        <v>271</v>
      </c>
      <c r="H13" s="701">
        <v>50</v>
      </c>
      <c r="I13" s="867">
        <f t="shared" si="2"/>
        <v>34255</v>
      </c>
      <c r="J13" s="737">
        <f>J12-F13</f>
        <v>15733.399999999996</v>
      </c>
      <c r="M13" s="865">
        <f t="shared" si="7"/>
        <v>620</v>
      </c>
      <c r="N13" s="820"/>
      <c r="O13" s="699"/>
      <c r="P13" s="857"/>
      <c r="Q13" s="702">
        <f t="shared" si="1"/>
        <v>0</v>
      </c>
      <c r="R13" s="700"/>
      <c r="S13" s="701"/>
      <c r="T13" s="867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5">
        <f t="shared" si="4"/>
        <v>524</v>
      </c>
      <c r="C14" s="820">
        <v>24</v>
      </c>
      <c r="D14" s="699">
        <v>701.7</v>
      </c>
      <c r="E14" s="857">
        <v>44879</v>
      </c>
      <c r="F14" s="702">
        <f t="shared" si="5"/>
        <v>701.7</v>
      </c>
      <c r="G14" s="700" t="s">
        <v>272</v>
      </c>
      <c r="H14" s="701">
        <v>50</v>
      </c>
      <c r="I14" s="867">
        <f t="shared" si="2"/>
        <v>35085</v>
      </c>
      <c r="J14" s="737">
        <f t="shared" ref="J14:J30" si="9">J13-F14</f>
        <v>15031.699999999995</v>
      </c>
      <c r="L14" s="55" t="s">
        <v>33</v>
      </c>
      <c r="M14" s="865">
        <f t="shared" si="7"/>
        <v>620</v>
      </c>
      <c r="N14" s="820"/>
      <c r="O14" s="699"/>
      <c r="P14" s="857"/>
      <c r="Q14" s="702">
        <f t="shared" si="1"/>
        <v>0</v>
      </c>
      <c r="R14" s="700"/>
      <c r="S14" s="701"/>
      <c r="T14" s="867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5">
        <f t="shared" si="4"/>
        <v>500</v>
      </c>
      <c r="C15" s="820">
        <v>24</v>
      </c>
      <c r="D15" s="699">
        <v>739.6</v>
      </c>
      <c r="E15" s="857">
        <v>44881</v>
      </c>
      <c r="F15" s="702">
        <f t="shared" si="5"/>
        <v>739.6</v>
      </c>
      <c r="G15" s="700" t="s">
        <v>279</v>
      </c>
      <c r="H15" s="701">
        <v>50</v>
      </c>
      <c r="I15" s="867">
        <f t="shared" si="2"/>
        <v>36980</v>
      </c>
      <c r="J15" s="737">
        <f t="shared" si="9"/>
        <v>14292.099999999995</v>
      </c>
      <c r="L15" s="735"/>
      <c r="M15" s="865">
        <f t="shared" si="7"/>
        <v>620</v>
      </c>
      <c r="N15" s="820"/>
      <c r="O15" s="699"/>
      <c r="P15" s="857"/>
      <c r="Q15" s="702">
        <f t="shared" si="1"/>
        <v>0</v>
      </c>
      <c r="R15" s="700"/>
      <c r="S15" s="701"/>
      <c r="T15" s="867">
        <f t="shared" si="3"/>
        <v>0</v>
      </c>
      <c r="U15" s="737">
        <f t="shared" si="10"/>
        <v>18568</v>
      </c>
    </row>
    <row r="16" spans="1:21" ht="15.75" x14ac:dyDescent="0.25">
      <c r="A16" s="864"/>
      <c r="B16" s="865">
        <f t="shared" si="4"/>
        <v>476</v>
      </c>
      <c r="C16" s="820">
        <v>24</v>
      </c>
      <c r="D16" s="699">
        <v>688.6</v>
      </c>
      <c r="E16" s="857">
        <v>44883</v>
      </c>
      <c r="F16" s="702">
        <f t="shared" si="5"/>
        <v>688.6</v>
      </c>
      <c r="G16" s="700" t="s">
        <v>287</v>
      </c>
      <c r="H16" s="701">
        <v>50</v>
      </c>
      <c r="I16" s="867">
        <f t="shared" si="2"/>
        <v>34430</v>
      </c>
      <c r="J16" s="737">
        <f t="shared" si="9"/>
        <v>13603.499999999995</v>
      </c>
      <c r="L16" s="864"/>
      <c r="M16" s="865">
        <f t="shared" si="7"/>
        <v>620</v>
      </c>
      <c r="N16" s="820"/>
      <c r="O16" s="699"/>
      <c r="P16" s="857"/>
      <c r="Q16" s="702">
        <f t="shared" si="1"/>
        <v>0</v>
      </c>
      <c r="R16" s="700"/>
      <c r="S16" s="701"/>
      <c r="T16" s="867">
        <f t="shared" si="3"/>
        <v>0</v>
      </c>
      <c r="U16" s="737">
        <f t="shared" si="10"/>
        <v>18568</v>
      </c>
    </row>
    <row r="17" spans="1:21" ht="15.75" x14ac:dyDescent="0.25">
      <c r="A17" s="864"/>
      <c r="B17" s="865">
        <f t="shared" si="4"/>
        <v>452</v>
      </c>
      <c r="C17" s="820">
        <v>24</v>
      </c>
      <c r="D17" s="699">
        <v>712.8</v>
      </c>
      <c r="E17" s="857">
        <v>44884</v>
      </c>
      <c r="F17" s="702">
        <f t="shared" si="5"/>
        <v>712.8</v>
      </c>
      <c r="G17" s="700" t="s">
        <v>291</v>
      </c>
      <c r="H17" s="701">
        <v>50</v>
      </c>
      <c r="I17" s="867">
        <f t="shared" si="2"/>
        <v>35640</v>
      </c>
      <c r="J17" s="737">
        <f t="shared" si="9"/>
        <v>12890.699999999995</v>
      </c>
      <c r="L17" s="864"/>
      <c r="M17" s="865">
        <f t="shared" si="7"/>
        <v>620</v>
      </c>
      <c r="N17" s="820"/>
      <c r="O17" s="699"/>
      <c r="P17" s="857"/>
      <c r="Q17" s="702">
        <f t="shared" si="1"/>
        <v>0</v>
      </c>
      <c r="R17" s="700"/>
      <c r="S17" s="701"/>
      <c r="T17" s="867">
        <f t="shared" si="3"/>
        <v>0</v>
      </c>
      <c r="U17" s="737">
        <f t="shared" si="10"/>
        <v>18568</v>
      </c>
    </row>
    <row r="18" spans="1:21" ht="15.75" x14ac:dyDescent="0.25">
      <c r="A18" s="864"/>
      <c r="B18" s="865">
        <f t="shared" si="4"/>
        <v>428</v>
      </c>
      <c r="C18" s="820">
        <v>24</v>
      </c>
      <c r="D18" s="699">
        <v>714.4</v>
      </c>
      <c r="E18" s="857">
        <v>44888</v>
      </c>
      <c r="F18" s="702">
        <f t="shared" si="5"/>
        <v>714.4</v>
      </c>
      <c r="G18" s="700" t="s">
        <v>296</v>
      </c>
      <c r="H18" s="701">
        <v>50</v>
      </c>
      <c r="I18" s="867">
        <f t="shared" si="2"/>
        <v>35720</v>
      </c>
      <c r="J18" s="737">
        <f t="shared" si="9"/>
        <v>12176.299999999996</v>
      </c>
      <c r="L18" s="864"/>
      <c r="M18" s="865">
        <f t="shared" si="7"/>
        <v>620</v>
      </c>
      <c r="N18" s="820"/>
      <c r="O18" s="699"/>
      <c r="P18" s="857"/>
      <c r="Q18" s="702">
        <f t="shared" si="1"/>
        <v>0</v>
      </c>
      <c r="R18" s="700"/>
      <c r="S18" s="701"/>
      <c r="T18" s="867">
        <f t="shared" si="3"/>
        <v>0</v>
      </c>
      <c r="U18" s="737">
        <f t="shared" si="10"/>
        <v>18568</v>
      </c>
    </row>
    <row r="19" spans="1:21" x14ac:dyDescent="0.25">
      <c r="A19" s="735"/>
      <c r="B19" s="822">
        <f t="shared" si="4"/>
        <v>404</v>
      </c>
      <c r="C19" s="820">
        <v>24</v>
      </c>
      <c r="D19" s="699">
        <v>691.4</v>
      </c>
      <c r="E19" s="857">
        <v>44891</v>
      </c>
      <c r="F19" s="702">
        <f t="shared" si="5"/>
        <v>691.4</v>
      </c>
      <c r="G19" s="700" t="s">
        <v>313</v>
      </c>
      <c r="H19" s="701">
        <v>50</v>
      </c>
      <c r="I19" s="867">
        <f t="shared" si="2"/>
        <v>34570</v>
      </c>
      <c r="J19" s="823">
        <f t="shared" si="9"/>
        <v>11484.899999999996</v>
      </c>
      <c r="L19" s="735"/>
      <c r="M19" s="865">
        <f t="shared" si="7"/>
        <v>620</v>
      </c>
      <c r="N19" s="820"/>
      <c r="O19" s="699"/>
      <c r="P19" s="857"/>
      <c r="Q19" s="702">
        <f t="shared" si="1"/>
        <v>0</v>
      </c>
      <c r="R19" s="700"/>
      <c r="S19" s="701"/>
      <c r="T19" s="867">
        <f t="shared" si="3"/>
        <v>0</v>
      </c>
      <c r="U19" s="737">
        <f t="shared" si="10"/>
        <v>18568</v>
      </c>
    </row>
    <row r="20" spans="1:21" x14ac:dyDescent="0.25">
      <c r="A20" s="735"/>
      <c r="B20" s="865">
        <f t="shared" si="4"/>
        <v>380</v>
      </c>
      <c r="C20" s="820">
        <v>24</v>
      </c>
      <c r="D20" s="992">
        <v>658.4</v>
      </c>
      <c r="E20" s="993">
        <v>44893</v>
      </c>
      <c r="F20" s="994">
        <f t="shared" si="5"/>
        <v>658.4</v>
      </c>
      <c r="G20" s="995" t="s">
        <v>567</v>
      </c>
      <c r="H20" s="996">
        <v>50</v>
      </c>
      <c r="I20" s="867">
        <f t="shared" si="2"/>
        <v>32920</v>
      </c>
      <c r="J20" s="737">
        <f t="shared" si="9"/>
        <v>10826.499999999996</v>
      </c>
      <c r="L20" s="735"/>
      <c r="M20" s="865">
        <f t="shared" si="7"/>
        <v>620</v>
      </c>
      <c r="N20" s="820"/>
      <c r="O20" s="699"/>
      <c r="P20" s="857"/>
      <c r="Q20" s="702">
        <f t="shared" si="1"/>
        <v>0</v>
      </c>
      <c r="R20" s="700"/>
      <c r="S20" s="996"/>
      <c r="T20" s="867">
        <f t="shared" si="3"/>
        <v>0</v>
      </c>
      <c r="U20" s="737">
        <f t="shared" si="10"/>
        <v>18568</v>
      </c>
    </row>
    <row r="21" spans="1:21" x14ac:dyDescent="0.25">
      <c r="B21" s="865">
        <f t="shared" si="4"/>
        <v>356</v>
      </c>
      <c r="C21" s="820">
        <v>24</v>
      </c>
      <c r="D21" s="992">
        <v>708.3</v>
      </c>
      <c r="E21" s="993">
        <v>44895</v>
      </c>
      <c r="F21" s="994">
        <f t="shared" si="5"/>
        <v>708.3</v>
      </c>
      <c r="G21" s="995" t="s">
        <v>578</v>
      </c>
      <c r="H21" s="996">
        <v>50</v>
      </c>
      <c r="I21" s="867">
        <f t="shared" si="2"/>
        <v>35415</v>
      </c>
      <c r="J21" s="737">
        <f t="shared" si="9"/>
        <v>10118.199999999997</v>
      </c>
      <c r="M21" s="865">
        <f t="shared" si="7"/>
        <v>620</v>
      </c>
      <c r="N21" s="820"/>
      <c r="O21" s="699"/>
      <c r="P21" s="857"/>
      <c r="Q21" s="702">
        <f t="shared" si="1"/>
        <v>0</v>
      </c>
      <c r="R21" s="700"/>
      <c r="S21" s="996"/>
      <c r="T21" s="867">
        <f t="shared" si="3"/>
        <v>0</v>
      </c>
      <c r="U21" s="737">
        <f t="shared" si="10"/>
        <v>18568</v>
      </c>
    </row>
    <row r="22" spans="1:21" x14ac:dyDescent="0.25">
      <c r="B22" s="865">
        <f t="shared" si="4"/>
        <v>332</v>
      </c>
      <c r="C22" s="820">
        <v>24</v>
      </c>
      <c r="D22" s="992">
        <v>647.70000000000005</v>
      </c>
      <c r="E22" s="993">
        <v>44897</v>
      </c>
      <c r="F22" s="994">
        <f t="shared" si="5"/>
        <v>647.70000000000005</v>
      </c>
      <c r="G22" s="995" t="s">
        <v>597</v>
      </c>
      <c r="H22" s="996">
        <v>50</v>
      </c>
      <c r="I22" s="867">
        <f t="shared" si="2"/>
        <v>32385.000000000004</v>
      </c>
      <c r="J22" s="737">
        <f t="shared" si="9"/>
        <v>9470.4999999999964</v>
      </c>
      <c r="M22" s="865">
        <f t="shared" si="7"/>
        <v>620</v>
      </c>
      <c r="N22" s="820"/>
      <c r="O22" s="699"/>
      <c r="P22" s="857"/>
      <c r="Q22" s="702">
        <f t="shared" si="1"/>
        <v>0</v>
      </c>
      <c r="R22" s="700"/>
      <c r="S22" s="996"/>
      <c r="T22" s="867">
        <f t="shared" si="3"/>
        <v>0</v>
      </c>
      <c r="U22" s="737">
        <f t="shared" si="10"/>
        <v>18568</v>
      </c>
    </row>
    <row r="23" spans="1:21" x14ac:dyDescent="0.25">
      <c r="B23" s="865">
        <f t="shared" si="4"/>
        <v>308</v>
      </c>
      <c r="C23" s="820">
        <v>24</v>
      </c>
      <c r="D23" s="992">
        <v>680</v>
      </c>
      <c r="E23" s="993">
        <v>44900</v>
      </c>
      <c r="F23" s="994">
        <f t="shared" si="5"/>
        <v>680</v>
      </c>
      <c r="G23" s="995" t="s">
        <v>616</v>
      </c>
      <c r="H23" s="996">
        <v>50</v>
      </c>
      <c r="I23" s="867">
        <f t="shared" si="2"/>
        <v>34000</v>
      </c>
      <c r="J23" s="737">
        <f t="shared" si="9"/>
        <v>8790.4999999999964</v>
      </c>
      <c r="M23" s="865">
        <f t="shared" si="7"/>
        <v>620</v>
      </c>
      <c r="N23" s="820"/>
      <c r="O23" s="699"/>
      <c r="P23" s="857"/>
      <c r="Q23" s="702">
        <f t="shared" si="1"/>
        <v>0</v>
      </c>
      <c r="R23" s="700"/>
      <c r="S23" s="996"/>
      <c r="T23" s="867">
        <f t="shared" si="3"/>
        <v>0</v>
      </c>
      <c r="U23" s="737">
        <f t="shared" si="10"/>
        <v>18568</v>
      </c>
    </row>
    <row r="24" spans="1:21" x14ac:dyDescent="0.25">
      <c r="B24" s="865">
        <f t="shared" si="4"/>
        <v>284</v>
      </c>
      <c r="C24" s="820">
        <v>24</v>
      </c>
      <c r="D24" s="992">
        <v>751.9</v>
      </c>
      <c r="E24" s="993">
        <v>44901</v>
      </c>
      <c r="F24" s="994">
        <f t="shared" si="5"/>
        <v>751.9</v>
      </c>
      <c r="G24" s="995" t="s">
        <v>623</v>
      </c>
      <c r="H24" s="996">
        <v>50</v>
      </c>
      <c r="I24" s="867">
        <f t="shared" si="2"/>
        <v>37595</v>
      </c>
      <c r="J24" s="737">
        <f t="shared" si="9"/>
        <v>8038.5999999999967</v>
      </c>
      <c r="M24" s="865">
        <f t="shared" si="7"/>
        <v>620</v>
      </c>
      <c r="N24" s="820"/>
      <c r="O24" s="699"/>
      <c r="P24" s="857"/>
      <c r="Q24" s="702">
        <f t="shared" si="1"/>
        <v>0</v>
      </c>
      <c r="R24" s="700"/>
      <c r="S24" s="996"/>
      <c r="T24" s="867">
        <f t="shared" si="3"/>
        <v>0</v>
      </c>
      <c r="U24" s="737">
        <f t="shared" si="10"/>
        <v>18568</v>
      </c>
    </row>
    <row r="25" spans="1:21" x14ac:dyDescent="0.25">
      <c r="B25" s="865">
        <f t="shared" si="4"/>
        <v>260</v>
      </c>
      <c r="C25" s="820">
        <v>24</v>
      </c>
      <c r="D25" s="992">
        <v>624.5</v>
      </c>
      <c r="E25" s="993">
        <v>44904</v>
      </c>
      <c r="F25" s="994">
        <f t="shared" si="5"/>
        <v>624.5</v>
      </c>
      <c r="G25" s="995" t="s">
        <v>655</v>
      </c>
      <c r="H25" s="996">
        <v>50</v>
      </c>
      <c r="I25" s="867">
        <f t="shared" si="2"/>
        <v>31225</v>
      </c>
      <c r="J25" s="737">
        <f t="shared" si="9"/>
        <v>7414.0999999999967</v>
      </c>
      <c r="M25" s="865">
        <f t="shared" si="7"/>
        <v>620</v>
      </c>
      <c r="N25" s="820"/>
      <c r="O25" s="699"/>
      <c r="P25" s="857"/>
      <c r="Q25" s="702">
        <f t="shared" si="1"/>
        <v>0</v>
      </c>
      <c r="R25" s="700"/>
      <c r="S25" s="996"/>
      <c r="T25" s="867">
        <f t="shared" si="3"/>
        <v>0</v>
      </c>
      <c r="U25" s="737">
        <f t="shared" si="10"/>
        <v>18568</v>
      </c>
    </row>
    <row r="26" spans="1:21" x14ac:dyDescent="0.25">
      <c r="B26" s="865">
        <f t="shared" si="4"/>
        <v>160</v>
      </c>
      <c r="C26" s="820">
        <f>24+24+24+24+4</f>
        <v>100</v>
      </c>
      <c r="D26" s="992">
        <f>734.1+724.8+629.8+626.1+116.2</f>
        <v>2830.9999999999995</v>
      </c>
      <c r="E26" s="993">
        <v>44904</v>
      </c>
      <c r="F26" s="994">
        <f t="shared" si="5"/>
        <v>2830.9999999999995</v>
      </c>
      <c r="G26" s="995" t="s">
        <v>664</v>
      </c>
      <c r="H26" s="996">
        <v>52</v>
      </c>
      <c r="I26" s="867">
        <f t="shared" si="2"/>
        <v>147211.99999999997</v>
      </c>
      <c r="J26" s="737">
        <f t="shared" si="9"/>
        <v>4583.0999999999967</v>
      </c>
      <c r="M26" s="865">
        <f t="shared" si="7"/>
        <v>620</v>
      </c>
      <c r="N26" s="820"/>
      <c r="O26" s="699"/>
      <c r="P26" s="857"/>
      <c r="Q26" s="702">
        <f t="shared" si="1"/>
        <v>0</v>
      </c>
      <c r="R26" s="700"/>
      <c r="S26" s="996"/>
      <c r="T26" s="867">
        <f t="shared" si="3"/>
        <v>0</v>
      </c>
      <c r="U26" s="737">
        <f t="shared" si="10"/>
        <v>18568</v>
      </c>
    </row>
    <row r="27" spans="1:21" x14ac:dyDescent="0.25">
      <c r="B27" s="865">
        <f t="shared" si="4"/>
        <v>160</v>
      </c>
      <c r="C27" s="820"/>
      <c r="D27" s="992"/>
      <c r="E27" s="993"/>
      <c r="F27" s="994">
        <f t="shared" si="5"/>
        <v>0</v>
      </c>
      <c r="G27" s="995"/>
      <c r="H27" s="996"/>
      <c r="I27" s="867">
        <f t="shared" si="2"/>
        <v>0</v>
      </c>
      <c r="J27" s="737">
        <f t="shared" si="9"/>
        <v>4583.0999999999967</v>
      </c>
      <c r="M27" s="865">
        <f t="shared" si="7"/>
        <v>620</v>
      </c>
      <c r="N27" s="820"/>
      <c r="O27" s="699"/>
      <c r="P27" s="857"/>
      <c r="Q27" s="702">
        <f t="shared" si="1"/>
        <v>0</v>
      </c>
      <c r="R27" s="700"/>
      <c r="S27" s="996"/>
      <c r="T27" s="867">
        <f t="shared" si="3"/>
        <v>0</v>
      </c>
      <c r="U27" s="737">
        <f t="shared" si="10"/>
        <v>18568</v>
      </c>
    </row>
    <row r="28" spans="1:21" x14ac:dyDescent="0.25">
      <c r="B28" s="865">
        <f t="shared" si="4"/>
        <v>160</v>
      </c>
      <c r="C28" s="820"/>
      <c r="D28" s="994"/>
      <c r="E28" s="993"/>
      <c r="F28" s="994">
        <f t="shared" si="5"/>
        <v>0</v>
      </c>
      <c r="G28" s="995"/>
      <c r="H28" s="996"/>
      <c r="I28" s="867">
        <f t="shared" si="2"/>
        <v>0</v>
      </c>
      <c r="J28" s="737">
        <f t="shared" si="9"/>
        <v>4583.0999999999967</v>
      </c>
      <c r="M28" s="865">
        <f t="shared" si="7"/>
        <v>620</v>
      </c>
      <c r="N28" s="820"/>
      <c r="O28" s="702"/>
      <c r="P28" s="857"/>
      <c r="Q28" s="702">
        <f t="shared" si="1"/>
        <v>0</v>
      </c>
      <c r="R28" s="700"/>
      <c r="S28" s="996"/>
      <c r="T28" s="867">
        <f t="shared" si="3"/>
        <v>0</v>
      </c>
      <c r="U28" s="737">
        <f t="shared" si="10"/>
        <v>18568</v>
      </c>
    </row>
    <row r="29" spans="1:21" ht="15.75" thickBot="1" x14ac:dyDescent="0.3">
      <c r="B29" s="865">
        <f t="shared" si="4"/>
        <v>160</v>
      </c>
      <c r="C29" s="820"/>
      <c r="D29" s="994"/>
      <c r="E29" s="993"/>
      <c r="F29" s="994">
        <f t="shared" si="5"/>
        <v>0</v>
      </c>
      <c r="G29" s="995"/>
      <c r="H29" s="996"/>
      <c r="I29" s="868">
        <f t="shared" si="2"/>
        <v>0</v>
      </c>
      <c r="J29" s="737">
        <f t="shared" si="9"/>
        <v>4583.0999999999967</v>
      </c>
      <c r="M29" s="865">
        <f t="shared" si="7"/>
        <v>620</v>
      </c>
      <c r="N29" s="820"/>
      <c r="O29" s="702"/>
      <c r="P29" s="857"/>
      <c r="Q29" s="702">
        <f t="shared" si="1"/>
        <v>0</v>
      </c>
      <c r="R29" s="700"/>
      <c r="S29" s="996"/>
      <c r="T29" s="868">
        <f t="shared" si="3"/>
        <v>0</v>
      </c>
      <c r="U29" s="737">
        <f t="shared" si="10"/>
        <v>18568</v>
      </c>
    </row>
    <row r="30" spans="1:21" ht="15.75" thickBot="1" x14ac:dyDescent="0.3">
      <c r="B30" s="865">
        <f t="shared" si="4"/>
        <v>160</v>
      </c>
      <c r="C30" s="869"/>
      <c r="D30" s="1007">
        <f t="shared" ref="D30" si="11">C30*B30</f>
        <v>0</v>
      </c>
      <c r="E30" s="1008"/>
      <c r="F30" s="1007">
        <f t="shared" si="5"/>
        <v>0</v>
      </c>
      <c r="G30" s="1009"/>
      <c r="H30" s="1010"/>
      <c r="I30" s="870">
        <f t="shared" si="2"/>
        <v>0</v>
      </c>
      <c r="J30" s="737">
        <f t="shared" si="9"/>
        <v>4583.0999999999967</v>
      </c>
      <c r="M30" s="865">
        <f t="shared" si="7"/>
        <v>620</v>
      </c>
      <c r="N30" s="869"/>
      <c r="O30" s="1132">
        <f t="shared" ref="O30" si="12">N30*M30</f>
        <v>0</v>
      </c>
      <c r="P30" s="1133"/>
      <c r="Q30" s="1132">
        <f t="shared" si="1"/>
        <v>0</v>
      </c>
      <c r="R30" s="1134"/>
      <c r="S30" s="1010"/>
      <c r="T30" s="870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0">
        <f>SUM(C9:C30)</f>
        <v>508</v>
      </c>
      <c r="D31" s="871">
        <f>SUM(D9:D30)</f>
        <v>14421.4</v>
      </c>
      <c r="E31" s="872"/>
      <c r="F31" s="702">
        <f>SUM(F9:F30)</f>
        <v>14421.4</v>
      </c>
      <c r="G31" s="873"/>
      <c r="H31" s="870"/>
      <c r="I31" s="874">
        <f>SUM(I9:I30)</f>
        <v>726732</v>
      </c>
      <c r="J31" s="735"/>
      <c r="M31" s="735"/>
      <c r="N31" s="820">
        <f>SUM(N9:N30)</f>
        <v>0</v>
      </c>
      <c r="O31" s="871">
        <f>SUM(O9:O30)</f>
        <v>0</v>
      </c>
      <c r="P31" s="872"/>
      <c r="Q31" s="702">
        <f>SUM(Q9:Q30)</f>
        <v>0</v>
      </c>
      <c r="R31" s="873"/>
      <c r="S31" s="870"/>
      <c r="T31" s="874">
        <f>SUM(T9:T30)</f>
        <v>0</v>
      </c>
      <c r="U31" s="735"/>
    </row>
    <row r="32" spans="1:21" ht="15.75" thickBot="1" x14ac:dyDescent="0.3">
      <c r="B32" s="735"/>
      <c r="C32" s="820"/>
      <c r="D32" s="875"/>
      <c r="E32" s="872"/>
      <c r="F32" s="875"/>
      <c r="G32" s="873"/>
      <c r="H32" s="870"/>
      <c r="I32" s="735"/>
      <c r="J32" s="735"/>
      <c r="M32" s="735"/>
      <c r="N32" s="820"/>
      <c r="O32" s="875"/>
      <c r="P32" s="872"/>
      <c r="Q32" s="875"/>
      <c r="R32" s="873"/>
      <c r="S32" s="870"/>
      <c r="T32" s="735"/>
      <c r="U32" s="735"/>
    </row>
    <row r="33" spans="2:21" x14ac:dyDescent="0.25">
      <c r="B33" s="735"/>
      <c r="C33" s="876" t="s">
        <v>4</v>
      </c>
      <c r="D33" s="877">
        <f>F4+F5+F6+F7-C31</f>
        <v>160</v>
      </c>
      <c r="E33" s="878"/>
      <c r="F33" s="875"/>
      <c r="G33" s="873"/>
      <c r="H33" s="870"/>
      <c r="I33" s="735"/>
      <c r="J33" s="735"/>
      <c r="M33" s="735"/>
      <c r="N33" s="876" t="s">
        <v>4</v>
      </c>
      <c r="O33" s="877">
        <f>Q4+Q5+Q6+Q7-N31</f>
        <v>620</v>
      </c>
      <c r="P33" s="878"/>
      <c r="Q33" s="875"/>
      <c r="R33" s="873"/>
      <c r="S33" s="870"/>
      <c r="T33" s="735"/>
      <c r="U33" s="735"/>
    </row>
    <row r="34" spans="2:21" x14ac:dyDescent="0.25">
      <c r="B34" s="735"/>
      <c r="C34" s="1330" t="s">
        <v>19</v>
      </c>
      <c r="D34" s="1331"/>
      <c r="E34" s="879">
        <f>E4+E5+E6+E7-F31</f>
        <v>4583.1000000000004</v>
      </c>
      <c r="F34" s="875"/>
      <c r="G34" s="875"/>
      <c r="H34" s="870"/>
      <c r="I34" s="735"/>
      <c r="J34" s="735"/>
      <c r="M34" s="735"/>
      <c r="N34" s="1330" t="s">
        <v>19</v>
      </c>
      <c r="O34" s="1331"/>
      <c r="P34" s="879">
        <f>P4+P5+P6+P7-Q31</f>
        <v>18568</v>
      </c>
      <c r="Q34" s="875"/>
      <c r="R34" s="875"/>
      <c r="S34" s="870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10" activePane="bottomRight" state="frozen"/>
      <selection activeCell="J1" sqref="J1"/>
      <selection pane="topRight" activeCell="L1" sqref="L1"/>
      <selection pane="bottomLeft" activeCell="J10" sqref="J10"/>
      <selection pane="bottomRight" activeCell="Y20" sqref="Y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34" t="s">
        <v>331</v>
      </c>
      <c r="B1" s="1334"/>
      <c r="C1" s="1334"/>
      <c r="D1" s="1334"/>
      <c r="E1" s="1334"/>
      <c r="F1" s="1334"/>
      <c r="G1" s="1334"/>
      <c r="H1" s="1334"/>
      <c r="I1" s="1334"/>
      <c r="J1" s="99">
        <v>1</v>
      </c>
      <c r="L1" s="1334" t="str">
        <f>A1</f>
        <v>INVENTARIO      DEL MES DE   NOVIEMBRE       2022</v>
      </c>
      <c r="M1" s="1334"/>
      <c r="N1" s="1334"/>
      <c r="O1" s="1334"/>
      <c r="P1" s="1334"/>
      <c r="Q1" s="1334"/>
      <c r="R1" s="1334"/>
      <c r="S1" s="1334"/>
      <c r="T1" s="1334"/>
      <c r="U1" s="99">
        <v>2</v>
      </c>
      <c r="W1" s="1334" t="str">
        <f>L1</f>
        <v>INVENTARIO      DEL MES DE   NOVIEMBRE       2022</v>
      </c>
      <c r="X1" s="1334"/>
      <c r="Y1" s="1334"/>
      <c r="Z1" s="1334"/>
      <c r="AA1" s="1334"/>
      <c r="AB1" s="1334"/>
      <c r="AC1" s="1334"/>
      <c r="AD1" s="1334"/>
      <c r="AE1" s="133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5">
        <v>1299.74</v>
      </c>
      <c r="Q4" s="856">
        <v>48</v>
      </c>
      <c r="R4" s="73"/>
      <c r="W4" s="887"/>
      <c r="X4" s="735"/>
      <c r="Y4" s="883"/>
      <c r="Z4" s="884"/>
      <c r="AA4" s="885"/>
      <c r="AB4" s="886"/>
      <c r="AC4" s="73"/>
    </row>
    <row r="5" spans="1:32" ht="15" customHeight="1" x14ac:dyDescent="0.25">
      <c r="A5" s="1336" t="s">
        <v>52</v>
      </c>
      <c r="B5" s="1337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7017.9</v>
      </c>
      <c r="H5" s="58">
        <f>E4+E5+E6-G5+E7</f>
        <v>7.276401703393276E-13</v>
      </c>
      <c r="L5" s="1336" t="s">
        <v>52</v>
      </c>
      <c r="M5" s="1337" t="s">
        <v>87</v>
      </c>
      <c r="N5" s="236"/>
      <c r="O5" s="336"/>
      <c r="P5" s="255">
        <v>116.67</v>
      </c>
      <c r="Q5" s="241">
        <v>9</v>
      </c>
      <c r="R5" s="147">
        <f>Q102</f>
        <v>1416.4099999999999</v>
      </c>
      <c r="S5" s="58">
        <f>P4+P5+P6-R5+P7</f>
        <v>2.2737367544323206E-13</v>
      </c>
      <c r="W5" s="1335" t="s">
        <v>222</v>
      </c>
      <c r="X5" s="1338" t="s">
        <v>87</v>
      </c>
      <c r="Y5" s="883">
        <v>62.51</v>
      </c>
      <c r="Z5" s="884">
        <v>44867</v>
      </c>
      <c r="AA5" s="885">
        <v>18564</v>
      </c>
      <c r="AB5" s="886">
        <v>922</v>
      </c>
      <c r="AC5" s="147">
        <f>AB102</f>
        <v>4059.2</v>
      </c>
      <c r="AD5" s="58">
        <f>AA4+AA5+AA6-AC5+AA7+AA8</f>
        <v>14504.8</v>
      </c>
    </row>
    <row r="6" spans="1:32" ht="16.5" customHeight="1" x14ac:dyDescent="0.25">
      <c r="A6" s="1336"/>
      <c r="B6" s="1291"/>
      <c r="C6" s="236">
        <v>85</v>
      </c>
      <c r="D6" s="336">
        <v>44764</v>
      </c>
      <c r="E6" s="255">
        <v>4005.63</v>
      </c>
      <c r="F6" s="241">
        <v>160</v>
      </c>
      <c r="G6" s="73"/>
      <c r="L6" s="1336"/>
      <c r="M6" s="1291"/>
      <c r="N6" s="236"/>
      <c r="O6" s="336"/>
      <c r="P6" s="255"/>
      <c r="Q6" s="241"/>
      <c r="R6" s="73"/>
      <c r="W6" s="1335"/>
      <c r="X6" s="1339"/>
      <c r="Y6" s="883"/>
      <c r="Z6" s="884"/>
      <c r="AA6" s="885"/>
      <c r="AB6" s="886"/>
      <c r="AC6" s="73"/>
    </row>
    <row r="7" spans="1:32" ht="15.75" customHeight="1" thickBot="1" x14ac:dyDescent="0.35">
      <c r="A7" s="1336"/>
      <c r="B7" s="1291"/>
      <c r="C7" s="236"/>
      <c r="D7" s="336"/>
      <c r="E7" s="255">
        <v>1.05</v>
      </c>
      <c r="F7" s="1370"/>
      <c r="G7" s="1371"/>
      <c r="H7" s="674"/>
      <c r="I7" s="372"/>
      <c r="J7" s="372"/>
      <c r="L7" s="1336"/>
      <c r="M7" s="1291"/>
      <c r="N7" s="236"/>
      <c r="O7" s="336"/>
      <c r="P7" s="255"/>
      <c r="Q7" s="241"/>
      <c r="R7" s="73"/>
      <c r="T7" s="372"/>
      <c r="U7" s="372"/>
      <c r="W7" s="1335"/>
      <c r="X7" s="1340"/>
      <c r="Y7" s="883"/>
      <c r="Z7" s="884"/>
      <c r="AA7" s="885"/>
      <c r="AB7" s="88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1372"/>
      <c r="G8" s="1371"/>
      <c r="H8" s="674"/>
      <c r="I8" s="1325" t="s">
        <v>47</v>
      </c>
      <c r="J8" s="1332" t="s">
        <v>4</v>
      </c>
      <c r="M8" s="413"/>
      <c r="N8" s="236"/>
      <c r="O8" s="336"/>
      <c r="P8" s="239"/>
      <c r="Q8" s="240"/>
      <c r="R8" s="73"/>
      <c r="T8" s="1325" t="s">
        <v>47</v>
      </c>
      <c r="U8" s="1332" t="s">
        <v>4</v>
      </c>
      <c r="W8" s="3"/>
      <c r="X8" s="413"/>
      <c r="Y8" s="236"/>
      <c r="Z8" s="336"/>
      <c r="AA8" s="239"/>
      <c r="AB8" s="240"/>
      <c r="AC8" s="73"/>
      <c r="AE8" s="1325" t="s">
        <v>47</v>
      </c>
      <c r="AF8" s="133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6"/>
      <c r="J9" s="133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26"/>
      <c r="U9" s="133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26"/>
      <c r="AF9" s="133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5">
        <v>44893</v>
      </c>
      <c r="Q10" s="69">
        <f>O10</f>
        <v>347.77</v>
      </c>
      <c r="R10" s="70" t="s">
        <v>570</v>
      </c>
      <c r="S10" s="71">
        <v>84</v>
      </c>
      <c r="T10" s="836">
        <f>P4+P5+P6-Q10+P7+P8</f>
        <v>1068.6400000000001</v>
      </c>
      <c r="U10" s="837">
        <f>Q4+Q5+Q6+Q7-N10+Q8</f>
        <v>44</v>
      </c>
      <c r="W10" s="2"/>
      <c r="X10" s="83"/>
      <c r="Y10" s="15">
        <v>4</v>
      </c>
      <c r="Z10" s="151">
        <v>72.099999999999994</v>
      </c>
      <c r="AA10" s="245">
        <v>44902</v>
      </c>
      <c r="AB10" s="69">
        <f>Z10</f>
        <v>72.099999999999994</v>
      </c>
      <c r="AC10" s="70" t="s">
        <v>632</v>
      </c>
      <c r="AD10" s="71">
        <v>85</v>
      </c>
      <c r="AE10" s="836">
        <f>AA4+AA5+AA6-AB10+AA7+AA8</f>
        <v>18491.900000000001</v>
      </c>
      <c r="AF10" s="837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6">
        <v>44894</v>
      </c>
      <c r="Q11" s="69">
        <f>O11</f>
        <v>101.99</v>
      </c>
      <c r="R11" s="70" t="s">
        <v>573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6">
        <v>44902</v>
      </c>
      <c r="AB11" s="69">
        <f>Z11</f>
        <v>189</v>
      </c>
      <c r="AC11" s="70" t="s">
        <v>635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5">
        <v>44894</v>
      </c>
      <c r="Q12" s="69">
        <f>O12</f>
        <v>23.41</v>
      </c>
      <c r="R12" s="70" t="s">
        <v>574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5">
        <v>44902</v>
      </c>
      <c r="AB12" s="69">
        <f>Z12</f>
        <v>101</v>
      </c>
      <c r="AC12" s="70" t="s">
        <v>638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3">
        <v>44897</v>
      </c>
      <c r="Q13" s="69">
        <f t="shared" ref="Q13:Q101" si="7">O13</f>
        <v>182.56</v>
      </c>
      <c r="R13" s="70" t="s">
        <v>597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3">
        <v>44903</v>
      </c>
      <c r="AB13" s="69">
        <f t="shared" ref="AB13:AB68" si="8">Z13</f>
        <v>18.8</v>
      </c>
      <c r="AC13" s="70" t="s">
        <v>643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3">
        <v>44898</v>
      </c>
      <c r="Q14" s="69">
        <f t="shared" si="7"/>
        <v>363.78</v>
      </c>
      <c r="R14" s="70" t="s">
        <v>606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3">
        <v>44903</v>
      </c>
      <c r="AB14" s="69">
        <f t="shared" si="8"/>
        <v>213.9</v>
      </c>
      <c r="AC14" s="70" t="s">
        <v>648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3">
        <v>44898</v>
      </c>
      <c r="Q15" s="69">
        <f t="shared" si="7"/>
        <v>99.81</v>
      </c>
      <c r="R15" s="70" t="s">
        <v>609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3">
        <v>44903</v>
      </c>
      <c r="AB15" s="69">
        <f t="shared" si="8"/>
        <v>693.3</v>
      </c>
      <c r="AC15" s="70" t="s">
        <v>651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5">
        <v>44901</v>
      </c>
      <c r="Q16" s="69">
        <f t="shared" si="7"/>
        <v>155.22</v>
      </c>
      <c r="R16" s="70" t="s">
        <v>626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5">
        <v>44904</v>
      </c>
      <c r="AB16" s="69">
        <f t="shared" si="8"/>
        <v>343.1</v>
      </c>
      <c r="AC16" s="70" t="s">
        <v>655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3">
        <v>44902</v>
      </c>
      <c r="Q17" s="69">
        <f t="shared" si="7"/>
        <v>141.87</v>
      </c>
      <c r="R17" s="70" t="s">
        <v>632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3">
        <v>44904</v>
      </c>
      <c r="AB17" s="69">
        <f t="shared" si="8"/>
        <v>710</v>
      </c>
      <c r="AC17" s="70" t="s">
        <v>659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3">
        <v>44904</v>
      </c>
      <c r="AB18" s="69">
        <f t="shared" si="8"/>
        <v>1406.4</v>
      </c>
      <c r="AC18" s="407" t="s">
        <v>666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3">
        <v>44905</v>
      </c>
      <c r="AB19" s="69">
        <f t="shared" si="8"/>
        <v>311.60000000000002</v>
      </c>
      <c r="AC19" s="70" t="s">
        <v>672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14504.800000000003</v>
      </c>
      <c r="AF20" s="127">
        <f t="shared" si="5"/>
        <v>719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14504.800000000003</v>
      </c>
      <c r="AF21" s="127">
        <f t="shared" si="5"/>
        <v>719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14504.800000000003</v>
      </c>
      <c r="AF22" s="127">
        <f t="shared" si="5"/>
        <v>719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14504.800000000003</v>
      </c>
      <c r="AF23" s="127">
        <f t="shared" si="5"/>
        <v>719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14504.800000000003</v>
      </c>
      <c r="AF24" s="127">
        <f t="shared" si="5"/>
        <v>719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14504.800000000003</v>
      </c>
      <c r="AF25" s="127">
        <f t="shared" si="5"/>
        <v>719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14504.800000000003</v>
      </c>
      <c r="AF26" s="127">
        <f t="shared" si="5"/>
        <v>719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14504.800000000003</v>
      </c>
      <c r="AF27" s="127">
        <f t="shared" si="5"/>
        <v>719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14504.800000000003</v>
      </c>
      <c r="AF28" s="127">
        <f t="shared" si="5"/>
        <v>719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14504.800000000003</v>
      </c>
      <c r="AF29" s="127">
        <f t="shared" si="5"/>
        <v>719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14504.800000000003</v>
      </c>
      <c r="AF30" s="127">
        <f t="shared" si="5"/>
        <v>719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14504.800000000003</v>
      </c>
      <c r="AF31" s="127">
        <f t="shared" si="5"/>
        <v>719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14504.800000000003</v>
      </c>
      <c r="AF32" s="127">
        <f t="shared" si="5"/>
        <v>719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14504.800000000003</v>
      </c>
      <c r="AF33" s="127">
        <f t="shared" si="5"/>
        <v>719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14504.800000000003</v>
      </c>
      <c r="AF34" s="127">
        <f t="shared" si="5"/>
        <v>719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14504.800000000003</v>
      </c>
      <c r="AF35" s="127">
        <f t="shared" si="5"/>
        <v>719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14504.800000000003</v>
      </c>
      <c r="AF36" s="127">
        <f t="shared" si="5"/>
        <v>719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14504.800000000003</v>
      </c>
      <c r="AF37" s="127">
        <f t="shared" si="5"/>
        <v>719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14504.800000000003</v>
      </c>
      <c r="AF38" s="127">
        <f t="shared" si="5"/>
        <v>719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14504.800000000003</v>
      </c>
      <c r="AF39" s="127">
        <f t="shared" si="5"/>
        <v>719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14504.800000000003</v>
      </c>
      <c r="AF40" s="127">
        <f t="shared" si="5"/>
        <v>719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14504.800000000003</v>
      </c>
      <c r="AF41" s="127">
        <f t="shared" si="5"/>
        <v>719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14504.800000000003</v>
      </c>
      <c r="AF42" s="127">
        <f t="shared" si="5"/>
        <v>719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14504.800000000003</v>
      </c>
      <c r="AF43" s="127">
        <f t="shared" si="5"/>
        <v>719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14504.800000000003</v>
      </c>
      <c r="AF44" s="127">
        <f t="shared" si="5"/>
        <v>719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14504.800000000003</v>
      </c>
      <c r="AF45" s="127">
        <f t="shared" si="5"/>
        <v>719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14504.800000000003</v>
      </c>
      <c r="AF46" s="127">
        <f t="shared" si="5"/>
        <v>719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14504.800000000003</v>
      </c>
      <c r="AF47" s="127">
        <f t="shared" si="5"/>
        <v>719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14504.800000000003</v>
      </c>
      <c r="AF48" s="127">
        <f t="shared" si="5"/>
        <v>719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14504.800000000003</v>
      </c>
      <c r="AF49" s="127">
        <f t="shared" si="5"/>
        <v>719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14504.800000000003</v>
      </c>
      <c r="AF50" s="127">
        <f t="shared" si="5"/>
        <v>719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14504.800000000003</v>
      </c>
      <c r="AF51" s="127">
        <f t="shared" si="5"/>
        <v>719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14504.800000000003</v>
      </c>
      <c r="AF52" s="127">
        <f t="shared" si="5"/>
        <v>719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14504.800000000003</v>
      </c>
      <c r="AF53" s="127">
        <f t="shared" si="5"/>
        <v>719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14504.800000000003</v>
      </c>
      <c r="AF54" s="127">
        <f t="shared" si="5"/>
        <v>719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14504.800000000003</v>
      </c>
      <c r="AF55" s="127">
        <f t="shared" si="5"/>
        <v>719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14504.800000000003</v>
      </c>
      <c r="AF56" s="127">
        <f t="shared" si="5"/>
        <v>719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14504.800000000003</v>
      </c>
      <c r="AF57" s="127">
        <f t="shared" si="5"/>
        <v>719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14504.800000000003</v>
      </c>
      <c r="AF58" s="127">
        <f t="shared" si="5"/>
        <v>719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14504.800000000003</v>
      </c>
      <c r="AF59" s="127">
        <f t="shared" si="5"/>
        <v>719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14504.800000000003</v>
      </c>
      <c r="AF60" s="127">
        <f t="shared" si="5"/>
        <v>719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14504.800000000003</v>
      </c>
      <c r="AF61" s="127">
        <f t="shared" si="5"/>
        <v>719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14504.800000000003</v>
      </c>
      <c r="AF62" s="127">
        <f t="shared" si="5"/>
        <v>719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14504.800000000003</v>
      </c>
      <c r="AF63" s="127">
        <f t="shared" si="5"/>
        <v>719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14504.800000000003</v>
      </c>
      <c r="AF64" s="127">
        <f t="shared" si="5"/>
        <v>719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14504.800000000003</v>
      </c>
      <c r="AF65" s="127">
        <f t="shared" si="5"/>
        <v>719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14504.800000000003</v>
      </c>
      <c r="AF66" s="127">
        <f t="shared" si="5"/>
        <v>719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14504.800000000003</v>
      </c>
      <c r="AF67" s="127">
        <f t="shared" si="5"/>
        <v>719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14504.800000000003</v>
      </c>
      <c r="AF68" s="127">
        <f t="shared" si="5"/>
        <v>719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14504.800000000003</v>
      </c>
      <c r="AF69" s="127">
        <f t="shared" ref="AF69:AF91" si="17">AF68-Y69</f>
        <v>719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14504.800000000003</v>
      </c>
      <c r="AF70" s="127">
        <f t="shared" si="17"/>
        <v>719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14504.800000000003</v>
      </c>
      <c r="AF71" s="127">
        <f t="shared" si="17"/>
        <v>719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14504.800000000003</v>
      </c>
      <c r="AF72" s="127">
        <f t="shared" si="17"/>
        <v>719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14504.800000000003</v>
      </c>
      <c r="AF73" s="127">
        <f t="shared" si="17"/>
        <v>719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14504.800000000003</v>
      </c>
      <c r="AF74" s="127">
        <f t="shared" si="17"/>
        <v>719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6">
        <f t="shared" si="11"/>
        <v>1819.0800000000013</v>
      </c>
      <c r="J75" s="837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14504.800000000003</v>
      </c>
      <c r="AF75" s="127">
        <f t="shared" si="17"/>
        <v>719</v>
      </c>
    </row>
    <row r="76" spans="1:32" x14ac:dyDescent="0.25">
      <c r="A76" s="2"/>
      <c r="B76" s="83"/>
      <c r="C76" s="15">
        <v>7</v>
      </c>
      <c r="D76" s="944">
        <v>160.03</v>
      </c>
      <c r="E76" s="850">
        <v>44866</v>
      </c>
      <c r="F76" s="838">
        <f t="shared" si="6"/>
        <v>160.03</v>
      </c>
      <c r="G76" s="840" t="s">
        <v>236</v>
      </c>
      <c r="H76" s="84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14504.800000000003</v>
      </c>
      <c r="AF76" s="127">
        <f t="shared" si="17"/>
        <v>719</v>
      </c>
    </row>
    <row r="77" spans="1:32" x14ac:dyDescent="0.25">
      <c r="A77" s="2"/>
      <c r="B77" s="83"/>
      <c r="C77" s="15">
        <v>4</v>
      </c>
      <c r="D77" s="944">
        <v>106.31</v>
      </c>
      <c r="E77" s="850">
        <v>44867</v>
      </c>
      <c r="F77" s="838">
        <f t="shared" si="6"/>
        <v>106.31</v>
      </c>
      <c r="G77" s="840" t="s">
        <v>237</v>
      </c>
      <c r="H77" s="84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14504.800000000003</v>
      </c>
      <c r="AF77" s="127">
        <f t="shared" si="17"/>
        <v>719</v>
      </c>
    </row>
    <row r="78" spans="1:32" x14ac:dyDescent="0.25">
      <c r="A78" s="2"/>
      <c r="B78" s="83"/>
      <c r="C78" s="15">
        <v>8</v>
      </c>
      <c r="D78" s="944">
        <v>204.06</v>
      </c>
      <c r="E78" s="850">
        <v>44869</v>
      </c>
      <c r="F78" s="838">
        <f t="shared" si="6"/>
        <v>204.06</v>
      </c>
      <c r="G78" s="840" t="s">
        <v>242</v>
      </c>
      <c r="H78" s="84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14504.800000000003</v>
      </c>
      <c r="AF78" s="127">
        <f t="shared" si="17"/>
        <v>719</v>
      </c>
    </row>
    <row r="79" spans="1:32" x14ac:dyDescent="0.25">
      <c r="A79" s="2"/>
      <c r="B79" s="83"/>
      <c r="C79" s="15">
        <v>5</v>
      </c>
      <c r="D79" s="944">
        <v>127.98</v>
      </c>
      <c r="E79" s="850">
        <v>44874</v>
      </c>
      <c r="F79" s="838">
        <f t="shared" si="6"/>
        <v>127.98</v>
      </c>
      <c r="G79" s="840" t="s">
        <v>255</v>
      </c>
      <c r="H79" s="84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14504.800000000003</v>
      </c>
      <c r="AF79" s="127">
        <f t="shared" si="17"/>
        <v>719</v>
      </c>
    </row>
    <row r="80" spans="1:32" x14ac:dyDescent="0.25">
      <c r="A80" s="2"/>
      <c r="B80" s="83"/>
      <c r="C80" s="15">
        <v>1</v>
      </c>
      <c r="D80" s="944">
        <v>26.52</v>
      </c>
      <c r="E80" s="850">
        <v>44875</v>
      </c>
      <c r="F80" s="838">
        <f t="shared" si="6"/>
        <v>26.52</v>
      </c>
      <c r="G80" s="840" t="s">
        <v>259</v>
      </c>
      <c r="H80" s="84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14504.800000000003</v>
      </c>
      <c r="AF80" s="127">
        <f t="shared" si="17"/>
        <v>719</v>
      </c>
    </row>
    <row r="81" spans="1:32" x14ac:dyDescent="0.25">
      <c r="A81" s="2"/>
      <c r="B81" s="83"/>
      <c r="C81" s="15">
        <v>1</v>
      </c>
      <c r="D81" s="944">
        <v>19.899999999999999</v>
      </c>
      <c r="E81" s="850">
        <v>44875</v>
      </c>
      <c r="F81" s="838">
        <f t="shared" si="6"/>
        <v>19.899999999999999</v>
      </c>
      <c r="G81" s="840" t="s">
        <v>260</v>
      </c>
      <c r="H81" s="84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14504.800000000003</v>
      </c>
      <c r="AF81" s="127">
        <f t="shared" si="17"/>
        <v>719</v>
      </c>
    </row>
    <row r="82" spans="1:32" x14ac:dyDescent="0.25">
      <c r="A82" s="2"/>
      <c r="B82" s="83"/>
      <c r="C82" s="15">
        <v>2</v>
      </c>
      <c r="D82" s="944">
        <v>50.72</v>
      </c>
      <c r="E82" s="850">
        <v>44877</v>
      </c>
      <c r="F82" s="838">
        <f t="shared" si="6"/>
        <v>50.72</v>
      </c>
      <c r="G82" s="840" t="s">
        <v>267</v>
      </c>
      <c r="H82" s="84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14504.800000000003</v>
      </c>
      <c r="AF82" s="127">
        <f t="shared" si="17"/>
        <v>719</v>
      </c>
    </row>
    <row r="83" spans="1:32" x14ac:dyDescent="0.25">
      <c r="A83" s="2"/>
      <c r="B83" s="83"/>
      <c r="C83" s="15">
        <v>4</v>
      </c>
      <c r="D83" s="944">
        <v>108.24</v>
      </c>
      <c r="E83" s="850">
        <v>44877</v>
      </c>
      <c r="F83" s="838">
        <f t="shared" si="6"/>
        <v>108.24</v>
      </c>
      <c r="G83" s="840" t="s">
        <v>270</v>
      </c>
      <c r="H83" s="84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14504.800000000003</v>
      </c>
      <c r="AF83" s="127">
        <f t="shared" si="17"/>
        <v>719</v>
      </c>
    </row>
    <row r="84" spans="1:32" x14ac:dyDescent="0.25">
      <c r="A84" s="2"/>
      <c r="B84" s="83"/>
      <c r="C84" s="15">
        <v>4</v>
      </c>
      <c r="D84" s="944">
        <v>105.45</v>
      </c>
      <c r="E84" s="850">
        <v>44880</v>
      </c>
      <c r="F84" s="838">
        <f t="shared" si="6"/>
        <v>105.45</v>
      </c>
      <c r="G84" s="840" t="s">
        <v>278</v>
      </c>
      <c r="H84" s="84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14504.800000000003</v>
      </c>
      <c r="AF84" s="127">
        <f t="shared" si="17"/>
        <v>719</v>
      </c>
    </row>
    <row r="85" spans="1:32" x14ac:dyDescent="0.25">
      <c r="A85" s="2"/>
      <c r="B85" s="83"/>
      <c r="C85" s="15">
        <v>3</v>
      </c>
      <c r="D85" s="944">
        <v>79.87</v>
      </c>
      <c r="E85" s="850">
        <v>44881</v>
      </c>
      <c r="F85" s="838">
        <f t="shared" si="6"/>
        <v>79.87</v>
      </c>
      <c r="G85" s="840" t="s">
        <v>280</v>
      </c>
      <c r="H85" s="84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14504.800000000003</v>
      </c>
      <c r="AF85" s="127">
        <f t="shared" si="17"/>
        <v>719</v>
      </c>
    </row>
    <row r="86" spans="1:32" x14ac:dyDescent="0.25">
      <c r="A86" s="2"/>
      <c r="B86" s="83"/>
      <c r="C86" s="15">
        <v>2</v>
      </c>
      <c r="D86" s="944">
        <v>54.7</v>
      </c>
      <c r="E86" s="850">
        <v>44883</v>
      </c>
      <c r="F86" s="838">
        <f t="shared" si="6"/>
        <v>54.7</v>
      </c>
      <c r="G86" s="840" t="s">
        <v>286</v>
      </c>
      <c r="H86" s="84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14504.800000000003</v>
      </c>
      <c r="AF86" s="127">
        <f t="shared" si="17"/>
        <v>719</v>
      </c>
    </row>
    <row r="87" spans="1:32" x14ac:dyDescent="0.25">
      <c r="A87" s="2"/>
      <c r="B87" s="83"/>
      <c r="C87" s="15">
        <v>8</v>
      </c>
      <c r="D87" s="944">
        <v>213.28</v>
      </c>
      <c r="E87" s="850">
        <v>44883</v>
      </c>
      <c r="F87" s="838">
        <f t="shared" si="6"/>
        <v>213.28</v>
      </c>
      <c r="G87" s="840" t="s">
        <v>287</v>
      </c>
      <c r="H87" s="84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14504.800000000003</v>
      </c>
      <c r="AF87" s="127">
        <f t="shared" si="17"/>
        <v>719</v>
      </c>
    </row>
    <row r="88" spans="1:32" x14ac:dyDescent="0.25">
      <c r="A88" s="2"/>
      <c r="B88" s="83"/>
      <c r="C88" s="15">
        <v>1</v>
      </c>
      <c r="D88" s="944">
        <v>26.14</v>
      </c>
      <c r="E88" s="850">
        <v>44883</v>
      </c>
      <c r="F88" s="838">
        <f t="shared" si="6"/>
        <v>26.14</v>
      </c>
      <c r="G88" s="840" t="s">
        <v>290</v>
      </c>
      <c r="H88" s="84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14504.800000000003</v>
      </c>
      <c r="AF88" s="127">
        <f t="shared" si="17"/>
        <v>719</v>
      </c>
    </row>
    <row r="89" spans="1:32" x14ac:dyDescent="0.25">
      <c r="A89" s="2"/>
      <c r="B89" s="83"/>
      <c r="C89" s="15">
        <v>5</v>
      </c>
      <c r="D89" s="944">
        <v>137.38999999999999</v>
      </c>
      <c r="E89" s="850">
        <v>44889</v>
      </c>
      <c r="F89" s="838">
        <f t="shared" si="6"/>
        <v>137.38999999999999</v>
      </c>
      <c r="G89" s="840" t="s">
        <v>303</v>
      </c>
      <c r="H89" s="84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14504.800000000003</v>
      </c>
      <c r="AF89" s="127">
        <f t="shared" si="17"/>
        <v>719</v>
      </c>
    </row>
    <row r="90" spans="1:32" x14ac:dyDescent="0.25">
      <c r="A90" s="2"/>
      <c r="B90" s="83"/>
      <c r="C90" s="15">
        <v>3</v>
      </c>
      <c r="D90" s="944">
        <v>72.59</v>
      </c>
      <c r="E90" s="850">
        <v>44890</v>
      </c>
      <c r="F90" s="838">
        <f t="shared" si="6"/>
        <v>72.59</v>
      </c>
      <c r="G90" s="840" t="s">
        <v>306</v>
      </c>
      <c r="H90" s="84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14504.800000000003</v>
      </c>
      <c r="AF90" s="127">
        <f t="shared" si="17"/>
        <v>719</v>
      </c>
    </row>
    <row r="91" spans="1:32" ht="14.25" customHeight="1" x14ac:dyDescent="0.25">
      <c r="A91" s="2"/>
      <c r="B91" s="83"/>
      <c r="C91" s="15">
        <v>2</v>
      </c>
      <c r="D91" s="944">
        <v>55.23</v>
      </c>
      <c r="E91" s="850">
        <v>44890</v>
      </c>
      <c r="F91" s="838">
        <f t="shared" si="6"/>
        <v>55.23</v>
      </c>
      <c r="G91" s="840" t="s">
        <v>308</v>
      </c>
      <c r="H91" s="84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14504.800000000003</v>
      </c>
      <c r="AF91" s="127">
        <f t="shared" si="17"/>
        <v>719</v>
      </c>
    </row>
    <row r="92" spans="1:32" ht="14.25" customHeight="1" x14ac:dyDescent="0.25">
      <c r="A92" s="2"/>
      <c r="B92" s="83"/>
      <c r="C92" s="15">
        <v>6</v>
      </c>
      <c r="D92" s="944">
        <v>154</v>
      </c>
      <c r="E92" s="850">
        <v>44891</v>
      </c>
      <c r="F92" s="838">
        <f t="shared" si="6"/>
        <v>154</v>
      </c>
      <c r="G92" s="840" t="s">
        <v>316</v>
      </c>
      <c r="H92" s="841">
        <v>84</v>
      </c>
      <c r="I92" s="836">
        <f t="shared" ref="I92:I101" si="19">I91-F92</f>
        <v>116.67000000000121</v>
      </c>
      <c r="J92" s="837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3"/>
      <c r="E93" s="681"/>
      <c r="F93" s="680">
        <f t="shared" si="6"/>
        <v>0</v>
      </c>
      <c r="G93" s="682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3"/>
      <c r="E94" s="681"/>
      <c r="F94" s="680">
        <f t="shared" si="6"/>
        <v>0</v>
      </c>
      <c r="G94" s="682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3"/>
      <c r="E95" s="681"/>
      <c r="F95" s="680">
        <v>116.67</v>
      </c>
      <c r="G95" s="1367"/>
      <c r="H95" s="1368"/>
      <c r="I95" s="669">
        <f t="shared" si="19"/>
        <v>1.2079226507921703E-12</v>
      </c>
      <c r="J95" s="1369">
        <f t="shared" si="20"/>
        <v>0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3"/>
      <c r="E96" s="681"/>
      <c r="F96" s="680">
        <f t="shared" si="6"/>
        <v>0</v>
      </c>
      <c r="G96" s="1367"/>
      <c r="H96" s="1368"/>
      <c r="I96" s="669">
        <f t="shared" si="19"/>
        <v>1.2079226507921703E-12</v>
      </c>
      <c r="J96" s="1369">
        <f t="shared" si="20"/>
        <v>0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3"/>
      <c r="E97" s="681"/>
      <c r="F97" s="680">
        <f t="shared" si="6"/>
        <v>0</v>
      </c>
      <c r="G97" s="1367"/>
      <c r="H97" s="1368"/>
      <c r="I97" s="669">
        <f t="shared" si="19"/>
        <v>1.2079226507921703E-12</v>
      </c>
      <c r="J97" s="1369">
        <f t="shared" si="20"/>
        <v>0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3"/>
      <c r="E98" s="681"/>
      <c r="F98" s="680">
        <f t="shared" si="6"/>
        <v>0</v>
      </c>
      <c r="G98" s="1367"/>
      <c r="H98" s="1368"/>
      <c r="I98" s="669">
        <f t="shared" si="19"/>
        <v>1.2079226507921703E-12</v>
      </c>
      <c r="J98" s="1369">
        <f t="shared" si="20"/>
        <v>0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3"/>
      <c r="E99" s="681"/>
      <c r="F99" s="680">
        <f t="shared" si="6"/>
        <v>0</v>
      </c>
      <c r="G99" s="1367"/>
      <c r="H99" s="1368"/>
      <c r="I99" s="669">
        <f t="shared" si="19"/>
        <v>1.2079226507921703E-12</v>
      </c>
      <c r="J99" s="1369">
        <f t="shared" si="20"/>
        <v>0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3"/>
      <c r="E100" s="681"/>
      <c r="F100" s="680">
        <f t="shared" si="6"/>
        <v>0</v>
      </c>
      <c r="G100" s="1367"/>
      <c r="H100" s="1368"/>
      <c r="I100" s="669">
        <f t="shared" si="19"/>
        <v>1.2079226507921703E-12</v>
      </c>
      <c r="J100" s="1369">
        <f t="shared" si="20"/>
        <v>0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5">
        <v>0</v>
      </c>
      <c r="E101" s="956"/>
      <c r="F101" s="950">
        <f t="shared" si="6"/>
        <v>0</v>
      </c>
      <c r="G101" s="951"/>
      <c r="H101" s="957"/>
      <c r="I101" s="958">
        <f t="shared" si="19"/>
        <v>1.2079226507921703E-12</v>
      </c>
      <c r="J101" s="959">
        <f t="shared" si="20"/>
        <v>0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203</v>
      </c>
      <c r="Z102" s="151">
        <v>0</v>
      </c>
      <c r="AA102" s="38"/>
      <c r="AB102" s="5">
        <f>SUM(AB10:AB101)</f>
        <v>4059.2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719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16" t="s">
        <v>11</v>
      </c>
      <c r="D105" s="1317"/>
      <c r="E105" s="145">
        <f>E5+E4+E6+-F102+E7</f>
        <v>7.276401703393276E-13</v>
      </c>
      <c r="F105" s="5"/>
      <c r="L105" s="47"/>
      <c r="N105" s="1316" t="s">
        <v>11</v>
      </c>
      <c r="O105" s="1317"/>
      <c r="P105" s="145">
        <f>P5+P4+P6+-Q102+P7</f>
        <v>2.2737367544323206E-13</v>
      </c>
      <c r="Q105" s="5"/>
      <c r="W105" s="47"/>
      <c r="Y105" s="1316" t="s">
        <v>11</v>
      </c>
      <c r="Z105" s="1317"/>
      <c r="AA105" s="145">
        <f>AA5+AA4+AA6+-AB102+AA7</f>
        <v>14504.8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2"/>
      <c r="B1" s="1282"/>
      <c r="C1" s="1282"/>
      <c r="D1" s="1282"/>
      <c r="E1" s="1282"/>
      <c r="F1" s="1282"/>
      <c r="G1" s="12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43"/>
      <c r="B5" s="1345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44"/>
      <c r="B6" s="1346"/>
      <c r="C6" s="225"/>
      <c r="D6" s="118"/>
      <c r="E6" s="493"/>
      <c r="F6" s="240"/>
      <c r="I6" s="1347" t="s">
        <v>3</v>
      </c>
      <c r="J6" s="13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8"/>
      <c r="J7" s="134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6" t="s">
        <v>11</v>
      </c>
      <c r="D100" s="131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2"/>
      <c r="B1" s="1282"/>
      <c r="C1" s="1282"/>
      <c r="D1" s="1282"/>
      <c r="E1" s="1282"/>
      <c r="F1" s="1282"/>
      <c r="G1" s="12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12"/>
      <c r="B5" s="134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13"/>
      <c r="B6" s="1350"/>
      <c r="C6" s="225"/>
      <c r="D6" s="118"/>
      <c r="E6" s="144"/>
      <c r="F6" s="241"/>
      <c r="I6" s="1347" t="s">
        <v>3</v>
      </c>
      <c r="J6" s="134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8"/>
      <c r="J7" s="134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6" t="s">
        <v>11</v>
      </c>
      <c r="D33" s="131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10" workbookViewId="0">
      <selection activeCell="G32" sqref="G3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4" t="s">
        <v>332</v>
      </c>
      <c r="B1" s="1334"/>
      <c r="C1" s="1334"/>
      <c r="D1" s="1334"/>
      <c r="E1" s="1334"/>
      <c r="F1" s="1334"/>
      <c r="G1" s="1334"/>
      <c r="H1" s="1334"/>
      <c r="I1" s="133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5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52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5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25" t="s">
        <v>47</v>
      </c>
      <c r="J8" s="13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6"/>
      <c r="J9" s="133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6">
        <f>E4+E5+E6-F10+E7+E8</f>
        <v>1950</v>
      </c>
      <c r="J10" s="83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6">
        <f t="shared" si="2"/>
        <v>1550</v>
      </c>
      <c r="J23" s="83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50">
        <f t="shared" si="1"/>
        <v>10</v>
      </c>
      <c r="E24" s="573">
        <v>44895</v>
      </c>
      <c r="F24" s="537">
        <f t="shared" si="0"/>
        <v>10</v>
      </c>
      <c r="G24" s="330" t="s">
        <v>576</v>
      </c>
      <c r="H24" s="331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50">
        <f t="shared" si="1"/>
        <v>10</v>
      </c>
      <c r="E25" s="573">
        <v>44896</v>
      </c>
      <c r="F25" s="537">
        <f t="shared" si="0"/>
        <v>10</v>
      </c>
      <c r="G25" s="330" t="s">
        <v>591</v>
      </c>
      <c r="H25" s="331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50">
        <f t="shared" si="1"/>
        <v>10</v>
      </c>
      <c r="E26" s="573">
        <v>44897</v>
      </c>
      <c r="F26" s="537">
        <f t="shared" si="0"/>
        <v>10</v>
      </c>
      <c r="G26" s="330" t="s">
        <v>595</v>
      </c>
      <c r="H26" s="331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50">
        <f t="shared" si="1"/>
        <v>80</v>
      </c>
      <c r="E27" s="573">
        <v>44901</v>
      </c>
      <c r="F27" s="537">
        <f t="shared" si="0"/>
        <v>80</v>
      </c>
      <c r="G27" s="330" t="s">
        <v>626</v>
      </c>
      <c r="H27" s="331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50">
        <f t="shared" si="1"/>
        <v>20</v>
      </c>
      <c r="E28" s="573">
        <v>44901</v>
      </c>
      <c r="F28" s="537">
        <f t="shared" si="0"/>
        <v>20</v>
      </c>
      <c r="G28" s="330" t="s">
        <v>629</v>
      </c>
      <c r="H28" s="331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50">
        <f t="shared" si="1"/>
        <v>10</v>
      </c>
      <c r="E29" s="573">
        <v>44902</v>
      </c>
      <c r="F29" s="537">
        <f t="shared" si="0"/>
        <v>10</v>
      </c>
      <c r="G29" s="330" t="s">
        <v>631</v>
      </c>
      <c r="H29" s="331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50">
        <f t="shared" si="1"/>
        <v>20</v>
      </c>
      <c r="E30" s="573">
        <v>44903</v>
      </c>
      <c r="F30" s="537">
        <f t="shared" si="0"/>
        <v>20</v>
      </c>
      <c r="G30" s="330" t="s">
        <v>641</v>
      </c>
      <c r="H30" s="331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50">
        <f t="shared" si="1"/>
        <v>150</v>
      </c>
      <c r="E31" s="573">
        <v>44905</v>
      </c>
      <c r="F31" s="537">
        <f t="shared" si="0"/>
        <v>150</v>
      </c>
      <c r="G31" s="330" t="s">
        <v>669</v>
      </c>
      <c r="H31" s="331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1240</v>
      </c>
      <c r="J32" s="127">
        <f t="shared" si="3"/>
        <v>124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1240</v>
      </c>
      <c r="J33" s="127">
        <f t="shared" si="3"/>
        <v>124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1240</v>
      </c>
      <c r="J34" s="127">
        <f t="shared" si="3"/>
        <v>124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1240</v>
      </c>
      <c r="J35" s="127">
        <f t="shared" si="3"/>
        <v>124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1240</v>
      </c>
      <c r="J36" s="127">
        <f t="shared" si="3"/>
        <v>124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1240</v>
      </c>
      <c r="J37" s="127">
        <f t="shared" si="3"/>
        <v>124</v>
      </c>
    </row>
    <row r="38" spans="1:10" ht="15.75" thickBot="1" x14ac:dyDescent="0.3">
      <c r="A38" s="4"/>
      <c r="B38" s="83">
        <v>10</v>
      </c>
      <c r="C38" s="37"/>
      <c r="D38" s="1011">
        <v>0</v>
      </c>
      <c r="E38" s="1012"/>
      <c r="F38" s="537">
        <f t="shared" si="0"/>
        <v>0</v>
      </c>
      <c r="G38" s="1001"/>
      <c r="H38" s="331"/>
    </row>
    <row r="39" spans="1:10" ht="16.5" thickTop="1" thickBot="1" x14ac:dyDescent="0.3">
      <c r="B39" s="83"/>
      <c r="C39" s="90">
        <f>SUM(C10:C38)</f>
        <v>76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124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16" t="s">
        <v>11</v>
      </c>
      <c r="D42" s="131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abSelected="1" workbookViewId="0">
      <selection activeCell="G13" sqref="G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53" t="s">
        <v>327</v>
      </c>
      <c r="B1" s="1353"/>
      <c r="C1" s="1353"/>
      <c r="D1" s="1353"/>
      <c r="E1" s="1353"/>
      <c r="F1" s="1353"/>
      <c r="G1" s="1353"/>
      <c r="H1" s="269">
        <v>1</v>
      </c>
      <c r="I1" s="395"/>
      <c r="L1" s="1271" t="s">
        <v>340</v>
      </c>
      <c r="M1" s="1271"/>
      <c r="N1" s="1271"/>
      <c r="O1" s="1271"/>
      <c r="P1" s="1271"/>
      <c r="Q1" s="1271"/>
      <c r="R1" s="1271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7"/>
      <c r="S4" s="148"/>
      <c r="T4" s="400"/>
    </row>
    <row r="5" spans="1:21" ht="15" customHeight="1" x14ac:dyDescent="0.25">
      <c r="A5" s="1290" t="s">
        <v>226</v>
      </c>
      <c r="B5" s="1294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838.78</v>
      </c>
      <c r="H5" s="138">
        <f>E5-G5</f>
        <v>169.98000000000002</v>
      </c>
      <c r="I5" s="397"/>
      <c r="L5" s="1290" t="s">
        <v>226</v>
      </c>
      <c r="M5" s="1294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90"/>
      <c r="B6" s="1354"/>
      <c r="C6" s="394"/>
      <c r="D6" s="134"/>
      <c r="E6" s="75"/>
      <c r="F6" s="73"/>
      <c r="G6" s="73"/>
      <c r="H6" s="75"/>
      <c r="I6" s="244"/>
      <c r="L6" s="1290"/>
      <c r="M6" s="135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6">
        <f>F4+F5+F6-C9+F7</f>
        <v>30</v>
      </c>
      <c r="C9" s="15">
        <v>6</v>
      </c>
      <c r="D9" s="69">
        <v>156.5</v>
      </c>
      <c r="E9" s="253">
        <v>44893</v>
      </c>
      <c r="F9" s="92">
        <f t="shared" ref="F9:F15" si="0">D9</f>
        <v>156.5</v>
      </c>
      <c r="G9" s="70" t="s">
        <v>566</v>
      </c>
      <c r="H9" s="71">
        <v>93</v>
      </c>
      <c r="I9" s="394">
        <f>E4+E5+E6-F9+E7</f>
        <v>852.26</v>
      </c>
      <c r="J9" s="60">
        <f>H9*F9</f>
        <v>14554.5</v>
      </c>
      <c r="L9" s="61"/>
      <c r="M9" s="826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7">
        <v>44900</v>
      </c>
      <c r="F10" s="699">
        <f t="shared" si="0"/>
        <v>57.31</v>
      </c>
      <c r="G10" s="700" t="s">
        <v>613</v>
      </c>
      <c r="H10" s="701">
        <v>93</v>
      </c>
      <c r="I10" s="244">
        <f>I9-F10</f>
        <v>794.95</v>
      </c>
      <c r="J10" s="60">
        <f t="shared" ref="J10:J37" si="2">H10*F10</f>
        <v>5329.83</v>
      </c>
      <c r="L10" s="75"/>
      <c r="M10" s="182">
        <f>M9-N10</f>
        <v>40</v>
      </c>
      <c r="N10" s="15"/>
      <c r="O10" s="69"/>
      <c r="P10" s="857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8">
        <v>44900</v>
      </c>
      <c r="F11" s="699">
        <f t="shared" si="0"/>
        <v>29.47</v>
      </c>
      <c r="G11" s="700" t="s">
        <v>613</v>
      </c>
      <c r="H11" s="701">
        <v>93</v>
      </c>
      <c r="I11" s="244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40</v>
      </c>
      <c r="N11" s="15"/>
      <c r="O11" s="69"/>
      <c r="P11" s="858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8">
        <v>44907</v>
      </c>
      <c r="F12" s="699">
        <f t="shared" si="0"/>
        <v>595.5</v>
      </c>
      <c r="G12" s="700" t="s">
        <v>685</v>
      </c>
      <c r="H12" s="701">
        <v>93</v>
      </c>
      <c r="I12" s="244">
        <f t="shared" si="5"/>
        <v>169.98000000000002</v>
      </c>
      <c r="J12" s="60">
        <f t="shared" si="2"/>
        <v>55381.5</v>
      </c>
      <c r="L12" s="61"/>
      <c r="M12" s="182">
        <f t="shared" si="6"/>
        <v>40</v>
      </c>
      <c r="N12" s="15"/>
      <c r="O12" s="69"/>
      <c r="P12" s="858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6</v>
      </c>
      <c r="C13" s="15"/>
      <c r="D13" s="69"/>
      <c r="E13" s="858"/>
      <c r="F13" s="699">
        <f t="shared" si="0"/>
        <v>0</v>
      </c>
      <c r="G13" s="700"/>
      <c r="H13" s="701"/>
      <c r="I13" s="244">
        <f t="shared" si="5"/>
        <v>169.98000000000002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58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6</v>
      </c>
      <c r="C14" s="15"/>
      <c r="D14" s="69"/>
      <c r="E14" s="858"/>
      <c r="F14" s="699">
        <f t="shared" si="0"/>
        <v>0</v>
      </c>
      <c r="G14" s="700"/>
      <c r="H14" s="701"/>
      <c r="I14" s="244">
        <f t="shared" si="5"/>
        <v>169.98000000000002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58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6</v>
      </c>
      <c r="C15" s="15"/>
      <c r="D15" s="92"/>
      <c r="E15" s="845"/>
      <c r="F15" s="699">
        <f t="shared" si="0"/>
        <v>0</v>
      </c>
      <c r="G15" s="700"/>
      <c r="H15" s="701"/>
      <c r="I15" s="244">
        <f t="shared" si="5"/>
        <v>169.98000000000002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5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169.98000000000002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169.98000000000002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169.98000000000002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169.98000000000002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169.98000000000002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169.98000000000002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169.98000000000002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169.98000000000002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169.98000000000002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169.98000000000002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169.98000000000002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169.98000000000002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169.98000000000002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169.98000000000002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169.98000000000002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169.98000000000002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169.98000000000002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169.98000000000002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169.98000000000002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169.98000000000002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169.98000000000002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169.98000000000002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169.98000000000002</v>
      </c>
      <c r="J72" s="60">
        <f>SUM(J9:J37)</f>
        <v>78006.540000000008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838.78</v>
      </c>
      <c r="E73" s="134"/>
      <c r="F73" s="105">
        <f>SUM(F9:F72)</f>
        <v>838.78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67" t="s">
        <v>21</v>
      </c>
      <c r="E75" s="1268"/>
      <c r="F75" s="141">
        <f>G5-F73</f>
        <v>0</v>
      </c>
      <c r="M75" s="184"/>
      <c r="O75" s="1267" t="s">
        <v>21</v>
      </c>
      <c r="P75" s="1268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2" t="s">
        <v>4</v>
      </c>
      <c r="P76" s="1063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83" t="s">
        <v>509</v>
      </c>
      <c r="B5" s="1279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83"/>
      <c r="B6" s="1279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80" t="s">
        <v>11</v>
      </c>
      <c r="D83" s="1281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83"/>
      <c r="B5" s="135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83"/>
      <c r="B6" s="135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80" t="s">
        <v>11</v>
      </c>
      <c r="D60" s="128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1" t="s">
        <v>499</v>
      </c>
      <c r="B1" s="1271"/>
      <c r="C1" s="1271"/>
      <c r="D1" s="1271"/>
      <c r="E1" s="1271"/>
      <c r="F1" s="1271"/>
      <c r="G1" s="1271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83" t="s">
        <v>505</v>
      </c>
      <c r="B5" s="1294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83"/>
      <c r="B6" s="1294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94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67" t="s">
        <v>21</v>
      </c>
      <c r="E41" s="1268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3" activePane="bottomLeft" state="frozen"/>
      <selection pane="bottomLeft" activeCell="B32" sqref="B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78" t="s">
        <v>333</v>
      </c>
      <c r="B1" s="1278"/>
      <c r="C1" s="1278"/>
      <c r="D1" s="1278"/>
      <c r="E1" s="1278"/>
      <c r="F1" s="1278"/>
      <c r="G1" s="1278"/>
      <c r="H1" s="11">
        <v>1</v>
      </c>
      <c r="K1" s="1278" t="str">
        <f>A1</f>
        <v xml:space="preserve"> INVENTARIO   DEL MES DE     NOVIEMBRE       2022</v>
      </c>
      <c r="L1" s="1278"/>
      <c r="M1" s="1278"/>
      <c r="N1" s="1278"/>
      <c r="O1" s="1278"/>
      <c r="P1" s="1278"/>
      <c r="Q1" s="1278"/>
      <c r="R1" s="11">
        <v>2</v>
      </c>
      <c r="U1" s="1282" t="s">
        <v>340</v>
      </c>
      <c r="V1" s="1282"/>
      <c r="W1" s="1282"/>
      <c r="X1" s="1282"/>
      <c r="Y1" s="1282"/>
      <c r="Z1" s="1282"/>
      <c r="AA1" s="1282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56" t="s">
        <v>52</v>
      </c>
      <c r="B4" s="485"/>
      <c r="C4" s="128"/>
      <c r="D4" s="135"/>
      <c r="E4" s="86">
        <v>142.04</v>
      </c>
      <c r="F4" s="73">
        <v>4</v>
      </c>
      <c r="G4" s="810"/>
      <c r="K4" s="1356" t="s">
        <v>52</v>
      </c>
      <c r="L4" s="485"/>
      <c r="M4" s="128"/>
      <c r="N4" s="135"/>
      <c r="O4" s="86"/>
      <c r="P4" s="73"/>
      <c r="Q4" s="935"/>
      <c r="U4" s="1356" t="s">
        <v>52</v>
      </c>
      <c r="V4" s="485"/>
      <c r="W4" s="128"/>
      <c r="X4" s="135"/>
      <c r="Y4" s="86"/>
      <c r="Z4" s="73"/>
      <c r="AA4" s="1127"/>
    </row>
    <row r="5" spans="1:30" ht="15" customHeight="1" x14ac:dyDescent="0.25">
      <c r="A5" s="1357"/>
      <c r="B5" s="135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57"/>
      <c r="L5" s="135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57"/>
      <c r="V5" s="1359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58"/>
      <c r="B6" s="1360"/>
      <c r="C6" s="550"/>
      <c r="D6" s="135"/>
      <c r="E6" s="86"/>
      <c r="F6" s="73"/>
      <c r="G6" s="73"/>
      <c r="K6" s="1358"/>
      <c r="L6" s="1360"/>
      <c r="M6" s="550"/>
      <c r="N6" s="135"/>
      <c r="O6" s="86"/>
      <c r="P6" s="73"/>
      <c r="Q6" s="73"/>
      <c r="U6" s="1358"/>
      <c r="V6" s="1360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8" t="s">
        <v>194</v>
      </c>
      <c r="B10" s="235">
        <f>F4+F5+F6+F7+F8-C10</f>
        <v>99</v>
      </c>
      <c r="C10" s="819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18" t="s">
        <v>194</v>
      </c>
      <c r="L10" s="844">
        <f>P4+P5+P6+P7+P8-M10</f>
        <v>94</v>
      </c>
      <c r="M10" s="936"/>
      <c r="N10" s="740"/>
      <c r="O10" s="937"/>
      <c r="P10" s="740">
        <f t="shared" ref="P10:P57" si="1">N10</f>
        <v>0</v>
      </c>
      <c r="Q10" s="938"/>
      <c r="R10" s="939"/>
      <c r="S10" s="828">
        <f>O6+O5+O4-P10+O7+O8</f>
        <v>2810.63</v>
      </c>
      <c r="U10" s="818" t="s">
        <v>194</v>
      </c>
      <c r="V10" s="1160">
        <f>Z4+Z5+Z6+Z7+Z8-W10</f>
        <v>205</v>
      </c>
      <c r="W10" s="936"/>
      <c r="X10" s="740"/>
      <c r="Y10" s="937"/>
      <c r="Z10" s="740">
        <f t="shared" ref="Z10:Z57" si="2">X10</f>
        <v>0</v>
      </c>
      <c r="AA10" s="938"/>
      <c r="AB10" s="939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0">
        <f>L10-M11</f>
        <v>94</v>
      </c>
      <c r="M11" s="936"/>
      <c r="N11" s="740"/>
      <c r="O11" s="937"/>
      <c r="P11" s="740">
        <f t="shared" si="1"/>
        <v>0</v>
      </c>
      <c r="Q11" s="938"/>
      <c r="R11" s="939"/>
      <c r="S11" s="697">
        <f>S10-P11</f>
        <v>2810.63</v>
      </c>
      <c r="U11" s="75"/>
      <c r="V11" s="940">
        <f>V10-W11</f>
        <v>205</v>
      </c>
      <c r="W11" s="936"/>
      <c r="X11" s="740"/>
      <c r="Y11" s="937"/>
      <c r="Z11" s="740">
        <f t="shared" si="2"/>
        <v>0</v>
      </c>
      <c r="AA11" s="938"/>
      <c r="AB11" s="939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0">
        <f t="shared" ref="L12:L58" si="5">L11-M12</f>
        <v>94</v>
      </c>
      <c r="M12" s="936"/>
      <c r="N12" s="740"/>
      <c r="O12" s="937"/>
      <c r="P12" s="740">
        <f t="shared" si="1"/>
        <v>0</v>
      </c>
      <c r="Q12" s="938"/>
      <c r="R12" s="939"/>
      <c r="S12" s="697">
        <f t="shared" ref="S12:S13" si="6">S11-P12</f>
        <v>2810.63</v>
      </c>
      <c r="U12" s="75"/>
      <c r="V12" s="940">
        <f t="shared" ref="V12:V58" si="7">V11-W12</f>
        <v>205</v>
      </c>
      <c r="W12" s="936"/>
      <c r="X12" s="740"/>
      <c r="Y12" s="937"/>
      <c r="Z12" s="740">
        <f t="shared" si="2"/>
        <v>0</v>
      </c>
      <c r="AA12" s="938"/>
      <c r="AB12" s="939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0">
        <f t="shared" si="5"/>
        <v>94</v>
      </c>
      <c r="M13" s="936"/>
      <c r="N13" s="740"/>
      <c r="O13" s="937"/>
      <c r="P13" s="740">
        <f t="shared" si="1"/>
        <v>0</v>
      </c>
      <c r="Q13" s="938"/>
      <c r="R13" s="939"/>
      <c r="S13" s="697">
        <f t="shared" si="6"/>
        <v>2810.63</v>
      </c>
      <c r="U13" s="55"/>
      <c r="V13" s="940">
        <f t="shared" si="7"/>
        <v>205</v>
      </c>
      <c r="W13" s="936"/>
      <c r="X13" s="740"/>
      <c r="Y13" s="937"/>
      <c r="Z13" s="740">
        <f t="shared" si="2"/>
        <v>0</v>
      </c>
      <c r="AA13" s="938"/>
      <c r="AB13" s="939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0">
        <f t="shared" si="5"/>
        <v>94</v>
      </c>
      <c r="M14" s="936"/>
      <c r="N14" s="740"/>
      <c r="O14" s="937"/>
      <c r="P14" s="740">
        <f t="shared" si="1"/>
        <v>0</v>
      </c>
      <c r="Q14" s="938"/>
      <c r="R14" s="939"/>
      <c r="S14" s="697">
        <f>S13-P14</f>
        <v>2810.63</v>
      </c>
      <c r="U14" s="75"/>
      <c r="V14" s="940">
        <f t="shared" si="7"/>
        <v>205</v>
      </c>
      <c r="W14" s="936"/>
      <c r="X14" s="740"/>
      <c r="Y14" s="937"/>
      <c r="Z14" s="740">
        <f t="shared" si="2"/>
        <v>0</v>
      </c>
      <c r="AA14" s="938"/>
      <c r="AB14" s="939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0">
        <f t="shared" si="5"/>
        <v>94</v>
      </c>
      <c r="M15" s="936"/>
      <c r="N15" s="740"/>
      <c r="O15" s="937"/>
      <c r="P15" s="740">
        <f t="shared" si="1"/>
        <v>0</v>
      </c>
      <c r="Q15" s="938"/>
      <c r="R15" s="939"/>
      <c r="S15" s="697">
        <f t="shared" ref="S15:S58" si="10">S14-P15</f>
        <v>2810.63</v>
      </c>
      <c r="U15" s="75"/>
      <c r="V15" s="940">
        <f t="shared" si="7"/>
        <v>205</v>
      </c>
      <c r="W15" s="936"/>
      <c r="X15" s="740"/>
      <c r="Y15" s="937"/>
      <c r="Z15" s="740">
        <f t="shared" si="2"/>
        <v>0</v>
      </c>
      <c r="AA15" s="938"/>
      <c r="AB15" s="939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0">
        <f t="shared" si="5"/>
        <v>94</v>
      </c>
      <c r="M16" s="936"/>
      <c r="N16" s="740"/>
      <c r="O16" s="937"/>
      <c r="P16" s="740">
        <f t="shared" si="1"/>
        <v>0</v>
      </c>
      <c r="Q16" s="938"/>
      <c r="R16" s="939"/>
      <c r="S16" s="697">
        <f t="shared" si="10"/>
        <v>2810.63</v>
      </c>
      <c r="V16" s="940">
        <f t="shared" si="7"/>
        <v>205</v>
      </c>
      <c r="W16" s="936"/>
      <c r="X16" s="740"/>
      <c r="Y16" s="937"/>
      <c r="Z16" s="740">
        <f t="shared" si="2"/>
        <v>0</v>
      </c>
      <c r="AA16" s="938"/>
      <c r="AB16" s="939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0">
        <f t="shared" si="5"/>
        <v>94</v>
      </c>
      <c r="M17" s="936"/>
      <c r="N17" s="740"/>
      <c r="O17" s="937"/>
      <c r="P17" s="740">
        <f t="shared" si="1"/>
        <v>0</v>
      </c>
      <c r="Q17" s="938"/>
      <c r="R17" s="939"/>
      <c r="S17" s="697">
        <f t="shared" si="10"/>
        <v>2810.63</v>
      </c>
      <c r="V17" s="940">
        <f t="shared" si="7"/>
        <v>205</v>
      </c>
      <c r="W17" s="936"/>
      <c r="X17" s="740"/>
      <c r="Y17" s="937"/>
      <c r="Z17" s="740">
        <f t="shared" si="2"/>
        <v>0</v>
      </c>
      <c r="AA17" s="938"/>
      <c r="AB17" s="939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0">
        <f t="shared" si="5"/>
        <v>94</v>
      </c>
      <c r="M18" s="936"/>
      <c r="N18" s="740"/>
      <c r="O18" s="937"/>
      <c r="P18" s="740">
        <f t="shared" si="1"/>
        <v>0</v>
      </c>
      <c r="Q18" s="938"/>
      <c r="R18" s="939"/>
      <c r="S18" s="697">
        <f t="shared" si="10"/>
        <v>2810.63</v>
      </c>
      <c r="V18" s="940">
        <f t="shared" si="7"/>
        <v>205</v>
      </c>
      <c r="W18" s="936"/>
      <c r="X18" s="740"/>
      <c r="Y18" s="937"/>
      <c r="Z18" s="740">
        <f t="shared" si="2"/>
        <v>0</v>
      </c>
      <c r="AA18" s="938"/>
      <c r="AB18" s="939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0">
        <f t="shared" si="5"/>
        <v>94</v>
      </c>
      <c r="M19" s="936"/>
      <c r="N19" s="740"/>
      <c r="O19" s="937"/>
      <c r="P19" s="740">
        <f t="shared" si="1"/>
        <v>0</v>
      </c>
      <c r="Q19" s="938"/>
      <c r="R19" s="939"/>
      <c r="S19" s="697">
        <f t="shared" si="10"/>
        <v>2810.63</v>
      </c>
      <c r="V19" s="940">
        <f t="shared" si="7"/>
        <v>205</v>
      </c>
      <c r="W19" s="936"/>
      <c r="X19" s="740"/>
      <c r="Y19" s="937"/>
      <c r="Z19" s="740">
        <f t="shared" si="2"/>
        <v>0</v>
      </c>
      <c r="AA19" s="938"/>
      <c r="AB19" s="939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0">
        <f t="shared" si="5"/>
        <v>94</v>
      </c>
      <c r="M20" s="936"/>
      <c r="N20" s="740"/>
      <c r="O20" s="937"/>
      <c r="P20" s="740">
        <f t="shared" si="1"/>
        <v>0</v>
      </c>
      <c r="Q20" s="938"/>
      <c r="R20" s="939"/>
      <c r="S20" s="697">
        <f t="shared" si="10"/>
        <v>2810.63</v>
      </c>
      <c r="V20" s="940">
        <f t="shared" si="7"/>
        <v>205</v>
      </c>
      <c r="W20" s="936"/>
      <c r="X20" s="740"/>
      <c r="Y20" s="937"/>
      <c r="Z20" s="740">
        <f t="shared" si="2"/>
        <v>0</v>
      </c>
      <c r="AA20" s="938"/>
      <c r="AB20" s="939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0">
        <f t="shared" si="5"/>
        <v>94</v>
      </c>
      <c r="M21" s="936"/>
      <c r="N21" s="740"/>
      <c r="O21" s="941"/>
      <c r="P21" s="740">
        <f t="shared" si="1"/>
        <v>0</v>
      </c>
      <c r="Q21" s="938"/>
      <c r="R21" s="939"/>
      <c r="S21" s="697">
        <f t="shared" si="10"/>
        <v>2810.63</v>
      </c>
      <c r="V21" s="940">
        <f t="shared" si="7"/>
        <v>205</v>
      </c>
      <c r="W21" s="936"/>
      <c r="X21" s="740"/>
      <c r="Y21" s="941"/>
      <c r="Z21" s="740">
        <f t="shared" si="2"/>
        <v>0</v>
      </c>
      <c r="AA21" s="938"/>
      <c r="AB21" s="939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0">
        <f t="shared" si="5"/>
        <v>94</v>
      </c>
      <c r="M22" s="936"/>
      <c r="N22" s="740"/>
      <c r="O22" s="941"/>
      <c r="P22" s="740">
        <f t="shared" si="1"/>
        <v>0</v>
      </c>
      <c r="Q22" s="938"/>
      <c r="R22" s="939"/>
      <c r="S22" s="697">
        <f t="shared" si="10"/>
        <v>2810.63</v>
      </c>
      <c r="V22" s="940">
        <f t="shared" si="7"/>
        <v>205</v>
      </c>
      <c r="W22" s="936"/>
      <c r="X22" s="740"/>
      <c r="Y22" s="941"/>
      <c r="Z22" s="740">
        <f t="shared" si="2"/>
        <v>0</v>
      </c>
      <c r="AA22" s="938"/>
      <c r="AB22" s="939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0">
        <f t="shared" si="5"/>
        <v>94</v>
      </c>
      <c r="M23" s="936"/>
      <c r="N23" s="740"/>
      <c r="O23" s="941"/>
      <c r="P23" s="740">
        <f t="shared" si="1"/>
        <v>0</v>
      </c>
      <c r="Q23" s="938"/>
      <c r="R23" s="939"/>
      <c r="S23" s="697">
        <f t="shared" si="10"/>
        <v>2810.63</v>
      </c>
      <c r="V23" s="940">
        <f t="shared" si="7"/>
        <v>205</v>
      </c>
      <c r="W23" s="936"/>
      <c r="X23" s="740"/>
      <c r="Y23" s="941"/>
      <c r="Z23" s="740">
        <f t="shared" si="2"/>
        <v>0</v>
      </c>
      <c r="AA23" s="938"/>
      <c r="AB23" s="939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0">
        <f t="shared" si="5"/>
        <v>94</v>
      </c>
      <c r="M24" s="936"/>
      <c r="N24" s="740"/>
      <c r="O24" s="941"/>
      <c r="P24" s="740">
        <f t="shared" si="1"/>
        <v>0</v>
      </c>
      <c r="Q24" s="938"/>
      <c r="R24" s="939"/>
      <c r="S24" s="697">
        <f t="shared" si="10"/>
        <v>2810.63</v>
      </c>
      <c r="V24" s="940">
        <f t="shared" si="7"/>
        <v>205</v>
      </c>
      <c r="W24" s="936"/>
      <c r="X24" s="740"/>
      <c r="Y24" s="941"/>
      <c r="Z24" s="740">
        <f t="shared" si="2"/>
        <v>0</v>
      </c>
      <c r="AA24" s="938"/>
      <c r="AB24" s="939"/>
      <c r="AC24" s="697">
        <f t="shared" si="11"/>
        <v>5922.77</v>
      </c>
    </row>
    <row r="25" spans="1:29" ht="15.75" x14ac:dyDescent="0.25">
      <c r="A25" s="963" t="s">
        <v>318</v>
      </c>
      <c r="B25" s="834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28">
        <f t="shared" si="9"/>
        <v>1426</v>
      </c>
      <c r="L25" s="940">
        <f t="shared" si="5"/>
        <v>94</v>
      </c>
      <c r="M25" s="936"/>
      <c r="N25" s="740"/>
      <c r="O25" s="941"/>
      <c r="P25" s="740">
        <f t="shared" si="1"/>
        <v>0</v>
      </c>
      <c r="Q25" s="938"/>
      <c r="R25" s="939"/>
      <c r="S25" s="697">
        <f t="shared" si="10"/>
        <v>2810.63</v>
      </c>
      <c r="V25" s="940">
        <f t="shared" si="7"/>
        <v>205</v>
      </c>
      <c r="W25" s="936"/>
      <c r="X25" s="740"/>
      <c r="Y25" s="941"/>
      <c r="Z25" s="740">
        <f t="shared" si="2"/>
        <v>0</v>
      </c>
      <c r="AA25" s="938"/>
      <c r="AB25" s="939"/>
      <c r="AC25" s="697">
        <f t="shared" si="11"/>
        <v>5922.77</v>
      </c>
    </row>
    <row r="26" spans="1:29" x14ac:dyDescent="0.25">
      <c r="B26" s="834">
        <f t="shared" si="3"/>
        <v>37</v>
      </c>
      <c r="C26" s="337">
        <v>8</v>
      </c>
      <c r="D26" s="945">
        <v>210.23</v>
      </c>
      <c r="E26" s="946">
        <v>44865</v>
      </c>
      <c r="F26" s="945">
        <f t="shared" si="0"/>
        <v>210.23</v>
      </c>
      <c r="G26" s="947" t="s">
        <v>234</v>
      </c>
      <c r="H26" s="948">
        <v>30</v>
      </c>
      <c r="I26" s="828">
        <f t="shared" si="9"/>
        <v>1215.77</v>
      </c>
      <c r="L26" s="940">
        <f t="shared" si="5"/>
        <v>94</v>
      </c>
      <c r="M26" s="936"/>
      <c r="N26" s="740"/>
      <c r="O26" s="941"/>
      <c r="P26" s="740">
        <f t="shared" si="1"/>
        <v>0</v>
      </c>
      <c r="Q26" s="938"/>
      <c r="R26" s="939"/>
      <c r="S26" s="697">
        <f t="shared" si="10"/>
        <v>2810.63</v>
      </c>
      <c r="V26" s="940">
        <f t="shared" si="7"/>
        <v>205</v>
      </c>
      <c r="W26" s="936"/>
      <c r="X26" s="740"/>
      <c r="Y26" s="941"/>
      <c r="Z26" s="740">
        <f t="shared" si="2"/>
        <v>0</v>
      </c>
      <c r="AA26" s="938"/>
      <c r="AB26" s="939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3"/>
      <c r="E27" s="1014"/>
      <c r="F27" s="1013">
        <f t="shared" si="0"/>
        <v>0</v>
      </c>
      <c r="G27" s="1015"/>
      <c r="H27" s="1016"/>
      <c r="I27" s="132">
        <f t="shared" si="9"/>
        <v>1215.77</v>
      </c>
      <c r="L27" s="940">
        <f t="shared" si="5"/>
        <v>94</v>
      </c>
      <c r="M27" s="936"/>
      <c r="N27" s="740"/>
      <c r="O27" s="941"/>
      <c r="P27" s="740">
        <f t="shared" si="1"/>
        <v>0</v>
      </c>
      <c r="Q27" s="938"/>
      <c r="R27" s="939"/>
      <c r="S27" s="697">
        <f t="shared" si="10"/>
        <v>2810.63</v>
      </c>
      <c r="V27" s="940">
        <f t="shared" si="7"/>
        <v>205</v>
      </c>
      <c r="W27" s="936"/>
      <c r="X27" s="740"/>
      <c r="Y27" s="941"/>
      <c r="Z27" s="740">
        <f t="shared" si="2"/>
        <v>0</v>
      </c>
      <c r="AA27" s="938"/>
      <c r="AB27" s="939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3"/>
      <c r="E28" s="1014"/>
      <c r="F28" s="1013">
        <f t="shared" si="0"/>
        <v>0</v>
      </c>
      <c r="G28" s="1015"/>
      <c r="H28" s="1016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3"/>
      <c r="E29" s="1014"/>
      <c r="F29" s="1013">
        <f t="shared" si="0"/>
        <v>0</v>
      </c>
      <c r="G29" s="1015"/>
      <c r="H29" s="1016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3"/>
      <c r="E30" s="1014"/>
      <c r="F30" s="1013">
        <f t="shared" si="0"/>
        <v>0</v>
      </c>
      <c r="G30" s="1015"/>
      <c r="H30" s="1016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3"/>
      <c r="E31" s="1017"/>
      <c r="F31" s="1013">
        <f t="shared" si="0"/>
        <v>0</v>
      </c>
      <c r="G31" s="1015"/>
      <c r="H31" s="1016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3"/>
      <c r="E32" s="1017"/>
      <c r="F32" s="1013">
        <f t="shared" si="0"/>
        <v>0</v>
      </c>
      <c r="G32" s="1015"/>
      <c r="H32" s="1016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3"/>
      <c r="E33" s="1017"/>
      <c r="F33" s="1013">
        <f t="shared" si="0"/>
        <v>0</v>
      </c>
      <c r="G33" s="1015"/>
      <c r="H33" s="1016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3"/>
      <c r="E34" s="1017"/>
      <c r="F34" s="1013">
        <f t="shared" si="0"/>
        <v>0</v>
      </c>
      <c r="G34" s="1015"/>
      <c r="H34" s="1016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3"/>
      <c r="E35" s="1017"/>
      <c r="F35" s="1013">
        <f t="shared" si="0"/>
        <v>0</v>
      </c>
      <c r="G35" s="1015"/>
      <c r="H35" s="1016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3"/>
      <c r="E36" s="1017"/>
      <c r="F36" s="1013">
        <f t="shared" si="0"/>
        <v>0</v>
      </c>
      <c r="G36" s="1015"/>
      <c r="H36" s="1016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3"/>
      <c r="E37" s="1017"/>
      <c r="F37" s="1013">
        <f t="shared" si="0"/>
        <v>0</v>
      </c>
      <c r="G37" s="1015"/>
      <c r="H37" s="1016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3"/>
      <c r="E38" s="1017"/>
      <c r="F38" s="1013">
        <f t="shared" si="0"/>
        <v>0</v>
      </c>
      <c r="G38" s="1015"/>
      <c r="H38" s="1016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3"/>
      <c r="E39" s="1017"/>
      <c r="F39" s="1013">
        <f t="shared" si="0"/>
        <v>0</v>
      </c>
      <c r="G39" s="1015"/>
      <c r="H39" s="1016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5"/>
      <c r="E40" s="949"/>
      <c r="F40" s="945">
        <f t="shared" si="0"/>
        <v>0</v>
      </c>
      <c r="G40" s="947"/>
      <c r="H40" s="948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5"/>
      <c r="E41" s="949"/>
      <c r="F41" s="945">
        <f t="shared" si="0"/>
        <v>0</v>
      </c>
      <c r="G41" s="947"/>
      <c r="H41" s="948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5"/>
      <c r="E42" s="949"/>
      <c r="F42" s="945">
        <f t="shared" si="0"/>
        <v>0</v>
      </c>
      <c r="G42" s="947"/>
      <c r="H42" s="948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5"/>
      <c r="E43" s="949"/>
      <c r="F43" s="945">
        <f t="shared" si="0"/>
        <v>0</v>
      </c>
      <c r="G43" s="947"/>
      <c r="H43" s="948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5"/>
      <c r="E44" s="949"/>
      <c r="F44" s="945">
        <f t="shared" si="0"/>
        <v>0</v>
      </c>
      <c r="G44" s="947"/>
      <c r="H44" s="948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5"/>
      <c r="E45" s="949"/>
      <c r="F45" s="945">
        <f t="shared" si="0"/>
        <v>0</v>
      </c>
      <c r="G45" s="947"/>
      <c r="H45" s="948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5"/>
      <c r="E46" s="949"/>
      <c r="F46" s="945">
        <f t="shared" si="0"/>
        <v>0</v>
      </c>
      <c r="G46" s="947"/>
      <c r="H46" s="948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5"/>
      <c r="E47" s="949"/>
      <c r="F47" s="945">
        <f t="shared" si="0"/>
        <v>0</v>
      </c>
      <c r="G47" s="947"/>
      <c r="H47" s="948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5"/>
      <c r="E48" s="949"/>
      <c r="F48" s="945">
        <f t="shared" si="0"/>
        <v>0</v>
      </c>
      <c r="G48" s="947"/>
      <c r="H48" s="948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5"/>
      <c r="E49" s="949"/>
      <c r="F49" s="945">
        <f t="shared" si="0"/>
        <v>0</v>
      </c>
      <c r="G49" s="947"/>
      <c r="H49" s="948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5"/>
      <c r="E50" s="949"/>
      <c r="F50" s="945">
        <f t="shared" si="0"/>
        <v>0</v>
      </c>
      <c r="G50" s="947"/>
      <c r="H50" s="948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5"/>
      <c r="E51" s="949"/>
      <c r="F51" s="945">
        <f t="shared" si="0"/>
        <v>0</v>
      </c>
      <c r="G51" s="947"/>
      <c r="H51" s="948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5"/>
      <c r="E52" s="949"/>
      <c r="F52" s="945">
        <f t="shared" si="0"/>
        <v>0</v>
      </c>
      <c r="G52" s="947"/>
      <c r="H52" s="948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5"/>
      <c r="E53" s="949"/>
      <c r="F53" s="945">
        <f t="shared" si="0"/>
        <v>0</v>
      </c>
      <c r="G53" s="947"/>
      <c r="H53" s="948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G13" sqref="G1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78" t="s">
        <v>334</v>
      </c>
      <c r="B1" s="1278"/>
      <c r="C1" s="1278"/>
      <c r="D1" s="1278"/>
      <c r="E1" s="1278"/>
      <c r="F1" s="1278"/>
      <c r="G1" s="1278"/>
      <c r="H1" s="11">
        <v>1</v>
      </c>
      <c r="K1" s="1278" t="str">
        <f>A1</f>
        <v>INVENTARIO DEL MES DE NOVIEMBRE 2022</v>
      </c>
      <c r="L1" s="1278"/>
      <c r="M1" s="1278"/>
      <c r="N1" s="1278"/>
      <c r="O1" s="1278"/>
      <c r="P1" s="1278"/>
      <c r="Q1" s="1278"/>
      <c r="R1" s="11">
        <v>2</v>
      </c>
      <c r="U1" s="1282" t="s">
        <v>340</v>
      </c>
      <c r="V1" s="1282"/>
      <c r="W1" s="1282"/>
      <c r="X1" s="1282"/>
      <c r="Y1" s="1282"/>
      <c r="Z1" s="1282"/>
      <c r="AA1" s="128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61" t="s">
        <v>120</v>
      </c>
      <c r="C4" s="102"/>
      <c r="D4" s="135"/>
      <c r="E4" s="952">
        <v>811.01</v>
      </c>
      <c r="F4" s="62">
        <v>28</v>
      </c>
      <c r="G4" s="810"/>
      <c r="L4" s="1361" t="s">
        <v>120</v>
      </c>
      <c r="M4" s="102"/>
      <c r="N4" s="135"/>
      <c r="O4" s="86"/>
      <c r="P4" s="73"/>
      <c r="Q4" s="934"/>
      <c r="V4" s="1361" t="s">
        <v>120</v>
      </c>
      <c r="W4" s="102"/>
      <c r="X4" s="135"/>
      <c r="Y4" s="86"/>
      <c r="Z4" s="73"/>
      <c r="AA4" s="1067"/>
    </row>
    <row r="5" spans="1:29" x14ac:dyDescent="0.25">
      <c r="A5" s="75" t="s">
        <v>52</v>
      </c>
      <c r="B5" s="136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1903.1000000000004</v>
      </c>
      <c r="H5" s="138">
        <f>E5-G5+E6</f>
        <v>122.25999999999954</v>
      </c>
      <c r="K5" s="75" t="s">
        <v>52</v>
      </c>
      <c r="L5" s="136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6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49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28">
        <f>E4+E5+E6-F8</f>
        <v>1847.7999999999997</v>
      </c>
      <c r="K8" s="55"/>
      <c r="L8" s="849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28">
        <f>O4+O5+O6-P8</f>
        <v>2081.2600000000002</v>
      </c>
      <c r="U8" s="55"/>
      <c r="V8" s="849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28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49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28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36</v>
      </c>
      <c r="C11" s="620">
        <v>18</v>
      </c>
      <c r="D11" s="1018">
        <v>522.34</v>
      </c>
      <c r="E11" s="1019">
        <v>44900</v>
      </c>
      <c r="F11" s="1020">
        <f t="shared" si="1"/>
        <v>522.34</v>
      </c>
      <c r="G11" s="1021" t="s">
        <v>615</v>
      </c>
      <c r="H11" s="1022">
        <v>92</v>
      </c>
      <c r="I11" s="132">
        <f t="shared" si="2"/>
        <v>1087.6899999999996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31</v>
      </c>
      <c r="C12" s="620">
        <v>5</v>
      </c>
      <c r="D12" s="1018">
        <v>154.41999999999999</v>
      </c>
      <c r="E12" s="1019">
        <v>44901</v>
      </c>
      <c r="F12" s="1020">
        <f t="shared" si="1"/>
        <v>154.41999999999999</v>
      </c>
      <c r="G12" s="1021" t="s">
        <v>625</v>
      </c>
      <c r="H12" s="1022">
        <v>92</v>
      </c>
      <c r="I12" s="132">
        <f t="shared" si="2"/>
        <v>933.26999999999964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31</v>
      </c>
      <c r="C13" s="620"/>
      <c r="D13" s="1018"/>
      <c r="E13" s="1019"/>
      <c r="F13" s="1020">
        <f t="shared" si="1"/>
        <v>0</v>
      </c>
      <c r="G13" s="1021"/>
      <c r="H13" s="1022"/>
      <c r="I13" s="132">
        <f t="shared" si="2"/>
        <v>933.26999999999964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31</v>
      </c>
      <c r="C14" s="620"/>
      <c r="D14" s="1018"/>
      <c r="E14" s="1019"/>
      <c r="F14" s="1020">
        <f t="shared" si="1"/>
        <v>0</v>
      </c>
      <c r="G14" s="1021"/>
      <c r="H14" s="1022"/>
      <c r="I14" s="132">
        <f t="shared" si="2"/>
        <v>933.26999999999964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31</v>
      </c>
      <c r="C15" s="620"/>
      <c r="D15" s="1018"/>
      <c r="E15" s="1019"/>
      <c r="F15" s="1020">
        <f t="shared" si="1"/>
        <v>0</v>
      </c>
      <c r="G15" s="1021"/>
      <c r="H15" s="1022"/>
      <c r="I15" s="132">
        <f t="shared" si="2"/>
        <v>933.26999999999964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31</v>
      </c>
      <c r="C16" s="620"/>
      <c r="D16" s="1018"/>
      <c r="E16" s="1019"/>
      <c r="F16" s="1020">
        <f t="shared" si="1"/>
        <v>0</v>
      </c>
      <c r="G16" s="1021"/>
      <c r="H16" s="1023"/>
      <c r="I16" s="132">
        <f t="shared" si="2"/>
        <v>933.26999999999964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31</v>
      </c>
      <c r="C17" s="620"/>
      <c r="D17" s="1018"/>
      <c r="E17" s="1019"/>
      <c r="F17" s="1020">
        <f t="shared" si="1"/>
        <v>0</v>
      </c>
      <c r="G17" s="1021"/>
      <c r="H17" s="1023"/>
      <c r="I17" s="132">
        <f t="shared" si="2"/>
        <v>933.26999999999964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31</v>
      </c>
      <c r="C18" s="620"/>
      <c r="D18" s="1018"/>
      <c r="E18" s="1019"/>
      <c r="F18" s="1020">
        <f t="shared" si="1"/>
        <v>0</v>
      </c>
      <c r="G18" s="1021"/>
      <c r="H18" s="1023"/>
      <c r="I18" s="132">
        <f t="shared" si="2"/>
        <v>933.26999999999964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31</v>
      </c>
      <c r="C19" s="620"/>
      <c r="D19" s="1018"/>
      <c r="E19" s="1019"/>
      <c r="F19" s="1020">
        <f t="shared" si="1"/>
        <v>0</v>
      </c>
      <c r="G19" s="1021"/>
      <c r="H19" s="1023"/>
      <c r="I19" s="132">
        <f t="shared" si="2"/>
        <v>933.26999999999964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31</v>
      </c>
      <c r="C20" s="620"/>
      <c r="D20" s="1018"/>
      <c r="E20" s="1019"/>
      <c r="F20" s="1020">
        <f t="shared" si="1"/>
        <v>0</v>
      </c>
      <c r="G20" s="1021"/>
      <c r="H20" s="1023"/>
      <c r="I20" s="132">
        <f t="shared" si="2"/>
        <v>933.26999999999964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31</v>
      </c>
      <c r="C21" s="620"/>
      <c r="D21" s="1018"/>
      <c r="E21" s="1019"/>
      <c r="F21" s="1020">
        <f t="shared" si="1"/>
        <v>0</v>
      </c>
      <c r="G21" s="1021"/>
      <c r="H21" s="1024"/>
      <c r="I21" s="132">
        <f t="shared" si="2"/>
        <v>933.26999999999964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31</v>
      </c>
      <c r="C22" s="620"/>
      <c r="D22" s="1018"/>
      <c r="E22" s="1019"/>
      <c r="F22" s="1020">
        <f t="shared" si="1"/>
        <v>0</v>
      </c>
      <c r="G22" s="1021"/>
      <c r="H22" s="1024"/>
      <c r="I22" s="132">
        <f t="shared" si="2"/>
        <v>933.26999999999964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31</v>
      </c>
      <c r="C23" s="620"/>
      <c r="D23" s="1018"/>
      <c r="E23" s="1019"/>
      <c r="F23" s="1020">
        <f t="shared" si="1"/>
        <v>0</v>
      </c>
      <c r="G23" s="1021"/>
      <c r="H23" s="1024"/>
      <c r="I23" s="132">
        <f t="shared" si="2"/>
        <v>933.26999999999964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31</v>
      </c>
      <c r="C24" s="620"/>
      <c r="D24" s="1018"/>
      <c r="E24" s="1019"/>
      <c r="F24" s="1020">
        <f t="shared" si="1"/>
        <v>0</v>
      </c>
      <c r="G24" s="1021"/>
      <c r="H24" s="1024"/>
      <c r="I24" s="132">
        <f t="shared" si="2"/>
        <v>933.26999999999964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31</v>
      </c>
      <c r="C25" s="620"/>
      <c r="D25" s="1018"/>
      <c r="E25" s="1019"/>
      <c r="F25" s="1020">
        <f t="shared" si="1"/>
        <v>0</v>
      </c>
      <c r="G25" s="1021"/>
      <c r="H25" s="1024"/>
      <c r="I25" s="132">
        <f t="shared" si="2"/>
        <v>933.26999999999964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31</v>
      </c>
      <c r="C26" s="620"/>
      <c r="D26" s="1018"/>
      <c r="E26" s="1019"/>
      <c r="F26" s="1020">
        <f t="shared" si="1"/>
        <v>0</v>
      </c>
      <c r="G26" s="1025"/>
      <c r="H26" s="1024"/>
      <c r="I26" s="132">
        <f t="shared" si="2"/>
        <v>933.26999999999964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31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933.26999999999964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31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933.26999999999964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67</v>
      </c>
      <c r="E32" s="75"/>
      <c r="F32" s="105">
        <f>SUM(F8:F31)</f>
        <v>1903.1000000000004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6" t="s">
        <v>21</v>
      </c>
      <c r="E33" s="807"/>
      <c r="F33" s="141">
        <f>E5-D32</f>
        <v>1958.36</v>
      </c>
      <c r="G33" s="75"/>
      <c r="H33" s="75"/>
      <c r="K33" s="75"/>
      <c r="L33" s="75"/>
      <c r="M33" s="75"/>
      <c r="N33" s="929" t="s">
        <v>21</v>
      </c>
      <c r="O33" s="930"/>
      <c r="P33" s="141">
        <f>O5-N32</f>
        <v>2081.2600000000002</v>
      </c>
      <c r="Q33" s="75"/>
      <c r="R33" s="75"/>
      <c r="U33" s="75"/>
      <c r="V33" s="75"/>
      <c r="W33" s="75"/>
      <c r="X33" s="1060" t="s">
        <v>21</v>
      </c>
      <c r="Y33" s="1061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8" t="s">
        <v>4</v>
      </c>
      <c r="E34" s="809"/>
      <c r="F34" s="49" t="e">
        <f>F4+F5-C32</f>
        <v>#REF!</v>
      </c>
      <c r="G34" s="75"/>
      <c r="H34" s="75"/>
      <c r="K34" s="75"/>
      <c r="L34" s="75"/>
      <c r="M34" s="75"/>
      <c r="N34" s="931" t="s">
        <v>4</v>
      </c>
      <c r="O34" s="932"/>
      <c r="P34" s="49">
        <f>P4+P5-M32</f>
        <v>80</v>
      </c>
      <c r="Q34" s="75"/>
      <c r="R34" s="75"/>
      <c r="U34" s="75"/>
      <c r="V34" s="75"/>
      <c r="W34" s="75"/>
      <c r="X34" s="1062" t="s">
        <v>4</v>
      </c>
      <c r="Y34" s="1063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8" t="s">
        <v>335</v>
      </c>
      <c r="B1" s="1278"/>
      <c r="C1" s="1278"/>
      <c r="D1" s="1278"/>
      <c r="E1" s="1278"/>
      <c r="F1" s="1278"/>
      <c r="G1" s="12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1" t="s">
        <v>145</v>
      </c>
      <c r="C4" s="102"/>
      <c r="D4" s="135"/>
      <c r="E4" s="86"/>
      <c r="F4" s="73"/>
      <c r="G4" s="238"/>
    </row>
    <row r="5" spans="1:9" x14ac:dyDescent="0.25">
      <c r="A5" s="1290" t="s">
        <v>97</v>
      </c>
      <c r="B5" s="136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29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59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28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5">
        <f>13.61+13.61</f>
        <v>27.22</v>
      </c>
      <c r="E11" s="633">
        <v>44907</v>
      </c>
      <c r="F11" s="635">
        <f t="shared" si="0"/>
        <v>27.22</v>
      </c>
      <c r="G11" s="1026" t="s">
        <v>684</v>
      </c>
      <c r="H11" s="380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5"/>
      <c r="E12" s="633"/>
      <c r="F12" s="635">
        <f t="shared" si="0"/>
        <v>0</v>
      </c>
      <c r="G12" s="1026"/>
      <c r="H12" s="380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5"/>
      <c r="E13" s="633"/>
      <c r="F13" s="635">
        <f t="shared" si="0"/>
        <v>0</v>
      </c>
      <c r="G13" s="1026"/>
      <c r="H13" s="380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5"/>
      <c r="E14" s="633"/>
      <c r="F14" s="635">
        <f t="shared" si="0"/>
        <v>0</v>
      </c>
      <c r="G14" s="1026"/>
      <c r="H14" s="380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5"/>
      <c r="E15" s="633"/>
      <c r="F15" s="635">
        <f t="shared" si="0"/>
        <v>0</v>
      </c>
      <c r="G15" s="1026"/>
      <c r="H15" s="380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5"/>
      <c r="E16" s="633"/>
      <c r="F16" s="635">
        <f t="shared" si="0"/>
        <v>0</v>
      </c>
      <c r="G16" s="1026"/>
      <c r="H16" s="380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9"/>
      <c r="E17" s="633"/>
      <c r="F17" s="635">
        <f t="shared" si="0"/>
        <v>0</v>
      </c>
      <c r="G17" s="1026"/>
      <c r="H17" s="380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5"/>
      <c r="E18" s="633"/>
      <c r="F18" s="635">
        <f t="shared" si="0"/>
        <v>0</v>
      </c>
      <c r="G18" s="1026"/>
      <c r="H18" s="380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5"/>
      <c r="E19" s="633"/>
      <c r="F19" s="635">
        <f t="shared" si="0"/>
        <v>0</v>
      </c>
      <c r="G19" s="1026"/>
      <c r="H19" s="380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5"/>
      <c r="E20" s="633"/>
      <c r="F20" s="635">
        <f t="shared" si="0"/>
        <v>0</v>
      </c>
      <c r="G20" s="1026"/>
      <c r="H20" s="380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5"/>
      <c r="E21" s="633"/>
      <c r="F21" s="635">
        <f t="shared" si="0"/>
        <v>0</v>
      </c>
      <c r="G21" s="1026"/>
      <c r="H21" s="380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5"/>
      <c r="E22" s="633"/>
      <c r="F22" s="635">
        <f t="shared" si="0"/>
        <v>0</v>
      </c>
      <c r="G22" s="1026"/>
      <c r="H22" s="380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5"/>
      <c r="E23" s="633"/>
      <c r="F23" s="635">
        <f t="shared" si="0"/>
        <v>0</v>
      </c>
      <c r="G23" s="1026"/>
      <c r="H23" s="380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1891.7900000000002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27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6"/>
      <c r="F30" s="6"/>
    </row>
    <row r="31" spans="1:9" ht="15.75" thickBot="1" x14ac:dyDescent="0.3">
      <c r="B31" s="74"/>
      <c r="C31" s="87"/>
      <c r="D31" s="76"/>
      <c r="E31" s="817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3" t="s">
        <v>83</v>
      </c>
      <c r="C4" s="102"/>
      <c r="D4" s="135"/>
      <c r="E4" s="86"/>
      <c r="F4" s="73"/>
      <c r="G4" s="238"/>
    </row>
    <row r="5" spans="1:9" x14ac:dyDescent="0.25">
      <c r="A5" s="75"/>
      <c r="B5" s="1364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2"/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1" t="s">
        <v>101</v>
      </c>
      <c r="C4" s="102"/>
      <c r="D4" s="135"/>
      <c r="E4" s="86"/>
      <c r="F4" s="73"/>
      <c r="G4" s="238"/>
    </row>
    <row r="5" spans="1:9" x14ac:dyDescent="0.25">
      <c r="A5" s="1283"/>
      <c r="B5" s="136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5" t="s">
        <v>102</v>
      </c>
      <c r="C4" s="102"/>
      <c r="D4" s="135"/>
      <c r="E4" s="86"/>
      <c r="F4" s="73"/>
      <c r="G4" s="238"/>
    </row>
    <row r="5" spans="1:9" x14ac:dyDescent="0.25">
      <c r="A5" s="1283" t="s">
        <v>507</v>
      </c>
      <c r="B5" s="1366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82" t="s">
        <v>499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84"/>
      <c r="C5" s="392"/>
      <c r="D5" s="134"/>
      <c r="E5" s="208"/>
      <c r="F5" s="62"/>
      <c r="G5" s="5"/>
    </row>
    <row r="6" spans="1:9" ht="20.25" x14ac:dyDescent="0.3">
      <c r="A6" s="1161" t="s">
        <v>52</v>
      </c>
      <c r="B6" s="1284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80" t="s">
        <v>11</v>
      </c>
      <c r="D83" s="128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K1" zoomScaleNormal="100" workbookViewId="0">
      <pane ySplit="8" topLeftCell="A9" activePane="bottomLeft" state="frozen"/>
      <selection activeCell="K1" sqref="K1"/>
      <selection pane="bottomLeft" activeCell="Q13" sqref="Q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8" t="s">
        <v>321</v>
      </c>
      <c r="B1" s="1278"/>
      <c r="C1" s="1278"/>
      <c r="D1" s="1278"/>
      <c r="E1" s="1278"/>
      <c r="F1" s="1278"/>
      <c r="G1" s="1278"/>
      <c r="H1" s="11">
        <v>1</v>
      </c>
      <c r="K1" s="1278" t="str">
        <f>A1</f>
        <v>INVENTARIO   DEL MES DE    NOVIEMBRE 2022</v>
      </c>
      <c r="L1" s="1278"/>
      <c r="M1" s="1278"/>
      <c r="N1" s="1278"/>
      <c r="O1" s="1278"/>
      <c r="P1" s="1278"/>
      <c r="Q1" s="1278"/>
      <c r="R1" s="11">
        <v>2</v>
      </c>
      <c r="U1" s="1282" t="s">
        <v>340</v>
      </c>
      <c r="V1" s="1282"/>
      <c r="W1" s="1282"/>
      <c r="X1" s="1282"/>
      <c r="Y1" s="1282"/>
      <c r="Z1" s="1282"/>
      <c r="AA1" s="128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8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8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85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85"/>
      <c r="C6" s="484"/>
      <c r="D6" s="134"/>
      <c r="E6" s="69"/>
      <c r="F6" s="73"/>
      <c r="G6" s="47">
        <f>F48</f>
        <v>522.79</v>
      </c>
      <c r="H6" s="7">
        <f>E6-G6+E7+E5-G5</f>
        <v>-11.809999999999945</v>
      </c>
      <c r="K6" s="405"/>
      <c r="L6" s="1285"/>
      <c r="M6" s="484"/>
      <c r="N6" s="134"/>
      <c r="O6" s="69">
        <v>106.36</v>
      </c>
      <c r="P6" s="73">
        <v>9</v>
      </c>
      <c r="Q6" s="47">
        <f>P48</f>
        <v>424.65000000000003</v>
      </c>
      <c r="R6" s="7">
        <f>O6-Q6+O7+O5-Q5</f>
        <v>189.53999999999996</v>
      </c>
      <c r="U6" s="405"/>
      <c r="V6" s="1285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4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3">
        <f>E6-F9+E5+E7+E4</f>
        <v>511.01000000000005</v>
      </c>
      <c r="K9" s="80" t="s">
        <v>32</v>
      </c>
      <c r="L9" s="824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578</v>
      </c>
      <c r="R9" s="71">
        <v>98</v>
      </c>
      <c r="S9" s="823">
        <f>O6-P9+O5+O7+O4</f>
        <v>496.03999999999996</v>
      </c>
      <c r="U9" s="80" t="s">
        <v>32</v>
      </c>
      <c r="V9" s="896">
        <f>Z6-W9+Z5+Z7+Z4</f>
        <v>42</v>
      </c>
      <c r="W9" s="820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8">
        <v>12.2</v>
      </c>
      <c r="E10" s="839">
        <v>44872</v>
      </c>
      <c r="F10" s="838">
        <f>D10</f>
        <v>12.2</v>
      </c>
      <c r="G10" s="840" t="s">
        <v>248</v>
      </c>
      <c r="H10" s="841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579</v>
      </c>
      <c r="R10" s="71">
        <v>98</v>
      </c>
      <c r="S10" s="105">
        <f>S9-P10</f>
        <v>484.21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8">
        <v>118.47</v>
      </c>
      <c r="E11" s="839">
        <v>44872</v>
      </c>
      <c r="F11" s="838">
        <f>D11</f>
        <v>118.47</v>
      </c>
      <c r="G11" s="840" t="s">
        <v>250</v>
      </c>
      <c r="H11" s="841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622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8">
        <v>59.94</v>
      </c>
      <c r="E12" s="839">
        <v>44876</v>
      </c>
      <c r="F12" s="838">
        <f>D12</f>
        <v>59.94</v>
      </c>
      <c r="G12" s="840" t="s">
        <v>262</v>
      </c>
      <c r="H12" s="841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667</v>
      </c>
      <c r="R12" s="71">
        <v>98</v>
      </c>
      <c r="S12" s="105">
        <f t="shared" si="3"/>
        <v>189.53999999999996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8">
        <v>119.76</v>
      </c>
      <c r="E13" s="839">
        <v>44882</v>
      </c>
      <c r="F13" s="838">
        <f t="shared" ref="F13:F45" si="6">D13</f>
        <v>119.76</v>
      </c>
      <c r="G13" s="840" t="s">
        <v>282</v>
      </c>
      <c r="H13" s="841">
        <v>98</v>
      </c>
      <c r="I13" s="105">
        <f t="shared" si="1"/>
        <v>200.64000000000004</v>
      </c>
      <c r="K13" s="82" t="s">
        <v>33</v>
      </c>
      <c r="L13" s="83">
        <f t="shared" si="2"/>
        <v>16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189.53999999999996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4">
        <f t="shared" si="0"/>
        <v>9</v>
      </c>
      <c r="C14" s="15">
        <v>8</v>
      </c>
      <c r="D14" s="838">
        <v>94.28</v>
      </c>
      <c r="E14" s="839">
        <v>44887</v>
      </c>
      <c r="F14" s="838">
        <f t="shared" si="6"/>
        <v>94.28</v>
      </c>
      <c r="G14" s="840" t="s">
        <v>295</v>
      </c>
      <c r="H14" s="841">
        <v>98</v>
      </c>
      <c r="I14" s="823">
        <f t="shared" si="1"/>
        <v>106.36000000000004</v>
      </c>
      <c r="K14" s="73"/>
      <c r="L14" s="83">
        <f t="shared" si="2"/>
        <v>16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189.53999999999996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16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189.53999999999996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16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189.53999999999996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0</v>
      </c>
      <c r="C17" s="15">
        <v>9</v>
      </c>
      <c r="D17" s="537"/>
      <c r="E17" s="732"/>
      <c r="F17" s="1373">
        <v>106.36</v>
      </c>
      <c r="G17" s="1374"/>
      <c r="H17" s="1375"/>
      <c r="I17" s="1376">
        <f t="shared" si="1"/>
        <v>0</v>
      </c>
      <c r="L17" s="83">
        <f t="shared" si="2"/>
        <v>16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189.53999999999996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0</v>
      </c>
      <c r="C18" s="15"/>
      <c r="D18" s="537"/>
      <c r="E18" s="732"/>
      <c r="F18" s="1373">
        <f t="shared" si="6"/>
        <v>0</v>
      </c>
      <c r="G18" s="1374"/>
      <c r="H18" s="1375"/>
      <c r="I18" s="1376">
        <f t="shared" si="1"/>
        <v>0</v>
      </c>
      <c r="K18" s="122"/>
      <c r="L18" s="83">
        <f t="shared" si="2"/>
        <v>16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189.53999999999996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0</v>
      </c>
      <c r="C19" s="15"/>
      <c r="D19" s="537"/>
      <c r="E19" s="732"/>
      <c r="F19" s="1373">
        <f t="shared" si="6"/>
        <v>0</v>
      </c>
      <c r="G19" s="1374"/>
      <c r="H19" s="1375"/>
      <c r="I19" s="1376">
        <f t="shared" si="1"/>
        <v>0</v>
      </c>
      <c r="K19" s="122"/>
      <c r="L19" s="83">
        <f t="shared" si="2"/>
        <v>16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189.53999999999996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0</v>
      </c>
      <c r="C20" s="15"/>
      <c r="D20" s="537"/>
      <c r="E20" s="732"/>
      <c r="F20" s="1373">
        <f t="shared" si="6"/>
        <v>0</v>
      </c>
      <c r="G20" s="1374"/>
      <c r="H20" s="1375"/>
      <c r="I20" s="1376">
        <f t="shared" si="1"/>
        <v>0</v>
      </c>
      <c r="K20" s="122"/>
      <c r="L20" s="83">
        <f t="shared" si="2"/>
        <v>16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189.53999999999996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0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0</v>
      </c>
      <c r="K21" s="122"/>
      <c r="L21" s="83">
        <f t="shared" si="2"/>
        <v>16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189.53999999999996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0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0</v>
      </c>
      <c r="K22" s="122"/>
      <c r="L22" s="233">
        <f t="shared" si="2"/>
        <v>16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189.53999999999996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0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0</v>
      </c>
      <c r="K23" s="123"/>
      <c r="L23" s="233">
        <f t="shared" si="2"/>
        <v>16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189.53999999999996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0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0</v>
      </c>
      <c r="K24" s="122"/>
      <c r="L24" s="233">
        <f t="shared" si="2"/>
        <v>16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189.53999999999996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0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0</v>
      </c>
      <c r="K25" s="122"/>
      <c r="L25" s="233">
        <f t="shared" si="2"/>
        <v>16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189.53999999999996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0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0</v>
      </c>
      <c r="K26" s="122"/>
      <c r="L26" s="182">
        <f t="shared" si="2"/>
        <v>16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189.53999999999996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0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0</v>
      </c>
      <c r="K27" s="122"/>
      <c r="L27" s="233">
        <f t="shared" si="2"/>
        <v>16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189.53999999999996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0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0</v>
      </c>
      <c r="K28" s="122"/>
      <c r="L28" s="182">
        <f t="shared" si="2"/>
        <v>16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189.53999999999996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0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0</v>
      </c>
      <c r="K29" s="122"/>
      <c r="L29" s="233">
        <f t="shared" si="2"/>
        <v>16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189.53999999999996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0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0</v>
      </c>
      <c r="K30" s="122"/>
      <c r="L30" s="233">
        <f t="shared" si="2"/>
        <v>16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189.53999999999996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0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0</v>
      </c>
      <c r="K31" s="122"/>
      <c r="L31" s="233">
        <f t="shared" si="2"/>
        <v>16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189.53999999999996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3">
        <f t="shared" si="2"/>
        <v>16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189.53999999999996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3">
        <f t="shared" si="2"/>
        <v>16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189.53999999999996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3">
        <f t="shared" si="2"/>
        <v>16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189.53999999999996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3">
        <f t="shared" si="2"/>
        <v>16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189.53999999999996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3">
        <f t="shared" si="2"/>
        <v>16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189.53999999999996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3">
        <f t="shared" si="2"/>
        <v>16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189.53999999999996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3">
        <f t="shared" si="2"/>
        <v>16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189.53999999999996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16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189.53999999999996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16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189.53999999999996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16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189.53999999999996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16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189.53999999999996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16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189.53999999999996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16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189.53999999999996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16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189.53999999999996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36</v>
      </c>
      <c r="N48" s="6">
        <f>SUM(N9:N47)</f>
        <v>424.65000000000003</v>
      </c>
      <c r="P48" s="6">
        <f>SUM(P9:P47)</f>
        <v>424.65000000000003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16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80" t="s">
        <v>11</v>
      </c>
      <c r="D53" s="1281"/>
      <c r="E53" s="57">
        <f>E5+E6-F48+E7</f>
        <v>-11.809999999999945</v>
      </c>
      <c r="F53" s="73"/>
      <c r="M53" s="1280" t="s">
        <v>11</v>
      </c>
      <c r="N53" s="1281"/>
      <c r="O53" s="57">
        <f>O5+O6-P48+O7</f>
        <v>189.53999999999991</v>
      </c>
      <c r="P53" s="73"/>
      <c r="W53" s="1280" t="s">
        <v>11</v>
      </c>
      <c r="X53" s="1281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G13" sqref="G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2" t="s">
        <v>340</v>
      </c>
      <c r="B1" s="1282"/>
      <c r="C1" s="1282"/>
      <c r="D1" s="1282"/>
      <c r="E1" s="1282"/>
      <c r="F1" s="1282"/>
      <c r="G1" s="12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0">
        <v>248.57</v>
      </c>
      <c r="F4" s="882">
        <v>21</v>
      </c>
      <c r="G4" s="155"/>
      <c r="H4" s="155"/>
    </row>
    <row r="5" spans="1:9" ht="15.75" customHeight="1" x14ac:dyDescent="0.25">
      <c r="A5" s="226" t="s">
        <v>62</v>
      </c>
      <c r="B5" s="1286" t="s">
        <v>72</v>
      </c>
      <c r="C5" s="591">
        <v>85</v>
      </c>
      <c r="D5" s="1028">
        <v>44897</v>
      </c>
      <c r="E5" s="852">
        <v>106.18</v>
      </c>
      <c r="F5" s="882">
        <v>9</v>
      </c>
      <c r="G5" s="5"/>
    </row>
    <row r="6" spans="1:9" x14ac:dyDescent="0.25">
      <c r="A6" s="226"/>
      <c r="B6" s="1286"/>
      <c r="C6" s="392">
        <v>85</v>
      </c>
      <c r="D6" s="716">
        <v>44911</v>
      </c>
      <c r="E6" s="1029">
        <v>508.54</v>
      </c>
      <c r="F6" s="882">
        <v>43</v>
      </c>
      <c r="G6" s="47">
        <f>F42</f>
        <v>354.75</v>
      </c>
      <c r="H6" s="7">
        <f>E6-G6+E7+E5-G5+E4</f>
        <v>508.54</v>
      </c>
    </row>
    <row r="7" spans="1:9" ht="15.75" thickBot="1" x14ac:dyDescent="0.3">
      <c r="B7" s="19"/>
      <c r="C7" s="392"/>
      <c r="D7" s="716"/>
      <c r="E7" s="1030"/>
      <c r="F7" s="88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6">
        <f>F6-C9+F5+F7+F4</f>
        <v>63</v>
      </c>
      <c r="C9" s="820">
        <v>10</v>
      </c>
      <c r="D9" s="702">
        <v>117.59</v>
      </c>
      <c r="E9" s="733">
        <v>44894</v>
      </c>
      <c r="F9" s="702">
        <f t="shared" ref="F9:F40" si="0">D9</f>
        <v>117.59</v>
      </c>
      <c r="G9" s="700" t="s">
        <v>575</v>
      </c>
      <c r="H9" s="701">
        <v>90</v>
      </c>
      <c r="I9" s="737">
        <f>E6-F9+E5+E7+E4</f>
        <v>745.7</v>
      </c>
    </row>
    <row r="10" spans="1:9" x14ac:dyDescent="0.25">
      <c r="A10" s="194"/>
      <c r="B10" s="896">
        <f>B9-C10</f>
        <v>53</v>
      </c>
      <c r="C10" s="714">
        <v>10</v>
      </c>
      <c r="D10" s="702">
        <v>119.28</v>
      </c>
      <c r="E10" s="733">
        <v>44896</v>
      </c>
      <c r="F10" s="702">
        <f t="shared" si="0"/>
        <v>119.28</v>
      </c>
      <c r="G10" s="700" t="s">
        <v>594</v>
      </c>
      <c r="H10" s="701">
        <v>90</v>
      </c>
      <c r="I10" s="737">
        <f>I9-F10</f>
        <v>626.42000000000007</v>
      </c>
    </row>
    <row r="11" spans="1:9" x14ac:dyDescent="0.25">
      <c r="A11" s="182"/>
      <c r="B11" s="896">
        <f t="shared" ref="B11:B40" si="1">B10-C11</f>
        <v>44</v>
      </c>
      <c r="C11" s="714">
        <v>9</v>
      </c>
      <c r="D11" s="702">
        <v>106.18</v>
      </c>
      <c r="E11" s="733">
        <v>44897</v>
      </c>
      <c r="F11" s="702">
        <f t="shared" si="0"/>
        <v>106.18</v>
      </c>
      <c r="G11" s="700" t="s">
        <v>598</v>
      </c>
      <c r="H11" s="701">
        <v>90</v>
      </c>
      <c r="I11" s="737">
        <f t="shared" ref="I11:I40" si="2">I10-F11</f>
        <v>520.24</v>
      </c>
    </row>
    <row r="12" spans="1:9" x14ac:dyDescent="0.25">
      <c r="A12" s="182"/>
      <c r="B12" s="896">
        <f t="shared" si="1"/>
        <v>43</v>
      </c>
      <c r="C12" s="714">
        <v>1</v>
      </c>
      <c r="D12" s="702">
        <v>11.7</v>
      </c>
      <c r="E12" s="733">
        <v>44905</v>
      </c>
      <c r="F12" s="702">
        <f t="shared" si="0"/>
        <v>11.7</v>
      </c>
      <c r="G12" s="700" t="s">
        <v>677</v>
      </c>
      <c r="H12" s="701">
        <v>90</v>
      </c>
      <c r="I12" s="737">
        <f t="shared" si="2"/>
        <v>508.54</v>
      </c>
    </row>
    <row r="13" spans="1:9" x14ac:dyDescent="0.25">
      <c r="A13" s="82" t="s">
        <v>33</v>
      </c>
      <c r="B13" s="896">
        <f t="shared" si="1"/>
        <v>43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508.54</v>
      </c>
    </row>
    <row r="14" spans="1:9" x14ac:dyDescent="0.25">
      <c r="A14" s="73"/>
      <c r="B14" s="896">
        <f t="shared" si="1"/>
        <v>43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508.54</v>
      </c>
    </row>
    <row r="15" spans="1:9" x14ac:dyDescent="0.25">
      <c r="A15" s="73"/>
      <c r="B15" s="896">
        <f t="shared" si="1"/>
        <v>43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508.54</v>
      </c>
    </row>
    <row r="16" spans="1:9" x14ac:dyDescent="0.25">
      <c r="B16" s="896">
        <f t="shared" si="1"/>
        <v>43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508.54</v>
      </c>
    </row>
    <row r="17" spans="1:9" x14ac:dyDescent="0.25">
      <c r="B17" s="896">
        <f t="shared" si="1"/>
        <v>43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508.54</v>
      </c>
    </row>
    <row r="18" spans="1:9" x14ac:dyDescent="0.25">
      <c r="A18" s="122"/>
      <c r="B18" s="896">
        <f t="shared" si="1"/>
        <v>43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508.54</v>
      </c>
    </row>
    <row r="19" spans="1:9" x14ac:dyDescent="0.25">
      <c r="A19" s="122"/>
      <c r="B19" s="83">
        <f t="shared" si="1"/>
        <v>43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508.54</v>
      </c>
    </row>
    <row r="20" spans="1:9" x14ac:dyDescent="0.25">
      <c r="A20" s="122"/>
      <c r="B20" s="83">
        <f t="shared" si="1"/>
        <v>43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508.54</v>
      </c>
    </row>
    <row r="21" spans="1:9" x14ac:dyDescent="0.25">
      <c r="A21" s="122"/>
      <c r="B21" s="83">
        <f t="shared" si="1"/>
        <v>43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508.54</v>
      </c>
    </row>
    <row r="22" spans="1:9" x14ac:dyDescent="0.25">
      <c r="A22" s="122"/>
      <c r="B22" s="233">
        <f t="shared" si="1"/>
        <v>43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508.54</v>
      </c>
    </row>
    <row r="23" spans="1:9" x14ac:dyDescent="0.25">
      <c r="A23" s="123"/>
      <c r="B23" s="233">
        <f t="shared" si="1"/>
        <v>43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508.54</v>
      </c>
    </row>
    <row r="24" spans="1:9" x14ac:dyDescent="0.25">
      <c r="A24" s="122"/>
      <c r="B24" s="233">
        <f t="shared" si="1"/>
        <v>43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508.54</v>
      </c>
    </row>
    <row r="25" spans="1:9" x14ac:dyDescent="0.25">
      <c r="A25" s="122"/>
      <c r="B25" s="233">
        <f t="shared" si="1"/>
        <v>43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508.54</v>
      </c>
    </row>
    <row r="26" spans="1:9" x14ac:dyDescent="0.25">
      <c r="A26" s="122"/>
      <c r="B26" s="182">
        <f t="shared" si="1"/>
        <v>43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508.54</v>
      </c>
    </row>
    <row r="27" spans="1:9" x14ac:dyDescent="0.25">
      <c r="A27" s="122"/>
      <c r="B27" s="233">
        <f t="shared" si="1"/>
        <v>43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508.54</v>
      </c>
    </row>
    <row r="28" spans="1:9" x14ac:dyDescent="0.25">
      <c r="A28" s="122"/>
      <c r="B28" s="182">
        <f t="shared" si="1"/>
        <v>43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508.54</v>
      </c>
    </row>
    <row r="29" spans="1:9" x14ac:dyDescent="0.25">
      <c r="A29" s="122"/>
      <c r="B29" s="233">
        <f t="shared" si="1"/>
        <v>43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508.54</v>
      </c>
    </row>
    <row r="30" spans="1:9" x14ac:dyDescent="0.25">
      <c r="A30" s="122"/>
      <c r="B30" s="233">
        <f t="shared" si="1"/>
        <v>43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508.54</v>
      </c>
    </row>
    <row r="31" spans="1:9" x14ac:dyDescent="0.25">
      <c r="A31" s="122"/>
      <c r="B31" s="233">
        <f t="shared" si="1"/>
        <v>43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508.54</v>
      </c>
    </row>
    <row r="32" spans="1:9" x14ac:dyDescent="0.25">
      <c r="A32" s="122"/>
      <c r="B32" s="233">
        <f t="shared" si="1"/>
        <v>43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508.54</v>
      </c>
    </row>
    <row r="33" spans="1:9" x14ac:dyDescent="0.25">
      <c r="A33" s="122"/>
      <c r="B33" s="233">
        <f t="shared" si="1"/>
        <v>43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508.54</v>
      </c>
    </row>
    <row r="34" spans="1:9" x14ac:dyDescent="0.25">
      <c r="A34" s="122"/>
      <c r="B34" s="233">
        <f t="shared" si="1"/>
        <v>43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508.54</v>
      </c>
    </row>
    <row r="35" spans="1:9" x14ac:dyDescent="0.25">
      <c r="A35" s="122"/>
      <c r="B35" s="233">
        <f t="shared" si="1"/>
        <v>43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508.54</v>
      </c>
    </row>
    <row r="36" spans="1:9" x14ac:dyDescent="0.25">
      <c r="A36" s="122" t="s">
        <v>22</v>
      </c>
      <c r="B36" s="233">
        <f t="shared" si="1"/>
        <v>43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508.54</v>
      </c>
    </row>
    <row r="37" spans="1:9" x14ac:dyDescent="0.25">
      <c r="A37" s="123"/>
      <c r="B37" s="233">
        <f t="shared" si="1"/>
        <v>43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508.54</v>
      </c>
    </row>
    <row r="38" spans="1:9" x14ac:dyDescent="0.25">
      <c r="A38" s="122"/>
      <c r="B38" s="233">
        <f t="shared" si="1"/>
        <v>43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508.54</v>
      </c>
    </row>
    <row r="39" spans="1:9" x14ac:dyDescent="0.25">
      <c r="A39" s="122"/>
      <c r="B39" s="83">
        <f t="shared" si="1"/>
        <v>43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508.54</v>
      </c>
    </row>
    <row r="40" spans="1:9" x14ac:dyDescent="0.25">
      <c r="A40" s="122"/>
      <c r="B40" s="83">
        <f t="shared" si="1"/>
        <v>43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508.54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354.75</v>
      </c>
      <c r="F42" s="6">
        <f>SUM(F9:F41)</f>
        <v>354.75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22</v>
      </c>
    </row>
    <row r="46" spans="1:9" ht="15.75" thickBot="1" x14ac:dyDescent="0.3"/>
    <row r="47" spans="1:9" ht="15.75" thickBot="1" x14ac:dyDescent="0.3">
      <c r="C47" s="1280" t="s">
        <v>11</v>
      </c>
      <c r="D47" s="1281"/>
      <c r="E47" s="57">
        <f>E5+E6-F42+E7</f>
        <v>259.97000000000003</v>
      </c>
      <c r="F47" s="73"/>
    </row>
    <row r="50" spans="1:7" x14ac:dyDescent="0.25">
      <c r="A50" s="226"/>
      <c r="B50" s="1283"/>
      <c r="C50" s="483"/>
      <c r="D50" s="232"/>
      <c r="E50" s="78"/>
      <c r="F50" s="62"/>
      <c r="G50" s="5"/>
    </row>
    <row r="51" spans="1:7" x14ac:dyDescent="0.25">
      <c r="A51" s="226"/>
      <c r="B51" s="1283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15" sqref="Q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78" t="s">
        <v>227</v>
      </c>
      <c r="B1" s="1278"/>
      <c r="C1" s="1278"/>
      <c r="D1" s="1278"/>
      <c r="E1" s="1278"/>
      <c r="F1" s="1278"/>
      <c r="G1" s="1278"/>
      <c r="H1" s="11">
        <v>1</v>
      </c>
      <c r="K1" s="1282" t="s">
        <v>339</v>
      </c>
      <c r="L1" s="1282"/>
      <c r="M1" s="1282"/>
      <c r="N1" s="1282"/>
      <c r="O1" s="1282"/>
      <c r="P1" s="1282"/>
      <c r="Q1" s="12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>
        <v>57.46</v>
      </c>
      <c r="P4" s="62">
        <v>5</v>
      </c>
      <c r="Q4" s="155"/>
      <c r="R4" s="155"/>
    </row>
    <row r="5" spans="1:19" ht="15" customHeight="1" x14ac:dyDescent="0.25">
      <c r="A5" s="226" t="s">
        <v>62</v>
      </c>
      <c r="B5" s="128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8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8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6"/>
      <c r="L6" s="1284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507.03</v>
      </c>
      <c r="R6" s="7">
        <f>O6-Q6+O7+O5-Q5+O4</f>
        <v>1563.5900000000001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648</v>
      </c>
      <c r="R9" s="71">
        <v>101</v>
      </c>
      <c r="S9" s="105">
        <f>O6-P9+O5+O7+O4</f>
        <v>1952.23</v>
      </c>
    </row>
    <row r="10" spans="1:19" x14ac:dyDescent="0.25">
      <c r="A10" s="194"/>
      <c r="B10" s="888">
        <f>B9-C10</f>
        <v>114</v>
      </c>
      <c r="C10" s="820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88">
        <f>L9-M10</f>
        <v>160</v>
      </c>
      <c r="M10" s="820">
        <v>1</v>
      </c>
      <c r="N10" s="702">
        <v>11.7</v>
      </c>
      <c r="O10" s="733">
        <v>44904</v>
      </c>
      <c r="P10" s="702">
        <f t="shared" si="1"/>
        <v>11.7</v>
      </c>
      <c r="Q10" s="700" t="s">
        <v>658</v>
      </c>
      <c r="R10" s="701">
        <v>101</v>
      </c>
      <c r="S10" s="737">
        <f>S9-P10</f>
        <v>1940.53</v>
      </c>
    </row>
    <row r="11" spans="1:19" x14ac:dyDescent="0.25">
      <c r="A11" s="182"/>
      <c r="B11" s="888">
        <f t="shared" ref="B11:B74" si="3">B10-C11</f>
        <v>104</v>
      </c>
      <c r="C11" s="820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88">
        <f t="shared" ref="L11:L74" si="5">L10-M11</f>
        <v>140</v>
      </c>
      <c r="M11" s="820">
        <v>20</v>
      </c>
      <c r="N11" s="702">
        <v>243.42</v>
      </c>
      <c r="O11" s="733">
        <v>44905</v>
      </c>
      <c r="P11" s="702">
        <f t="shared" si="1"/>
        <v>243.42</v>
      </c>
      <c r="Q11" s="700" t="s">
        <v>667</v>
      </c>
      <c r="R11" s="701">
        <v>101</v>
      </c>
      <c r="S11" s="737">
        <f t="shared" ref="S11:S74" si="6">S10-P11</f>
        <v>1697.11</v>
      </c>
    </row>
    <row r="12" spans="1:19" x14ac:dyDescent="0.25">
      <c r="A12" s="182"/>
      <c r="B12" s="888">
        <f t="shared" si="3"/>
        <v>94</v>
      </c>
      <c r="C12" s="820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88">
        <f t="shared" si="5"/>
        <v>135</v>
      </c>
      <c r="M12" s="820">
        <v>5</v>
      </c>
      <c r="N12" s="702">
        <v>59.83</v>
      </c>
      <c r="O12" s="733">
        <v>44905</v>
      </c>
      <c r="P12" s="702">
        <f t="shared" si="1"/>
        <v>59.83</v>
      </c>
      <c r="Q12" s="700" t="s">
        <v>668</v>
      </c>
      <c r="R12" s="701">
        <v>101</v>
      </c>
      <c r="S12" s="737">
        <f t="shared" si="6"/>
        <v>1637.28</v>
      </c>
    </row>
    <row r="13" spans="1:19" x14ac:dyDescent="0.25">
      <c r="A13" s="82" t="s">
        <v>33</v>
      </c>
      <c r="B13" s="888">
        <f t="shared" si="3"/>
        <v>84</v>
      </c>
      <c r="C13" s="820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88">
        <f t="shared" si="5"/>
        <v>134</v>
      </c>
      <c r="M13" s="820">
        <v>1</v>
      </c>
      <c r="N13" s="702">
        <v>12.17</v>
      </c>
      <c r="O13" s="733">
        <v>44907</v>
      </c>
      <c r="P13" s="702">
        <f t="shared" si="1"/>
        <v>12.17</v>
      </c>
      <c r="Q13" s="700" t="s">
        <v>681</v>
      </c>
      <c r="R13" s="701">
        <v>101</v>
      </c>
      <c r="S13" s="737">
        <f t="shared" si="6"/>
        <v>1625.11</v>
      </c>
    </row>
    <row r="14" spans="1:19" x14ac:dyDescent="0.25">
      <c r="A14" s="73"/>
      <c r="B14" s="888">
        <f t="shared" si="3"/>
        <v>82</v>
      </c>
      <c r="C14" s="820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88">
        <f t="shared" si="5"/>
        <v>129</v>
      </c>
      <c r="M14" s="820">
        <v>5</v>
      </c>
      <c r="N14" s="702">
        <v>61.52</v>
      </c>
      <c r="O14" s="733">
        <v>44907</v>
      </c>
      <c r="P14" s="702">
        <f t="shared" si="1"/>
        <v>61.52</v>
      </c>
      <c r="Q14" s="700" t="s">
        <v>682</v>
      </c>
      <c r="R14" s="701">
        <v>101</v>
      </c>
      <c r="S14" s="737">
        <f t="shared" si="6"/>
        <v>1563.59</v>
      </c>
    </row>
    <row r="15" spans="1:19" ht="15.75" customHeight="1" x14ac:dyDescent="0.25">
      <c r="A15" s="73"/>
      <c r="B15" s="888">
        <f t="shared" si="3"/>
        <v>81</v>
      </c>
      <c r="C15" s="820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88">
        <f t="shared" si="5"/>
        <v>129</v>
      </c>
      <c r="M15" s="820"/>
      <c r="N15" s="702"/>
      <c r="O15" s="733"/>
      <c r="P15" s="702">
        <f t="shared" si="1"/>
        <v>0</v>
      </c>
      <c r="Q15" s="700"/>
      <c r="R15" s="701"/>
      <c r="S15" s="737">
        <f t="shared" si="6"/>
        <v>1563.59</v>
      </c>
    </row>
    <row r="16" spans="1:19" ht="15.75" customHeight="1" x14ac:dyDescent="0.25">
      <c r="B16" s="888">
        <f t="shared" si="3"/>
        <v>76</v>
      </c>
      <c r="C16" s="820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88">
        <f t="shared" si="5"/>
        <v>129</v>
      </c>
      <c r="M16" s="820"/>
      <c r="N16" s="702"/>
      <c r="O16" s="733"/>
      <c r="P16" s="702">
        <f t="shared" si="1"/>
        <v>0</v>
      </c>
      <c r="Q16" s="700"/>
      <c r="R16" s="701"/>
      <c r="S16" s="737">
        <f t="shared" si="6"/>
        <v>1563.59</v>
      </c>
    </row>
    <row r="17" spans="1:19" x14ac:dyDescent="0.25">
      <c r="B17" s="888">
        <f t="shared" si="3"/>
        <v>75</v>
      </c>
      <c r="C17" s="820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88">
        <f t="shared" si="5"/>
        <v>129</v>
      </c>
      <c r="M17" s="820"/>
      <c r="N17" s="702"/>
      <c r="O17" s="733"/>
      <c r="P17" s="702">
        <f t="shared" si="1"/>
        <v>0</v>
      </c>
      <c r="Q17" s="700"/>
      <c r="R17" s="701"/>
      <c r="S17" s="737">
        <f t="shared" si="6"/>
        <v>1563.59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8">
        <f t="shared" si="5"/>
        <v>129</v>
      </c>
      <c r="M18" s="820"/>
      <c r="N18" s="702"/>
      <c r="O18" s="733"/>
      <c r="P18" s="702">
        <f t="shared" si="1"/>
        <v>0</v>
      </c>
      <c r="Q18" s="700"/>
      <c r="R18" s="701"/>
      <c r="S18" s="737">
        <f t="shared" si="6"/>
        <v>1563.59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8">
        <f t="shared" si="5"/>
        <v>129</v>
      </c>
      <c r="M19" s="820"/>
      <c r="N19" s="702"/>
      <c r="O19" s="733"/>
      <c r="P19" s="702">
        <f t="shared" si="1"/>
        <v>0</v>
      </c>
      <c r="Q19" s="700"/>
      <c r="R19" s="701"/>
      <c r="S19" s="737">
        <f t="shared" si="6"/>
        <v>1563.59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8">
        <f t="shared" si="5"/>
        <v>129</v>
      </c>
      <c r="M20" s="820"/>
      <c r="N20" s="702"/>
      <c r="O20" s="733"/>
      <c r="P20" s="702">
        <f t="shared" si="1"/>
        <v>0</v>
      </c>
      <c r="Q20" s="700"/>
      <c r="R20" s="701"/>
      <c r="S20" s="737">
        <f t="shared" si="6"/>
        <v>1563.59</v>
      </c>
    </row>
    <row r="21" spans="1:19" x14ac:dyDescent="0.25">
      <c r="A21" s="122"/>
      <c r="B21" s="826">
        <f t="shared" si="3"/>
        <v>41</v>
      </c>
      <c r="C21" s="820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3">
        <f t="shared" si="4"/>
        <v>483.13999999999993</v>
      </c>
      <c r="K21" s="122"/>
      <c r="L21" s="888">
        <f t="shared" si="5"/>
        <v>129</v>
      </c>
      <c r="M21" s="820"/>
      <c r="N21" s="702"/>
      <c r="O21" s="733"/>
      <c r="P21" s="702">
        <f t="shared" si="1"/>
        <v>0</v>
      </c>
      <c r="Q21" s="700"/>
      <c r="R21" s="701"/>
      <c r="S21" s="737">
        <f t="shared" si="6"/>
        <v>1563.59</v>
      </c>
    </row>
    <row r="22" spans="1:19" x14ac:dyDescent="0.25">
      <c r="A22" s="122"/>
      <c r="B22" s="182">
        <f t="shared" si="3"/>
        <v>36</v>
      </c>
      <c r="C22" s="15">
        <v>5</v>
      </c>
      <c r="D22" s="537">
        <v>59.87</v>
      </c>
      <c r="E22" s="732">
        <v>44893</v>
      </c>
      <c r="F22" s="537">
        <f t="shared" si="2"/>
        <v>59.87</v>
      </c>
      <c r="G22" s="330" t="s">
        <v>570</v>
      </c>
      <c r="H22" s="331">
        <v>101</v>
      </c>
      <c r="I22" s="105">
        <f t="shared" si="4"/>
        <v>423.26999999999992</v>
      </c>
      <c r="K22" s="122"/>
      <c r="L22" s="888">
        <f t="shared" si="5"/>
        <v>129</v>
      </c>
      <c r="M22" s="820"/>
      <c r="N22" s="994"/>
      <c r="O22" s="998"/>
      <c r="P22" s="994">
        <f t="shared" si="1"/>
        <v>0</v>
      </c>
      <c r="Q22" s="995"/>
      <c r="R22" s="996"/>
      <c r="S22" s="737">
        <f t="shared" si="6"/>
        <v>1563.59</v>
      </c>
    </row>
    <row r="23" spans="1:19" x14ac:dyDescent="0.25">
      <c r="A23" s="123"/>
      <c r="B23" s="182">
        <f t="shared" si="3"/>
        <v>26</v>
      </c>
      <c r="C23" s="15">
        <v>10</v>
      </c>
      <c r="D23" s="537">
        <v>116.89</v>
      </c>
      <c r="E23" s="732">
        <v>44895</v>
      </c>
      <c r="F23" s="537">
        <f t="shared" si="2"/>
        <v>116.89</v>
      </c>
      <c r="G23" s="330" t="s">
        <v>578</v>
      </c>
      <c r="H23" s="331">
        <v>101</v>
      </c>
      <c r="I23" s="105">
        <f t="shared" si="4"/>
        <v>306.37999999999994</v>
      </c>
      <c r="K23" s="123"/>
      <c r="L23" s="888">
        <f t="shared" si="5"/>
        <v>129</v>
      </c>
      <c r="M23" s="820"/>
      <c r="N23" s="994"/>
      <c r="O23" s="998"/>
      <c r="P23" s="994">
        <f t="shared" si="1"/>
        <v>0</v>
      </c>
      <c r="Q23" s="995"/>
      <c r="R23" s="996"/>
      <c r="S23" s="737">
        <f t="shared" si="6"/>
        <v>1563.59</v>
      </c>
    </row>
    <row r="24" spans="1:19" x14ac:dyDescent="0.25">
      <c r="A24" s="122"/>
      <c r="B24" s="182">
        <f t="shared" si="3"/>
        <v>25</v>
      </c>
      <c r="C24" s="15">
        <v>1</v>
      </c>
      <c r="D24" s="537">
        <v>12.2</v>
      </c>
      <c r="E24" s="732">
        <v>44895</v>
      </c>
      <c r="F24" s="537">
        <f t="shared" si="2"/>
        <v>12.2</v>
      </c>
      <c r="G24" s="330" t="s">
        <v>579</v>
      </c>
      <c r="H24" s="331">
        <v>101</v>
      </c>
      <c r="I24" s="105">
        <f t="shared" si="4"/>
        <v>294.17999999999995</v>
      </c>
      <c r="K24" s="122"/>
      <c r="L24" s="888">
        <f t="shared" si="5"/>
        <v>129</v>
      </c>
      <c r="M24" s="820"/>
      <c r="N24" s="994"/>
      <c r="O24" s="998"/>
      <c r="P24" s="994">
        <f t="shared" si="1"/>
        <v>0</v>
      </c>
      <c r="Q24" s="995"/>
      <c r="R24" s="996"/>
      <c r="S24" s="737">
        <f t="shared" si="6"/>
        <v>1563.59</v>
      </c>
    </row>
    <row r="25" spans="1:19" x14ac:dyDescent="0.25">
      <c r="A25" s="122"/>
      <c r="B25" s="182">
        <f t="shared" si="3"/>
        <v>20</v>
      </c>
      <c r="C25" s="15">
        <v>5</v>
      </c>
      <c r="D25" s="537">
        <v>59.79</v>
      </c>
      <c r="E25" s="732">
        <v>44896</v>
      </c>
      <c r="F25" s="537">
        <f t="shared" si="2"/>
        <v>59.79</v>
      </c>
      <c r="G25" s="330" t="s">
        <v>590</v>
      </c>
      <c r="H25" s="331">
        <v>101</v>
      </c>
      <c r="I25" s="105">
        <f t="shared" si="4"/>
        <v>234.38999999999996</v>
      </c>
      <c r="K25" s="122"/>
      <c r="L25" s="888">
        <f t="shared" si="5"/>
        <v>129</v>
      </c>
      <c r="M25" s="820"/>
      <c r="N25" s="994"/>
      <c r="O25" s="998"/>
      <c r="P25" s="994">
        <f t="shared" si="1"/>
        <v>0</v>
      </c>
      <c r="Q25" s="995"/>
      <c r="R25" s="996"/>
      <c r="S25" s="737">
        <f t="shared" si="6"/>
        <v>1563.59</v>
      </c>
    </row>
    <row r="26" spans="1:19" x14ac:dyDescent="0.25">
      <c r="A26" s="122"/>
      <c r="B26" s="182">
        <f t="shared" si="3"/>
        <v>15</v>
      </c>
      <c r="C26" s="15">
        <v>5</v>
      </c>
      <c r="D26" s="537">
        <v>58.85</v>
      </c>
      <c r="E26" s="732">
        <v>44898</v>
      </c>
      <c r="F26" s="537">
        <f t="shared" si="2"/>
        <v>58.85</v>
      </c>
      <c r="G26" s="330" t="s">
        <v>606</v>
      </c>
      <c r="H26" s="331">
        <v>101</v>
      </c>
      <c r="I26" s="105">
        <f t="shared" si="4"/>
        <v>175.53999999999996</v>
      </c>
      <c r="K26" s="122"/>
      <c r="L26" s="182">
        <f t="shared" si="5"/>
        <v>129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1563.59</v>
      </c>
    </row>
    <row r="27" spans="1:19" x14ac:dyDescent="0.25">
      <c r="A27" s="122"/>
      <c r="B27" s="182">
        <f t="shared" si="3"/>
        <v>5</v>
      </c>
      <c r="C27" s="15">
        <v>10</v>
      </c>
      <c r="D27" s="537">
        <v>118.08</v>
      </c>
      <c r="E27" s="732">
        <v>44901</v>
      </c>
      <c r="F27" s="537">
        <f t="shared" si="2"/>
        <v>118.08</v>
      </c>
      <c r="G27" s="330" t="s">
        <v>626</v>
      </c>
      <c r="H27" s="331">
        <v>101</v>
      </c>
      <c r="I27" s="105">
        <f t="shared" si="4"/>
        <v>57.459999999999965</v>
      </c>
      <c r="K27" s="122"/>
      <c r="L27" s="182">
        <f t="shared" si="5"/>
        <v>129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1563.59</v>
      </c>
    </row>
    <row r="28" spans="1:19" x14ac:dyDescent="0.25">
      <c r="A28" s="122"/>
      <c r="B28" s="182">
        <f t="shared" si="3"/>
        <v>5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57.459999999999965</v>
      </c>
      <c r="K28" s="122"/>
      <c r="L28" s="182">
        <f t="shared" si="5"/>
        <v>129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1563.59</v>
      </c>
    </row>
    <row r="29" spans="1:19" x14ac:dyDescent="0.25">
      <c r="A29" s="122"/>
      <c r="B29" s="182">
        <f t="shared" si="3"/>
        <v>5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57.459999999999965</v>
      </c>
      <c r="K29" s="122"/>
      <c r="L29" s="182">
        <f t="shared" si="5"/>
        <v>129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1563.59</v>
      </c>
    </row>
    <row r="30" spans="1:19" x14ac:dyDescent="0.25">
      <c r="A30" s="122"/>
      <c r="B30" s="182">
        <f t="shared" si="3"/>
        <v>0</v>
      </c>
      <c r="C30" s="15">
        <v>5</v>
      </c>
      <c r="D30" s="537"/>
      <c r="E30" s="732"/>
      <c r="F30" s="1373">
        <v>57.46</v>
      </c>
      <c r="G30" s="1374"/>
      <c r="H30" s="1375"/>
      <c r="I30" s="1376">
        <f t="shared" si="4"/>
        <v>0</v>
      </c>
      <c r="K30" s="122"/>
      <c r="L30" s="182">
        <f t="shared" si="5"/>
        <v>129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1563.59</v>
      </c>
    </row>
    <row r="31" spans="1:19" x14ac:dyDescent="0.25">
      <c r="A31" s="122"/>
      <c r="B31" s="182">
        <f t="shared" si="3"/>
        <v>0</v>
      </c>
      <c r="C31" s="15"/>
      <c r="D31" s="537"/>
      <c r="E31" s="732"/>
      <c r="F31" s="1373">
        <f t="shared" si="2"/>
        <v>0</v>
      </c>
      <c r="G31" s="1374"/>
      <c r="H31" s="1375"/>
      <c r="I31" s="1376">
        <f t="shared" si="4"/>
        <v>0</v>
      </c>
      <c r="K31" s="122"/>
      <c r="L31" s="182">
        <f t="shared" si="5"/>
        <v>129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1563.59</v>
      </c>
    </row>
    <row r="32" spans="1:19" x14ac:dyDescent="0.25">
      <c r="A32" s="122"/>
      <c r="B32" s="182">
        <f t="shared" si="3"/>
        <v>0</v>
      </c>
      <c r="C32" s="15"/>
      <c r="D32" s="537"/>
      <c r="E32" s="732"/>
      <c r="F32" s="1373">
        <f t="shared" si="2"/>
        <v>0</v>
      </c>
      <c r="G32" s="1374"/>
      <c r="H32" s="1375"/>
      <c r="I32" s="1376">
        <f t="shared" si="4"/>
        <v>0</v>
      </c>
      <c r="K32" s="122"/>
      <c r="L32" s="182">
        <f t="shared" si="5"/>
        <v>129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1563.59</v>
      </c>
    </row>
    <row r="33" spans="1:19" x14ac:dyDescent="0.25">
      <c r="A33" s="122"/>
      <c r="B33" s="182">
        <f t="shared" si="3"/>
        <v>0</v>
      </c>
      <c r="C33" s="15"/>
      <c r="D33" s="537"/>
      <c r="E33" s="732"/>
      <c r="F33" s="1373">
        <f t="shared" si="2"/>
        <v>0</v>
      </c>
      <c r="G33" s="1374"/>
      <c r="H33" s="1375"/>
      <c r="I33" s="1376">
        <f t="shared" si="4"/>
        <v>0</v>
      </c>
      <c r="K33" s="122"/>
      <c r="L33" s="182">
        <f t="shared" si="5"/>
        <v>129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1563.59</v>
      </c>
    </row>
    <row r="34" spans="1:19" x14ac:dyDescent="0.25">
      <c r="A34" s="122"/>
      <c r="B34" s="182">
        <f t="shared" si="3"/>
        <v>0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0</v>
      </c>
      <c r="K34" s="122"/>
      <c r="L34" s="182">
        <f t="shared" si="5"/>
        <v>129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1563.59</v>
      </c>
    </row>
    <row r="35" spans="1:19" x14ac:dyDescent="0.25">
      <c r="A35" s="122"/>
      <c r="B35" s="182">
        <f t="shared" si="3"/>
        <v>0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0</v>
      </c>
      <c r="K35" s="122"/>
      <c r="L35" s="182">
        <f t="shared" si="5"/>
        <v>129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1563.59</v>
      </c>
    </row>
    <row r="36" spans="1:19" x14ac:dyDescent="0.25">
      <c r="A36" s="122" t="s">
        <v>22</v>
      </c>
      <c r="B36" s="182">
        <f t="shared" si="3"/>
        <v>0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0</v>
      </c>
      <c r="K36" s="122" t="s">
        <v>22</v>
      </c>
      <c r="L36" s="182">
        <f t="shared" si="5"/>
        <v>129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1563.59</v>
      </c>
    </row>
    <row r="37" spans="1:19" x14ac:dyDescent="0.25">
      <c r="A37" s="123"/>
      <c r="B37" s="182">
        <f t="shared" si="3"/>
        <v>0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0</v>
      </c>
      <c r="K37" s="123"/>
      <c r="L37" s="182">
        <f t="shared" si="5"/>
        <v>129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1563.59</v>
      </c>
    </row>
    <row r="38" spans="1:19" x14ac:dyDescent="0.25">
      <c r="A38" s="122"/>
      <c r="B38" s="182">
        <f t="shared" si="3"/>
        <v>0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0</v>
      </c>
      <c r="K38" s="122"/>
      <c r="L38" s="182">
        <f t="shared" si="5"/>
        <v>129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1563.59</v>
      </c>
    </row>
    <row r="39" spans="1:19" x14ac:dyDescent="0.25">
      <c r="A39" s="122"/>
      <c r="B39" s="182">
        <f t="shared" si="3"/>
        <v>0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0</v>
      </c>
      <c r="K39" s="122"/>
      <c r="L39" s="182">
        <f t="shared" si="5"/>
        <v>129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1563.59</v>
      </c>
    </row>
    <row r="40" spans="1:19" x14ac:dyDescent="0.25">
      <c r="A40" s="122"/>
      <c r="B40" s="182">
        <f t="shared" si="3"/>
        <v>0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0</v>
      </c>
      <c r="K40" s="122"/>
      <c r="L40" s="182">
        <f t="shared" si="5"/>
        <v>129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1563.59</v>
      </c>
    </row>
    <row r="41" spans="1:19" x14ac:dyDescent="0.25">
      <c r="A41" s="122"/>
      <c r="B41" s="182">
        <f t="shared" si="3"/>
        <v>0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0</v>
      </c>
      <c r="K41" s="122"/>
      <c r="L41" s="182">
        <f t="shared" si="5"/>
        <v>129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1563.59</v>
      </c>
    </row>
    <row r="42" spans="1:19" x14ac:dyDescent="0.25">
      <c r="A42" s="122"/>
      <c r="B42" s="182">
        <f t="shared" si="3"/>
        <v>0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0</v>
      </c>
      <c r="K42" s="122"/>
      <c r="L42" s="182">
        <f t="shared" si="5"/>
        <v>129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1563.59</v>
      </c>
    </row>
    <row r="43" spans="1:19" x14ac:dyDescent="0.25">
      <c r="A43" s="122"/>
      <c r="B43" s="182">
        <f t="shared" si="3"/>
        <v>0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0</v>
      </c>
      <c r="K43" s="122"/>
      <c r="L43" s="182">
        <f t="shared" si="5"/>
        <v>129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1563.59</v>
      </c>
    </row>
    <row r="44" spans="1:19" x14ac:dyDescent="0.25">
      <c r="A44" s="122"/>
      <c r="B44" s="182">
        <f t="shared" si="3"/>
        <v>0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0</v>
      </c>
      <c r="K44" s="122"/>
      <c r="L44" s="182">
        <f t="shared" si="5"/>
        <v>129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1563.59</v>
      </c>
    </row>
    <row r="45" spans="1:19" x14ac:dyDescent="0.25">
      <c r="A45" s="122"/>
      <c r="B45" s="182">
        <f t="shared" si="3"/>
        <v>0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0</v>
      </c>
      <c r="K45" s="122"/>
      <c r="L45" s="182">
        <f t="shared" si="5"/>
        <v>129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1563.59</v>
      </c>
    </row>
    <row r="46" spans="1:19" x14ac:dyDescent="0.25">
      <c r="A46" s="122"/>
      <c r="B46" s="182">
        <f t="shared" si="3"/>
        <v>0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0</v>
      </c>
      <c r="K46" s="122"/>
      <c r="L46" s="182">
        <f t="shared" si="5"/>
        <v>129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1563.59</v>
      </c>
    </row>
    <row r="47" spans="1:19" x14ac:dyDescent="0.25">
      <c r="A47" s="122"/>
      <c r="B47" s="182">
        <f t="shared" si="3"/>
        <v>0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0</v>
      </c>
      <c r="K47" s="122"/>
      <c r="L47" s="182">
        <f t="shared" si="5"/>
        <v>129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1563.59</v>
      </c>
    </row>
    <row r="48" spans="1:19" x14ac:dyDescent="0.25">
      <c r="A48" s="122"/>
      <c r="B48" s="182">
        <f t="shared" si="3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0</v>
      </c>
      <c r="K48" s="122"/>
      <c r="L48" s="182">
        <f t="shared" si="5"/>
        <v>129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1563.59</v>
      </c>
    </row>
    <row r="49" spans="1:19" x14ac:dyDescent="0.25">
      <c r="A49" s="122"/>
      <c r="B49" s="182">
        <f t="shared" si="3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0</v>
      </c>
      <c r="K49" s="122"/>
      <c r="L49" s="182">
        <f t="shared" si="5"/>
        <v>129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1563.59</v>
      </c>
    </row>
    <row r="50" spans="1:19" x14ac:dyDescent="0.25">
      <c r="A50" s="122"/>
      <c r="B50" s="182">
        <f t="shared" si="3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0</v>
      </c>
      <c r="K50" s="122"/>
      <c r="L50" s="182">
        <f t="shared" si="5"/>
        <v>129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1563.59</v>
      </c>
    </row>
    <row r="51" spans="1:19" x14ac:dyDescent="0.25">
      <c r="A51" s="122"/>
      <c r="B51" s="182">
        <f t="shared" si="3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0</v>
      </c>
      <c r="K51" s="122"/>
      <c r="L51" s="182">
        <f t="shared" si="5"/>
        <v>129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1563.59</v>
      </c>
    </row>
    <row r="52" spans="1:19" x14ac:dyDescent="0.25">
      <c r="A52" s="122"/>
      <c r="B52" s="182">
        <f t="shared" si="3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0</v>
      </c>
      <c r="K52" s="122"/>
      <c r="L52" s="182">
        <f t="shared" si="5"/>
        <v>129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1563.59</v>
      </c>
    </row>
    <row r="53" spans="1:19" x14ac:dyDescent="0.25">
      <c r="A53" s="122"/>
      <c r="B53" s="182">
        <f t="shared" si="3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0</v>
      </c>
      <c r="K53" s="122"/>
      <c r="L53" s="182">
        <f t="shared" si="5"/>
        <v>129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1563.59</v>
      </c>
    </row>
    <row r="54" spans="1:19" x14ac:dyDescent="0.25">
      <c r="A54" s="122"/>
      <c r="B54" s="182">
        <f t="shared" si="3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0</v>
      </c>
      <c r="K54" s="122"/>
      <c r="L54" s="182">
        <f t="shared" si="5"/>
        <v>129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1563.59</v>
      </c>
    </row>
    <row r="55" spans="1:19" x14ac:dyDescent="0.25">
      <c r="A55" s="122"/>
      <c r="B55" s="182">
        <f t="shared" si="3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0</v>
      </c>
      <c r="K55" s="122"/>
      <c r="L55" s="182">
        <f t="shared" si="5"/>
        <v>129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1563.59</v>
      </c>
    </row>
    <row r="56" spans="1:19" x14ac:dyDescent="0.25">
      <c r="A56" s="122"/>
      <c r="B56" s="182">
        <f t="shared" si="3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0</v>
      </c>
      <c r="K56" s="122"/>
      <c r="L56" s="182">
        <f t="shared" si="5"/>
        <v>129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1563.59</v>
      </c>
    </row>
    <row r="57" spans="1:19" x14ac:dyDescent="0.25">
      <c r="A57" s="122"/>
      <c r="B57" s="182">
        <f t="shared" si="3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0</v>
      </c>
      <c r="K57" s="122"/>
      <c r="L57" s="182">
        <f t="shared" si="5"/>
        <v>129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1563.59</v>
      </c>
    </row>
    <row r="58" spans="1:19" x14ac:dyDescent="0.25">
      <c r="A58" s="122"/>
      <c r="B58" s="182">
        <f t="shared" si="3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0</v>
      </c>
      <c r="K58" s="122"/>
      <c r="L58" s="182">
        <f t="shared" si="5"/>
        <v>129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1563.59</v>
      </c>
    </row>
    <row r="59" spans="1:19" x14ac:dyDescent="0.25">
      <c r="A59" s="122"/>
      <c r="B59" s="182">
        <f t="shared" si="3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0</v>
      </c>
      <c r="K59" s="122"/>
      <c r="L59" s="182">
        <f t="shared" si="5"/>
        <v>129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1563.59</v>
      </c>
    </row>
    <row r="60" spans="1:19" x14ac:dyDescent="0.25">
      <c r="A60" s="122"/>
      <c r="B60" s="182">
        <f t="shared" si="3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0</v>
      </c>
      <c r="K60" s="122"/>
      <c r="L60" s="182">
        <f t="shared" si="5"/>
        <v>129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1563.59</v>
      </c>
    </row>
    <row r="61" spans="1:19" x14ac:dyDescent="0.25">
      <c r="A61" s="122"/>
      <c r="B61" s="182">
        <f t="shared" si="3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0</v>
      </c>
      <c r="K61" s="122"/>
      <c r="L61" s="182">
        <f t="shared" si="5"/>
        <v>129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1563.59</v>
      </c>
    </row>
    <row r="62" spans="1:19" x14ac:dyDescent="0.25">
      <c r="A62" s="122"/>
      <c r="B62" s="182">
        <f t="shared" si="3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0</v>
      </c>
      <c r="K62" s="122"/>
      <c r="L62" s="182">
        <f t="shared" si="5"/>
        <v>129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1563.59</v>
      </c>
    </row>
    <row r="63" spans="1:19" x14ac:dyDescent="0.25">
      <c r="A63" s="122"/>
      <c r="B63" s="182">
        <f t="shared" si="3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0</v>
      </c>
      <c r="K63" s="122"/>
      <c r="L63" s="182">
        <f t="shared" si="5"/>
        <v>129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1563.59</v>
      </c>
    </row>
    <row r="64" spans="1:19" x14ac:dyDescent="0.25">
      <c r="A64" s="122"/>
      <c r="B64" s="182">
        <f t="shared" si="3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0</v>
      </c>
      <c r="K64" s="122"/>
      <c r="L64" s="182">
        <f t="shared" si="5"/>
        <v>129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1563.59</v>
      </c>
    </row>
    <row r="65" spans="1:19" x14ac:dyDescent="0.25">
      <c r="A65" s="122"/>
      <c r="B65" s="182">
        <f t="shared" si="3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0</v>
      </c>
      <c r="K65" s="122"/>
      <c r="L65" s="182">
        <f t="shared" si="5"/>
        <v>129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1563.59</v>
      </c>
    </row>
    <row r="66" spans="1:19" x14ac:dyDescent="0.25">
      <c r="A66" s="122"/>
      <c r="B66" s="182">
        <f t="shared" si="3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0</v>
      </c>
      <c r="K66" s="122"/>
      <c r="L66" s="182">
        <f t="shared" si="5"/>
        <v>129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1563.59</v>
      </c>
    </row>
    <row r="67" spans="1:19" x14ac:dyDescent="0.25">
      <c r="A67" s="122"/>
      <c r="B67" s="182">
        <f t="shared" si="3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0</v>
      </c>
      <c r="K67" s="122"/>
      <c r="L67" s="182">
        <f t="shared" si="5"/>
        <v>129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1563.59</v>
      </c>
    </row>
    <row r="68" spans="1:19" x14ac:dyDescent="0.25">
      <c r="A68" s="122"/>
      <c r="B68" s="182">
        <f t="shared" si="3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0</v>
      </c>
      <c r="K68" s="122"/>
      <c r="L68" s="182">
        <f t="shared" si="5"/>
        <v>129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1563.59</v>
      </c>
    </row>
    <row r="69" spans="1:19" x14ac:dyDescent="0.25">
      <c r="A69" s="122"/>
      <c r="B69" s="182">
        <f t="shared" si="3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0</v>
      </c>
      <c r="K69" s="122"/>
      <c r="L69" s="182">
        <f t="shared" si="5"/>
        <v>129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1563.59</v>
      </c>
    </row>
    <row r="70" spans="1:19" x14ac:dyDescent="0.25">
      <c r="A70" s="122"/>
      <c r="B70" s="182">
        <f t="shared" si="3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0</v>
      </c>
      <c r="K70" s="122"/>
      <c r="L70" s="182">
        <f t="shared" si="5"/>
        <v>129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1563.59</v>
      </c>
    </row>
    <row r="71" spans="1:19" x14ac:dyDescent="0.25">
      <c r="A71" s="122"/>
      <c r="B71" s="182">
        <f t="shared" si="3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0</v>
      </c>
      <c r="K71" s="122"/>
      <c r="L71" s="182">
        <f t="shared" si="5"/>
        <v>129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1563.59</v>
      </c>
    </row>
    <row r="72" spans="1:19" x14ac:dyDescent="0.25">
      <c r="A72" s="122"/>
      <c r="B72" s="182">
        <f t="shared" si="3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0</v>
      </c>
      <c r="K72" s="122"/>
      <c r="L72" s="182">
        <f t="shared" si="5"/>
        <v>129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1563.59</v>
      </c>
    </row>
    <row r="73" spans="1:19" x14ac:dyDescent="0.25">
      <c r="A73" s="122"/>
      <c r="B73" s="182">
        <f t="shared" si="3"/>
        <v>0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0</v>
      </c>
      <c r="K73" s="122"/>
      <c r="L73" s="182">
        <f t="shared" si="5"/>
        <v>129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1563.59</v>
      </c>
    </row>
    <row r="74" spans="1:19" x14ac:dyDescent="0.25">
      <c r="A74" s="122"/>
      <c r="B74" s="182">
        <f t="shared" si="3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0</v>
      </c>
      <c r="K74" s="122"/>
      <c r="L74" s="182">
        <f t="shared" si="5"/>
        <v>129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1563.59</v>
      </c>
    </row>
    <row r="75" spans="1:19" x14ac:dyDescent="0.25">
      <c r="A75" s="122"/>
      <c r="B75" s="182">
        <f t="shared" ref="B75" si="9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82">
        <f t="shared" ref="L75" si="11">L74-M75</f>
        <v>129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1563.59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1563.59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42</v>
      </c>
      <c r="N78" s="6">
        <f>SUM(N9:N77)</f>
        <v>507.03</v>
      </c>
      <c r="P78" s="6">
        <f>SUM(P9:P77)</f>
        <v>507.03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124</v>
      </c>
    </row>
    <row r="82" spans="3:16" ht="15.75" thickBot="1" x14ac:dyDescent="0.3"/>
    <row r="83" spans="3:16" ht="15.75" thickBot="1" x14ac:dyDescent="0.3">
      <c r="C83" s="1280" t="s">
        <v>11</v>
      </c>
      <c r="D83" s="1281"/>
      <c r="E83" s="57">
        <f>E5+E6-F78+E7</f>
        <v>-92.579999999999927</v>
      </c>
      <c r="F83" s="73"/>
      <c r="M83" s="1280" t="s">
        <v>11</v>
      </c>
      <c r="N83" s="1281"/>
      <c r="O83" s="57">
        <f>O5+O6-P78+O7</f>
        <v>1506.1299999999999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31" activePane="bottomLeft" state="frozen"/>
      <selection pane="bottomLeft" activeCell="G41" sqref="G41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78" t="s">
        <v>322</v>
      </c>
      <c r="B1" s="1278"/>
      <c r="C1" s="1278"/>
      <c r="D1" s="1278"/>
      <c r="E1" s="1278"/>
      <c r="F1" s="1278"/>
      <c r="G1" s="1278"/>
      <c r="H1" s="11">
        <v>1</v>
      </c>
      <c r="L1" s="1282" t="s">
        <v>340</v>
      </c>
      <c r="M1" s="1282"/>
      <c r="N1" s="1282"/>
      <c r="O1" s="1282"/>
      <c r="P1" s="1282"/>
      <c r="Q1" s="1282"/>
      <c r="R1" s="128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87" t="s">
        <v>73</v>
      </c>
      <c r="C4" s="244"/>
      <c r="D4" s="134"/>
      <c r="E4" s="477">
        <v>6.93</v>
      </c>
      <c r="F4" s="73"/>
      <c r="G4" s="155"/>
      <c r="H4" s="155"/>
      <c r="L4" s="448"/>
      <c r="M4" s="1287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89" t="s">
        <v>225</v>
      </c>
      <c r="B5" s="1288"/>
      <c r="C5" s="244">
        <v>131.80000000000001</v>
      </c>
      <c r="D5" s="134">
        <v>44886</v>
      </c>
      <c r="E5" s="477">
        <v>17078.599999999999</v>
      </c>
      <c r="F5" s="73">
        <v>551</v>
      </c>
      <c r="G5" s="5"/>
      <c r="L5" s="1273" t="s">
        <v>97</v>
      </c>
      <c r="M5" s="1288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89"/>
      <c r="B6" s="1288"/>
      <c r="C6" s="402"/>
      <c r="D6" s="134"/>
      <c r="E6" s="478"/>
      <c r="F6" s="73"/>
      <c r="G6" s="47">
        <f>F79</f>
        <v>10987.88</v>
      </c>
      <c r="H6" s="7">
        <f>E6-G6+E7+E5-G5+E4</f>
        <v>6097.65</v>
      </c>
      <c r="L6" s="1273"/>
      <c r="M6" s="1288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3"/>
      <c r="B7" s="1288"/>
      <c r="C7" s="234"/>
      <c r="D7" s="232"/>
      <c r="E7" s="477"/>
      <c r="F7" s="73"/>
      <c r="L7" s="933"/>
      <c r="M7" s="1288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7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7" t="s">
        <v>3</v>
      </c>
    </row>
    <row r="10" spans="1:21" ht="15.75" thickTop="1" x14ac:dyDescent="0.25">
      <c r="A10" s="80" t="s">
        <v>32</v>
      </c>
      <c r="B10" s="88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0">
        <f>F10*H10</f>
        <v>21210.34</v>
      </c>
      <c r="L10" s="80" t="s">
        <v>32</v>
      </c>
      <c r="M10" s="888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0">
        <f>Q10*S10</f>
        <v>0</v>
      </c>
    </row>
    <row r="11" spans="1:21" x14ac:dyDescent="0.25">
      <c r="A11" s="194"/>
      <c r="B11" s="88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0">
        <f t="shared" ref="J11:J74" si="2">F11*H11</f>
        <v>34447.279999999999</v>
      </c>
      <c r="L11" s="194"/>
      <c r="M11" s="888">
        <f>M10-N11</f>
        <v>296</v>
      </c>
      <c r="N11" s="820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0">
        <f t="shared" ref="U11:U74" si="3">Q11*S11</f>
        <v>0</v>
      </c>
    </row>
    <row r="12" spans="1:21" x14ac:dyDescent="0.25">
      <c r="A12" s="182"/>
      <c r="B12" s="888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0">
        <f t="shared" si="2"/>
        <v>3604.47</v>
      </c>
      <c r="L12" s="182"/>
      <c r="M12" s="888">
        <f t="shared" ref="M12:M75" si="6">M11-N12</f>
        <v>296</v>
      </c>
      <c r="N12" s="820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0">
        <f t="shared" si="3"/>
        <v>0</v>
      </c>
    </row>
    <row r="13" spans="1:21" x14ac:dyDescent="0.25">
      <c r="A13" s="182"/>
      <c r="B13" s="888">
        <f t="shared" si="4"/>
        <v>536</v>
      </c>
      <c r="C13" s="820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0">
        <f t="shared" si="2"/>
        <v>4536.07</v>
      </c>
      <c r="L13" s="182"/>
      <c r="M13" s="888">
        <f t="shared" si="6"/>
        <v>296</v>
      </c>
      <c r="N13" s="820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0">
        <f t="shared" si="3"/>
        <v>0</v>
      </c>
    </row>
    <row r="14" spans="1:21" x14ac:dyDescent="0.25">
      <c r="A14" s="82" t="s">
        <v>33</v>
      </c>
      <c r="B14" s="888">
        <f t="shared" si="4"/>
        <v>529</v>
      </c>
      <c r="C14" s="820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0">
        <f t="shared" si="2"/>
        <v>27863.059999999998</v>
      </c>
      <c r="L14" s="82" t="s">
        <v>33</v>
      </c>
      <c r="M14" s="888">
        <f t="shared" si="6"/>
        <v>296</v>
      </c>
      <c r="N14" s="820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0">
        <f t="shared" si="3"/>
        <v>0</v>
      </c>
    </row>
    <row r="15" spans="1:21" x14ac:dyDescent="0.25">
      <c r="A15" s="73"/>
      <c r="B15" s="888">
        <f t="shared" si="4"/>
        <v>510</v>
      </c>
      <c r="C15" s="820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0">
        <f t="shared" si="2"/>
        <v>76045.960000000006</v>
      </c>
      <c r="L15" s="73"/>
      <c r="M15" s="888">
        <f t="shared" si="6"/>
        <v>296</v>
      </c>
      <c r="N15" s="820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0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8">
        <f t="shared" si="6"/>
        <v>296</v>
      </c>
      <c r="N16" s="820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0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8">
        <f t="shared" si="6"/>
        <v>296</v>
      </c>
      <c r="N17" s="820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0">
        <f t="shared" si="3"/>
        <v>0</v>
      </c>
    </row>
    <row r="18" spans="1:21" x14ac:dyDescent="0.25">
      <c r="B18" s="826">
        <f t="shared" si="4"/>
        <v>464</v>
      </c>
      <c r="C18" s="820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3">
        <f t="shared" si="5"/>
        <v>14386.439999999997</v>
      </c>
      <c r="J18" s="17">
        <f t="shared" si="2"/>
        <v>133392.79</v>
      </c>
      <c r="M18" s="888">
        <f t="shared" si="6"/>
        <v>296</v>
      </c>
      <c r="N18" s="820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0">
        <f t="shared" si="3"/>
        <v>0</v>
      </c>
    </row>
    <row r="19" spans="1:21" x14ac:dyDescent="0.25">
      <c r="A19" s="122"/>
      <c r="B19" s="182">
        <f t="shared" si="4"/>
        <v>434</v>
      </c>
      <c r="C19" s="15">
        <v>30</v>
      </c>
      <c r="D19" s="537">
        <v>981.59</v>
      </c>
      <c r="E19" s="732">
        <v>44893</v>
      </c>
      <c r="F19" s="537">
        <f t="shared" si="8"/>
        <v>981.59</v>
      </c>
      <c r="G19" s="330" t="s">
        <v>567</v>
      </c>
      <c r="H19" s="331">
        <v>137</v>
      </c>
      <c r="I19" s="105">
        <f t="shared" si="5"/>
        <v>13404.849999999997</v>
      </c>
      <c r="J19" s="17">
        <f t="shared" si="2"/>
        <v>134477.83000000002</v>
      </c>
      <c r="L19" s="122"/>
      <c r="M19" s="888">
        <f t="shared" si="6"/>
        <v>296</v>
      </c>
      <c r="N19" s="820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0">
        <f t="shared" si="3"/>
        <v>0</v>
      </c>
    </row>
    <row r="20" spans="1:21" x14ac:dyDescent="0.25">
      <c r="A20" s="122"/>
      <c r="B20" s="182">
        <f t="shared" si="4"/>
        <v>429</v>
      </c>
      <c r="C20" s="15">
        <v>5</v>
      </c>
      <c r="D20" s="537">
        <v>157.54</v>
      </c>
      <c r="E20" s="732">
        <v>44893</v>
      </c>
      <c r="F20" s="537">
        <f t="shared" si="8"/>
        <v>157.54</v>
      </c>
      <c r="G20" s="330" t="s">
        <v>569</v>
      </c>
      <c r="H20" s="331">
        <v>137</v>
      </c>
      <c r="I20" s="105">
        <f t="shared" si="5"/>
        <v>13247.309999999996</v>
      </c>
      <c r="J20" s="17">
        <f t="shared" si="2"/>
        <v>21582.98</v>
      </c>
      <c r="L20" s="122"/>
      <c r="M20" s="888">
        <f t="shared" si="6"/>
        <v>296</v>
      </c>
      <c r="N20" s="820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0">
        <f t="shared" si="3"/>
        <v>0</v>
      </c>
    </row>
    <row r="21" spans="1:21" x14ac:dyDescent="0.25">
      <c r="A21" s="122"/>
      <c r="B21" s="182">
        <f t="shared" si="4"/>
        <v>428</v>
      </c>
      <c r="C21" s="15">
        <v>1</v>
      </c>
      <c r="D21" s="537">
        <v>33.159999999999997</v>
      </c>
      <c r="E21" s="732">
        <v>44895</v>
      </c>
      <c r="F21" s="537">
        <f t="shared" si="8"/>
        <v>33.159999999999997</v>
      </c>
      <c r="G21" s="330" t="s">
        <v>576</v>
      </c>
      <c r="H21" s="331">
        <v>137</v>
      </c>
      <c r="I21" s="105">
        <f t="shared" si="5"/>
        <v>13214.149999999996</v>
      </c>
      <c r="J21" s="17">
        <f t="shared" si="2"/>
        <v>4542.9199999999992</v>
      </c>
      <c r="L21" s="122"/>
      <c r="M21" s="888">
        <f t="shared" si="6"/>
        <v>296</v>
      </c>
      <c r="N21" s="820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0">
        <f t="shared" si="3"/>
        <v>0</v>
      </c>
    </row>
    <row r="22" spans="1:21" x14ac:dyDescent="0.25">
      <c r="A22" s="122"/>
      <c r="B22" s="182">
        <f t="shared" si="4"/>
        <v>418</v>
      </c>
      <c r="C22" s="15">
        <v>10</v>
      </c>
      <c r="D22" s="537">
        <v>315.2</v>
      </c>
      <c r="E22" s="732">
        <v>44895</v>
      </c>
      <c r="F22" s="537">
        <f t="shared" si="8"/>
        <v>315.2</v>
      </c>
      <c r="G22" s="330" t="s">
        <v>579</v>
      </c>
      <c r="H22" s="1377">
        <v>131</v>
      </c>
      <c r="I22" s="105">
        <f t="shared" si="5"/>
        <v>12898.949999999995</v>
      </c>
      <c r="J22" s="17">
        <f t="shared" si="2"/>
        <v>41291.199999999997</v>
      </c>
      <c r="L22" s="122"/>
      <c r="M22" s="888">
        <f t="shared" si="6"/>
        <v>296</v>
      </c>
      <c r="N22" s="820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0">
        <f t="shared" si="3"/>
        <v>0</v>
      </c>
    </row>
    <row r="23" spans="1:21" x14ac:dyDescent="0.25">
      <c r="A23" s="122"/>
      <c r="B23" s="182">
        <f t="shared" si="4"/>
        <v>403</v>
      </c>
      <c r="C23" s="15">
        <v>15</v>
      </c>
      <c r="D23" s="537">
        <v>463.7</v>
      </c>
      <c r="E23" s="732">
        <v>44896</v>
      </c>
      <c r="F23" s="537">
        <f t="shared" si="8"/>
        <v>463.7</v>
      </c>
      <c r="G23" s="330" t="s">
        <v>590</v>
      </c>
      <c r="H23" s="331">
        <v>137</v>
      </c>
      <c r="I23" s="105">
        <f t="shared" si="5"/>
        <v>12435.249999999995</v>
      </c>
      <c r="J23" s="17">
        <f t="shared" si="2"/>
        <v>63526.9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373</v>
      </c>
      <c r="C24" s="15">
        <v>30</v>
      </c>
      <c r="D24" s="537">
        <v>968.68</v>
      </c>
      <c r="E24" s="732">
        <v>44896</v>
      </c>
      <c r="F24" s="537">
        <f t="shared" si="8"/>
        <v>968.68</v>
      </c>
      <c r="G24" s="330" t="s">
        <v>592</v>
      </c>
      <c r="H24" s="331">
        <v>137</v>
      </c>
      <c r="I24" s="105">
        <f t="shared" si="5"/>
        <v>11466.569999999994</v>
      </c>
      <c r="J24" s="17">
        <f t="shared" si="2"/>
        <v>132709.16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372</v>
      </c>
      <c r="C25" s="15">
        <v>1</v>
      </c>
      <c r="D25" s="537">
        <v>30.71</v>
      </c>
      <c r="E25" s="732">
        <v>44897</v>
      </c>
      <c r="F25" s="537">
        <f t="shared" si="8"/>
        <v>30.71</v>
      </c>
      <c r="G25" s="330" t="s">
        <v>605</v>
      </c>
      <c r="H25" s="331">
        <v>137</v>
      </c>
      <c r="I25" s="105">
        <f t="shared" si="5"/>
        <v>11435.859999999995</v>
      </c>
      <c r="J25" s="17">
        <f t="shared" si="2"/>
        <v>4207.2700000000004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367</v>
      </c>
      <c r="C26" s="15">
        <v>5</v>
      </c>
      <c r="D26" s="537">
        <v>145.38999999999999</v>
      </c>
      <c r="E26" s="732">
        <v>44898</v>
      </c>
      <c r="F26" s="537">
        <f t="shared" si="8"/>
        <v>145.38999999999999</v>
      </c>
      <c r="G26" s="330" t="s">
        <v>606</v>
      </c>
      <c r="H26" s="331">
        <v>137</v>
      </c>
      <c r="I26" s="105">
        <f t="shared" si="5"/>
        <v>11290.469999999996</v>
      </c>
      <c r="J26" s="17">
        <f t="shared" si="2"/>
        <v>19918.429999999997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366</v>
      </c>
      <c r="C27" s="15">
        <v>1</v>
      </c>
      <c r="D27" s="537">
        <v>26.17</v>
      </c>
      <c r="E27" s="732">
        <v>44898</v>
      </c>
      <c r="F27" s="537">
        <f t="shared" si="8"/>
        <v>26.17</v>
      </c>
      <c r="G27" s="330" t="s">
        <v>607</v>
      </c>
      <c r="H27" s="331">
        <v>137</v>
      </c>
      <c r="I27" s="105">
        <f t="shared" si="5"/>
        <v>11264.299999999996</v>
      </c>
      <c r="J27" s="17">
        <f t="shared" si="2"/>
        <v>3585.2900000000004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356</v>
      </c>
      <c r="C28" s="15">
        <v>10</v>
      </c>
      <c r="D28" s="537">
        <v>291.89</v>
      </c>
      <c r="E28" s="732">
        <v>44898</v>
      </c>
      <c r="F28" s="537">
        <f t="shared" si="8"/>
        <v>291.89</v>
      </c>
      <c r="G28" s="330" t="s">
        <v>608</v>
      </c>
      <c r="H28" s="1377">
        <v>131</v>
      </c>
      <c r="I28" s="105">
        <f t="shared" si="5"/>
        <v>10972.409999999996</v>
      </c>
      <c r="J28" s="17">
        <f t="shared" si="2"/>
        <v>38237.589999999997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326</v>
      </c>
      <c r="C29" s="15">
        <v>30</v>
      </c>
      <c r="D29" s="537">
        <v>890.32</v>
      </c>
      <c r="E29" s="732">
        <v>44898</v>
      </c>
      <c r="F29" s="537">
        <f t="shared" si="8"/>
        <v>890.32</v>
      </c>
      <c r="G29" s="330" t="s">
        <v>609</v>
      </c>
      <c r="H29" s="331">
        <v>137</v>
      </c>
      <c r="I29" s="105">
        <f t="shared" si="5"/>
        <v>10082.089999999997</v>
      </c>
      <c r="J29" s="17">
        <f t="shared" si="2"/>
        <v>121973.84000000001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311</v>
      </c>
      <c r="C30" s="15">
        <v>15</v>
      </c>
      <c r="D30" s="537">
        <v>492.98</v>
      </c>
      <c r="E30" s="732">
        <v>44900</v>
      </c>
      <c r="F30" s="537">
        <f t="shared" si="8"/>
        <v>492.98</v>
      </c>
      <c r="G30" s="330" t="s">
        <v>611</v>
      </c>
      <c r="H30" s="331">
        <v>137</v>
      </c>
      <c r="I30" s="105">
        <f t="shared" si="5"/>
        <v>9589.1099999999969</v>
      </c>
      <c r="J30" s="17">
        <f t="shared" si="2"/>
        <v>67538.260000000009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306</v>
      </c>
      <c r="C31" s="15">
        <v>5</v>
      </c>
      <c r="D31" s="537">
        <v>171.14</v>
      </c>
      <c r="E31" s="732">
        <v>44901</v>
      </c>
      <c r="F31" s="537">
        <f t="shared" si="8"/>
        <v>171.14</v>
      </c>
      <c r="G31" s="330" t="s">
        <v>622</v>
      </c>
      <c r="H31" s="331">
        <v>137</v>
      </c>
      <c r="I31" s="105">
        <f t="shared" si="5"/>
        <v>9417.9699999999975</v>
      </c>
      <c r="J31" s="17">
        <f t="shared" si="2"/>
        <v>23446.179999999997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305</v>
      </c>
      <c r="C32" s="15">
        <v>1</v>
      </c>
      <c r="D32" s="537">
        <v>29.21</v>
      </c>
      <c r="E32" s="732">
        <v>44902</v>
      </c>
      <c r="F32" s="537">
        <f t="shared" si="8"/>
        <v>29.21</v>
      </c>
      <c r="G32" s="330" t="s">
        <v>636</v>
      </c>
      <c r="H32" s="331">
        <v>137</v>
      </c>
      <c r="I32" s="105">
        <f t="shared" si="5"/>
        <v>9388.7599999999984</v>
      </c>
      <c r="J32" s="17">
        <f t="shared" si="2"/>
        <v>4001.77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275</v>
      </c>
      <c r="C33" s="15">
        <v>30</v>
      </c>
      <c r="D33" s="537">
        <v>903.18</v>
      </c>
      <c r="E33" s="732">
        <v>44902</v>
      </c>
      <c r="F33" s="537">
        <f t="shared" si="8"/>
        <v>903.18</v>
      </c>
      <c r="G33" s="330" t="s">
        <v>637</v>
      </c>
      <c r="H33" s="331">
        <v>137</v>
      </c>
      <c r="I33" s="105">
        <f t="shared" si="5"/>
        <v>8485.5799999999981</v>
      </c>
      <c r="J33" s="17">
        <f t="shared" si="2"/>
        <v>123735.65999999999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274</v>
      </c>
      <c r="C34" s="15">
        <v>1</v>
      </c>
      <c r="D34" s="537">
        <v>31.89</v>
      </c>
      <c r="E34" s="732">
        <v>44903</v>
      </c>
      <c r="F34" s="537">
        <f t="shared" si="8"/>
        <v>31.89</v>
      </c>
      <c r="G34" s="330" t="s">
        <v>643</v>
      </c>
      <c r="H34" s="331">
        <v>137</v>
      </c>
      <c r="I34" s="105">
        <f t="shared" si="5"/>
        <v>8453.6899999999987</v>
      </c>
      <c r="J34" s="17">
        <f t="shared" si="2"/>
        <v>4368.93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273</v>
      </c>
      <c r="C35" s="15">
        <v>1</v>
      </c>
      <c r="D35" s="537">
        <v>36.06</v>
      </c>
      <c r="E35" s="732">
        <v>44904</v>
      </c>
      <c r="F35" s="537">
        <f t="shared" si="8"/>
        <v>36.06</v>
      </c>
      <c r="G35" s="330" t="s">
        <v>654</v>
      </c>
      <c r="H35" s="331">
        <v>137</v>
      </c>
      <c r="I35" s="105">
        <f t="shared" si="5"/>
        <v>8417.6299999999992</v>
      </c>
      <c r="J35" s="17">
        <f t="shared" si="2"/>
        <v>4940.22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243</v>
      </c>
      <c r="C36" s="15">
        <v>30</v>
      </c>
      <c r="D36" s="537">
        <v>932.45</v>
      </c>
      <c r="E36" s="732">
        <v>44904</v>
      </c>
      <c r="F36" s="537">
        <f t="shared" si="8"/>
        <v>932.45</v>
      </c>
      <c r="G36" s="330" t="s">
        <v>655</v>
      </c>
      <c r="H36" s="331">
        <v>137</v>
      </c>
      <c r="I36" s="105">
        <f t="shared" si="5"/>
        <v>7485.1799999999994</v>
      </c>
      <c r="J36" s="17">
        <f t="shared" si="2"/>
        <v>127745.65000000001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238</v>
      </c>
      <c r="C37" s="15">
        <v>5</v>
      </c>
      <c r="D37" s="537">
        <v>148.72999999999999</v>
      </c>
      <c r="E37" s="732">
        <v>44904</v>
      </c>
      <c r="F37" s="537">
        <f t="shared" si="8"/>
        <v>148.72999999999999</v>
      </c>
      <c r="G37" s="330" t="s">
        <v>656</v>
      </c>
      <c r="H37" s="331">
        <v>137</v>
      </c>
      <c r="I37" s="105">
        <f t="shared" si="5"/>
        <v>7336.45</v>
      </c>
      <c r="J37" s="17">
        <f t="shared" si="2"/>
        <v>20376.009999999998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208</v>
      </c>
      <c r="C38" s="15">
        <v>30</v>
      </c>
      <c r="D38" s="537">
        <v>893.31</v>
      </c>
      <c r="E38" s="732">
        <v>44905</v>
      </c>
      <c r="F38" s="537">
        <f t="shared" si="8"/>
        <v>893.31</v>
      </c>
      <c r="G38" s="330" t="s">
        <v>667</v>
      </c>
      <c r="H38" s="331">
        <v>137</v>
      </c>
      <c r="I38" s="105">
        <f t="shared" si="5"/>
        <v>6443.1399999999994</v>
      </c>
      <c r="J38" s="17">
        <f t="shared" si="2"/>
        <v>122383.46999999999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198</v>
      </c>
      <c r="C39" s="15">
        <v>10</v>
      </c>
      <c r="D39" s="537">
        <v>315.60000000000002</v>
      </c>
      <c r="E39" s="732">
        <v>44905</v>
      </c>
      <c r="F39" s="537">
        <f t="shared" si="8"/>
        <v>315.60000000000002</v>
      </c>
      <c r="G39" s="330" t="s">
        <v>674</v>
      </c>
      <c r="H39" s="331">
        <v>137</v>
      </c>
      <c r="I39" s="105">
        <f t="shared" si="5"/>
        <v>6127.5399999999991</v>
      </c>
      <c r="J39" s="17">
        <f t="shared" si="2"/>
        <v>43237.200000000004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197</v>
      </c>
      <c r="C40" s="15">
        <v>1</v>
      </c>
      <c r="D40" s="537">
        <v>29.89</v>
      </c>
      <c r="E40" s="732">
        <v>44905</v>
      </c>
      <c r="F40" s="537">
        <f t="shared" si="8"/>
        <v>29.89</v>
      </c>
      <c r="G40" s="330" t="s">
        <v>678</v>
      </c>
      <c r="H40" s="331">
        <v>137</v>
      </c>
      <c r="I40" s="105">
        <f t="shared" si="5"/>
        <v>6097.6499999999987</v>
      </c>
      <c r="J40" s="17">
        <f t="shared" si="2"/>
        <v>4094.9300000000003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197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6097.6499999999987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197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6097.6499999999987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197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6097.6499999999987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197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6097.6499999999987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197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6097.6499999999987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197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6097.6499999999987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197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6097.6499999999987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197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6097.6499999999987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197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6097.6499999999987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197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6097.6499999999987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197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6097.6499999999987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197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6097.6499999999987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197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6097.6499999999987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197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6097.6499999999987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197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6097.6499999999987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197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6097.6499999999987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197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6097.6499999999987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197</v>
      </c>
      <c r="C58" s="15"/>
      <c r="D58" s="69"/>
      <c r="E58" s="202"/>
      <c r="F58" s="69">
        <v>0</v>
      </c>
      <c r="G58" s="70"/>
      <c r="H58" s="71"/>
      <c r="I58" s="105">
        <f t="shared" si="5"/>
        <v>6097.6499999999987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197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6097.6499999999987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197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6097.6499999999987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197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6097.6499999999987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197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6097.6499999999987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197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6097.6499999999987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197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6097.6499999999987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197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6097.6499999999987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197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6097.6499999999987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197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6097.6499999999987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197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6097.6499999999987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197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6097.6499999999987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197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6097.6499999999987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197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6097.6499999999987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197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6097.6499999999987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197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6097.6499999999987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197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6097.6499999999987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197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6097.6499999999987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197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6097.6499999999987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6097.6499999999987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354</v>
      </c>
      <c r="D79" s="6">
        <f>SUM(D10:D78)</f>
        <v>10987.88</v>
      </c>
      <c r="F79" s="6">
        <f>SUM(F10:F78)</f>
        <v>10987.88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197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80" t="s">
        <v>11</v>
      </c>
      <c r="D84" s="1281"/>
      <c r="E84" s="57">
        <f>E5+E6-F79+E7+E4</f>
        <v>6097.65</v>
      </c>
      <c r="F84" s="73"/>
      <c r="N84" s="1280" t="s">
        <v>11</v>
      </c>
      <c r="O84" s="1281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2023-01-19T21:50:21Z</dcterms:modified>
</cp:coreProperties>
</file>