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2" i="38" l="1"/>
  <c r="Q148" i="38" l="1"/>
  <c r="Q36" i="38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F26" i="129"/>
  <c r="AB26" i="129"/>
  <c r="AB25" i="129"/>
  <c r="AF25" i="129" s="1"/>
  <c r="AB24" i="129"/>
  <c r="AF24" i="129" s="1"/>
  <c r="AF23" i="129"/>
  <c r="AB23" i="129"/>
  <c r="AF22" i="129"/>
  <c r="AB22" i="129"/>
  <c r="AB21" i="129"/>
  <c r="AF21" i="129" s="1"/>
  <c r="AB20" i="129"/>
  <c r="AF20" i="129" s="1"/>
  <c r="AF19" i="129"/>
  <c r="AB19" i="129"/>
  <c r="AF18" i="129"/>
  <c r="AB18" i="129"/>
  <c r="AB17" i="129"/>
  <c r="AF17" i="129" s="1"/>
  <c r="AB16" i="129"/>
  <c r="AF16" i="129" s="1"/>
  <c r="AF15" i="129"/>
  <c r="AB15" i="129"/>
  <c r="AF14" i="129"/>
  <c r="AB14" i="129"/>
  <c r="AB13" i="129"/>
  <c r="AF13" i="129" s="1"/>
  <c r="AB12" i="129"/>
  <c r="AF12" i="129" s="1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2" i="38"/>
  <c r="T162" i="38" s="1"/>
  <c r="S161" i="38"/>
  <c r="T161" i="38" s="1"/>
  <c r="S160" i="38"/>
  <c r="T160" i="38" s="1"/>
  <c r="S159" i="38"/>
  <c r="T159" i="38" s="1"/>
  <c r="I143" i="38"/>
  <c r="I148" i="38"/>
  <c r="I149" i="38"/>
  <c r="I150" i="38"/>
  <c r="I151" i="38"/>
  <c r="I152" i="38"/>
  <c r="I153" i="38"/>
  <c r="I154" i="38"/>
  <c r="I155" i="38"/>
  <c r="I156" i="38"/>
  <c r="I157" i="38"/>
  <c r="I15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2" i="38"/>
  <c r="I161" i="38"/>
  <c r="I159" i="38"/>
  <c r="I16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3" i="38" l="1"/>
  <c r="T163" i="38" s="1"/>
  <c r="I163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2" i="38" l="1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8" i="38" l="1"/>
  <c r="T168" i="38" s="1"/>
  <c r="I168" i="38"/>
  <c r="S166" i="38" l="1"/>
  <c r="T166" i="38" s="1"/>
  <c r="I166" i="38"/>
  <c r="S164" i="38" l="1"/>
  <c r="T164" i="38" s="1"/>
  <c r="S165" i="38"/>
  <c r="T165" i="38" s="1"/>
  <c r="S167" i="38"/>
  <c r="T167" i="38" s="1"/>
  <c r="S169" i="38"/>
  <c r="T169" i="38" s="1"/>
  <c r="S170" i="38"/>
  <c r="T170" i="38" s="1"/>
  <c r="S171" i="38"/>
  <c r="T171" i="38" s="1"/>
  <c r="I164" i="38"/>
  <c r="I16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1" i="38" l="1"/>
  <c r="I173" i="38" l="1"/>
  <c r="I17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5" i="1" l="1"/>
  <c r="I93" i="38" l="1"/>
  <c r="I94" i="38"/>
  <c r="I9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196" i="38"/>
  <c r="CT5" i="1" l="1"/>
  <c r="SC32" i="1" l="1"/>
  <c r="SC33" i="1" s="1"/>
  <c r="SA32" i="1"/>
  <c r="RS32" i="1"/>
  <c r="RS33" i="1" s="1"/>
  <c r="RQ32" i="1"/>
  <c r="SE5" i="1"/>
  <c r="RU5" i="1"/>
  <c r="I16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7" i="38"/>
  <c r="M197" i="38"/>
  <c r="K197" i="38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7" i="38"/>
  <c r="I197" i="38"/>
  <c r="H19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<sst xmlns="http://schemas.openxmlformats.org/spreadsheetml/2006/main" count="3489" uniqueCount="515">
  <si>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</si>
  <si>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</si>
  <si>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</si>
  <si>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</si>
  <si>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</si>
  <si>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</si>
  <si>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</si>
  <si>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</si>
  <si>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</si>
  <si>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</si>
  <si>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</si>
  <si>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</si>
  <si>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</si>
  <si>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</si>
  <si>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</si>
  <si>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</si>
  <si>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</si>
  <si>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</si>
  <si>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</si>
  <si>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</si>
  <si>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</si>
  <si>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</si>
  <si>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</si>
  <si>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</si>
  <si>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</si>
  <si>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</si>
  <si>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</si>
  <si>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</si>
  <si>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</si>
  <si>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</si>
  <si>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</si>
  <si>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</si>
  <si>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</si>
  <si>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</si>
  <si>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</si>
  <si>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</si>
  <si>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</si>
  <si>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</si>
  <si>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</si>
  <si>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</si>
  <si>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</si>
  <si>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</si>
  <si>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</si>
  <si>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</si>
  <si>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</si>
  <si>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</si>
  <si>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</si>
  <si>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</si>
  <si>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</si>
  <si>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</si>
  <si>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</si>
  <si>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</si>
  <si>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</si>
  <si>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</si>
  <si>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</si>
  <si>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</si>
  <si>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</si>
  <si>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</si>
  <si>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</si>
  <si>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</si>
  <si>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</si>
  <si>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</si>
  <si>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</si>
  <si>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</si>
  <si>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</si>
  <si>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</si>
  <si>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</si>
  <si>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</si>
  <si>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</si>
  <si>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</si>
  <si>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</si>
  <si>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</si>
  <si>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</si>
  <si>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</si>
  <si>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</si>
  <si>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</si>
  <si>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</si>
  <si>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</si>
  <si>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</si>
  <si>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</si>
  <si>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</si>
  <si>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</si>
  <si>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</si>
  <si>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</si>
  <si>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</si>
  <si>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</si>
  <si>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</si>
  <si>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</si>
  <si>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</si>
  <si>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</si>
  <si>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</si>
  <si>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</si>
  <si>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</si>
  <si>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</si>
  <si>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</si>
  <si>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</si>
  <si>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</si>
  <si>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</si>
  <si>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</si>
  <si>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</si>
  <si>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</si>
  <si>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</si>
  <si>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</si>
  <si>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</si>
  <si>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</si>
  <si>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</si>
  <si>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</si>
  <si>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</si>
  <si>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</si>
  <si>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</si>
  <si>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</si>
  <si>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</si>
  <si>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</si>
  <si>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</si>
  <si>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</si>
  <si>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</si>
  <si>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</si>
  <si>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</si>
  <si>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</si>
  <si>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</si>
  <si>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</si>
  <si>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</si>
  <si>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</si>
  <si>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</si>
  <si>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</si>
  <si>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</si>
  <si>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</si>
  <si>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</si>
  <si>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</si>
  <si>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</si>
  <si>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</si>
  <si>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</si>
  <si>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</si>
  <si>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</si>
  <si>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</si>
  <si>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</si>
  <si>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</si>
  <si>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</si>
  <si>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</si>
  <si>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</si>
  <si>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</si>
  <si>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</si>
  <si>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</si>
  <si>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</si>
  <si>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</si>
  <si>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</si>
  <si>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</si>
  <si>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</si>
  <si>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</si>
  <si>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</si>
  <si>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</si>
  <si>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</si>
  <si>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</si>
  <si>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</si>
  <si>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</si>
  <si>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</si>
  <si>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</si>
  <si>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</si>
  <si>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</si>
  <si>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</si>
  <si>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</si>
  <si>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</si>
  <si>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</si>
  <si>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</si>
  <si>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</si>
  <si>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</si>
  <si>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</si>
  <si>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</si>
  <si>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</si>
  <si>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</si>
  <si>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</si>
  <si>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</si>
  <si>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</si>
  <si>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</si>
  <si>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</si>
  <si>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</si>
  <si>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</si>
  <si>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</si>
  <si>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</si>
  <si>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</si>
  <si>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</si>
  <si>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</si>
  <si>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</si>
  <si>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</si>
  <si>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</si>
  <si>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</si>
  <si>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</si>
  <si>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</si>
  <si>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</si>
  <si>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</si>
  <si>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</si>
  <si>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</si>
  <si>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</si>
  <si>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</si>
  <si>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</si>
  <si>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</si>
  <si>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</si>
  <si>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</si>
  <si>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</si>
  <si>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</si>
  <si>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</si>
  <si>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</si>
  <si>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</si>
  <si>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</si>
  <si>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</si>
  <si>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</si>
  <si>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</si>
  <si>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</si>
  <si>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</si>
  <si>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</si>
  <si>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</si>
  <si>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</si>
  <si>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</si>
  <si>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</si>
  <si>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</si>
  <si>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</si>
  <si>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</si>
  <si>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</si>
  <si>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</si>
  <si>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</si>
  <si>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</si>
  <si>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</si>
  <si>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</si>
  <si>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</si>
  <si>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</si>
  <si>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</si>
  <si>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</si>
  <si>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</si>
  <si>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</si>
  <si>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</si>
  <si>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</si>
  <si>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</si>
  <si>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</si>
  <si>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</si>
  <si>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</si>
  <si>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</si>
  <si>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</si>
  <si>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</si>
  <si>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</si>
  <si>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</si>
  <si>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</si>
  <si>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</si>
  <si>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</si>
  <si>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</si>
  <si>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</si>
  <si>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</si>
  <si>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</si>
  <si>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</si>
  <si>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</si>
  <si>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</si>
  <si>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</si>
  <si>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</si>
  <si>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</si>
  <si>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</si>
  <si>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</si>
  <si>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</si>
  <si>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</si>
  <si>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</si>
  <si>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</si>
  <si>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</si>
  <si>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</si>
  <si>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</si>
  <si>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</si>
  <si>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</si>
  <si>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</si>
  <si>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</si>
  <si>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</si>
  <si>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</si>
  <si>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</si>
  <si>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</si>
  <si>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</si>
  <si>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</si>
  <si>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</si>
  <si>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</si>
  <si>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</si>
  <si>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</si>
  <si>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</si>
  <si>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</si>
  <si>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</si>
  <si>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</si>
  <si>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</si>
  <si>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</si>
  <si>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</si>
  <si>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</si>
  <si>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</si>
  <si>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</si>
  <si>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</si>
  <si>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</si>
  <si>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</si>
  <si>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</si>
  <si>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</si>
  <si>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</si>
  <si>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</si>
  <si>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</si>
  <si>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</si>
  <si>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</si>
  <si>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</si>
  <si>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</si>
  <si>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</si>
  <si>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</si>
  <si>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</si>
  <si>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</si>
  <si>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</si>
  <si>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</si>
  <si>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</si>
  <si>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</si>
  <si>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</si>
  <si>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</si>
  <si>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</si>
  <si>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</si>
  <si>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</si>
  <si>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</si>
  <si>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</si>
  <si>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</si>
  <si>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</si>
  <si>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</si>
  <si>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</si>
  <si>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</si>
  <si>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</si>
  <si>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</si>
  <si>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</si>
  <si>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</si>
  <si>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</si>
  <si>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</si>
  <si>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</si>
  <si>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</si>
  <si>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</si>
  <si>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</si>
  <si>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</si>
  <si>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</si>
  <si>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</si>
  <si>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</si>
  <si>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</si>
  <si>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</si>
  <si>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</si>
  <si>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</si>
  <si>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</si>
  <si>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</si>
  <si>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</si>
  <si>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</si>
  <si>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</si>
  <si>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</si>
  <si>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</si>
  <si>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</si>
  <si>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</si>
  <si>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</si>
  <si>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</si>
  <si>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</si>
  <si>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</si>
  <si>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</si>
  <si>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</si>
  <si>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</si>
  <si>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</si>
  <si>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</si>
  <si>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</si>
  <si>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</si>
  <si>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</si>
  <si>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</si>
  <si>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</si>
  <si>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</si>
  <si>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</si>
  <si>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</si>
  <si>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</si>
  <si>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</si>
  <si>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</si>
  <si>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</si>
  <si>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</si>
  <si>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</si>
  <si>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</si>
  <si>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</si>
  <si>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</si>
  <si>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</si>
  <si>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</si>
  <si>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</si>
  <si>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</si>
  <si>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</si>
  <si>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</si>
  <si>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</si>
  <si>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</si>
  <si>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</si>
  <si>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</si>
  <si>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</si>
  <si>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</si>
  <si>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</si>
  <si>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</si>
  <si>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</si>
  <si>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</si>
  <si>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</si>
  <si>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</si>
  <si>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</si>
  <si>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</si>
  <si>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</si>
  <si>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</si>
  <si>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</si>
  <si>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</si>
  <si>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</si>
  <si>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</si>
  <si>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</si>
  <si>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</si>
  <si>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</si>
  <si>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</si>
  <si>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</si>
  <si>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</si>
  <si>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</si>
  <si>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</si>
  <si>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</si>
  <si>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</si>
  <si>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</si>
  <si>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</si>
  <si>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</si>
  <si>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</si>
  <si>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</si>
  <si>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</si>
  <si>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</si>
  <si>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</si>
  <si>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</si>
  <si>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</si>
  <si>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</si>
  <si>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</si>
  <si>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</si>
  <si>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</si>
  <si>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</si>
  <si>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</si>
  <si>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</si>
  <si>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</si>
  <si>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</si>
  <si>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</si>
  <si>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</si>
  <si>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</si>
  <si>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</si>
  <si>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</si>
  <si>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</si>
  <si>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</si>
  <si>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</si>
  <si>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</si>
  <si>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</si>
  <si>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</si>
  <si>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</si>
  <si>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</si>
  <si>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</si>
  <si>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</si>
  <si>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</si>
  <si>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</si>
  <si>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</si>
  <si>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</si>
  <si>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</si>
  <si>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</si>
  <si>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</si>
  <si>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</si>
  <si>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</si>
  <si>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</si>
  <si>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</si>
  <si>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</si>
  <si>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</si>
  <si>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</si>
  <si>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</si>
  <si>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</si>
  <si>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</si>
  <si>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</si>
  <si>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</si>
  <si>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</si>
  <si>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</si>
  <si>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</si>
  <si>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</si>
  <si>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</si>
  <si>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</si>
  <si>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</si>
  <si>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</si>
  <si>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</si>
  <si>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</si>
  <si>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</si>
  <si>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</si>
  <si>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</si>
  <si>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</si>
  <si>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</si>
  <si>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</si>
  <si>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</si>
  <si>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</si>
  <si>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</si>
  <si>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</si>
  <si>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</si>
  <si>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</si>
  <si>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 xml:space="preserve">COMERCIALIZADORA MANSIVA  </t>
  </si>
  <si>
    <t xml:space="preserve">PED. </t>
  </si>
  <si>
    <t>ACCESE23-07</t>
  </si>
  <si>
    <t xml:space="preserve">ZAVALETA 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</si>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</sst>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77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8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80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2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3" fillId="10" borderId="0" xfId="0" applyNumberFormat="1" applyFont="1" applyFill="1"/>
    <xf numFmtId="2" fontId="83" fillId="0" borderId="0" xfId="0" applyNumberFormat="1" applyFont="1" applyFill="1"/>
    <xf numFmtId="2" fontId="83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5" fillId="0" borderId="0" xfId="0" applyFont="1" applyFill="1" applyAlignment="1">
      <alignment horizontal="center"/>
    </xf>
    <xf numFmtId="0" fontId="85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8" fillId="0" borderId="0" xfId="0" applyNumberFormat="1" applyFont="1" applyFill="1" applyAlignment="1">
      <alignment horizontal="right"/>
    </xf>
    <xf numFmtId="15" fontId="88" fillId="0" borderId="4" xfId="0" applyNumberFormat="1" applyFont="1" applyFill="1" applyBorder="1"/>
    <xf numFmtId="2" fontId="88" fillId="0" borderId="5" xfId="0" applyNumberFormat="1" applyFont="1" applyFill="1" applyBorder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168" fontId="88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7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6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9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1" fillId="0" borderId="0" xfId="0" applyNumberFormat="1" applyFont="1" applyFill="1" applyAlignment="1">
      <alignment horizontal="right"/>
    </xf>
    <xf numFmtId="2" fontId="91" fillId="0" borderId="0" xfId="0" applyNumberFormat="1" applyFont="1" applyAlignment="1">
      <alignment horizontal="right"/>
    </xf>
    <xf numFmtId="168" fontId="91" fillId="0" borderId="15" xfId="0" applyNumberFormat="1" applyFont="1" applyBorder="1"/>
    <xf numFmtId="0" fontId="91" fillId="0" borderId="10" xfId="0" applyFont="1" applyBorder="1" applyAlignment="1">
      <alignment horizontal="right"/>
    </xf>
    <xf numFmtId="164" fontId="91" fillId="0" borderId="0" xfId="0" applyNumberFormat="1" applyFont="1"/>
    <xf numFmtId="15" fontId="90" fillId="0" borderId="0" xfId="0" applyNumberFormat="1" applyFont="1" applyFill="1"/>
    <xf numFmtId="2" fontId="90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2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5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3" fillId="0" borderId="0" xfId="0" applyNumberFormat="1" applyFont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3" fillId="2" borderId="0" xfId="0" applyNumberFormat="1" applyFont="1" applyFill="1"/>
    <xf numFmtId="2" fontId="83" fillId="2" borderId="5" xfId="0" applyNumberFormat="1" applyFont="1" applyFill="1" applyBorder="1" applyAlignment="1">
      <alignment horizontal="right"/>
    </xf>
    <xf numFmtId="0" fontId="83" fillId="2" borderId="0" xfId="0" applyFont="1" applyFill="1" applyAlignment="1">
      <alignment horizontal="right"/>
    </xf>
    <xf numFmtId="164" fontId="83" fillId="2" borderId="0" xfId="0" applyNumberFormat="1" applyFont="1" applyFill="1"/>
    <xf numFmtId="44" fontId="83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0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8" fontId="83" fillId="0" borderId="15" xfId="0" applyNumberFormat="1" applyFont="1" applyBorder="1"/>
    <xf numFmtId="2" fontId="84" fillId="0" borderId="5" xfId="0" applyNumberFormat="1" applyFont="1" applyFill="1" applyBorder="1" applyAlignment="1">
      <alignment horizontal="right"/>
    </xf>
    <xf numFmtId="15" fontId="84" fillId="0" borderId="51" xfId="0" applyNumberFormat="1" applyFont="1" applyFill="1" applyBorder="1"/>
    <xf numFmtId="44" fontId="84" fillId="0" borderId="0" xfId="1" applyFont="1" applyFill="1"/>
    <xf numFmtId="168" fontId="84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3" fillId="0" borderId="0" xfId="0" applyNumberFormat="1" applyFont="1" applyFill="1"/>
    <xf numFmtId="16" fontId="83" fillId="0" borderId="12" xfId="0" applyNumberFormat="1" applyFont="1" applyFill="1" applyBorder="1"/>
    <xf numFmtId="0" fontId="83" fillId="0" borderId="13" xfId="0" applyFont="1" applyFill="1" applyBorder="1" applyAlignment="1">
      <alignment horizontal="right"/>
    </xf>
    <xf numFmtId="164" fontId="83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89" fillId="0" borderId="0" xfId="0" applyNumberFormat="1" applyFont="1" applyAlignment="1">
      <alignment horizontal="right"/>
    </xf>
    <xf numFmtId="2" fontId="89" fillId="0" borderId="51" xfId="0" applyNumberFormat="1" applyFont="1" applyBorder="1"/>
    <xf numFmtId="0" fontId="54" fillId="0" borderId="0" xfId="0" applyFont="1" applyAlignment="1">
      <alignment horizontal="right"/>
    </xf>
    <xf numFmtId="164" fontId="89" fillId="0" borderId="0" xfId="0" applyNumberFormat="1" applyFont="1"/>
    <xf numFmtId="168" fontId="89" fillId="0" borderId="0" xfId="0" applyNumberFormat="1" applyFont="1"/>
    <xf numFmtId="16" fontId="89" fillId="0" borderId="51" xfId="0" applyNumberFormat="1" applyFont="1" applyBorder="1"/>
    <xf numFmtId="2" fontId="89" fillId="0" borderId="5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0" fontId="89" fillId="0" borderId="51" xfId="0" applyFont="1" applyBorder="1"/>
    <xf numFmtId="2" fontId="89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0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0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0" fillId="0" borderId="74" xfId="0" applyFont="1" applyFill="1" applyBorder="1" applyAlignment="1">
      <alignment horizontal="center" vertical="center"/>
    </xf>
    <xf numFmtId="0" fontId="80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3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8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2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9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2" fillId="0" borderId="0" xfId="0" applyFont="1" applyFill="1" applyAlignment="1">
      <alignment horizontal="center"/>
    </xf>
    <xf numFmtId="0" fontId="80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0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0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9" fillId="0" borderId="87" xfId="0" applyNumberFormat="1" applyFont="1" applyFill="1" applyBorder="1" applyAlignment="1">
      <alignment horizontal="center" vertical="center"/>
    </xf>
    <xf numFmtId="44" fontId="80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9" fillId="0" borderId="33" xfId="0" applyFont="1" applyFill="1" applyBorder="1" applyAlignment="1">
      <alignment horizontal="center"/>
    </xf>
    <xf numFmtId="0" fontId="94" fillId="0" borderId="0" xfId="0" applyFont="1" applyFill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4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2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9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9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3" fillId="0" borderId="0" xfId="0" applyNumberFormat="1" applyFont="1" applyFill="1"/>
    <xf numFmtId="16" fontId="17" fillId="0" borderId="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2" xfId="0" applyFont="1" applyFill="1" applyBorder="1" applyAlignment="1">
      <alignment horizontal="center" wrapText="1"/>
    </xf>
    <xf numFmtId="164" fontId="28" fillId="0" borderId="112" xfId="0" applyNumberFormat="1" applyFont="1" applyFill="1" applyBorder="1" applyAlignment="1">
      <alignment vertical="center"/>
    </xf>
    <xf numFmtId="167" fontId="7" fillId="0" borderId="112" xfId="0" applyNumberFormat="1" applyFont="1" applyFill="1" applyBorder="1" applyAlignment="1">
      <alignment vertical="center"/>
    </xf>
    <xf numFmtId="0" fontId="28" fillId="0" borderId="112" xfId="0" applyFont="1" applyBorder="1" applyAlignment="1">
      <alignment horizontal="center" vertical="center"/>
    </xf>
    <xf numFmtId="0" fontId="7" fillId="0" borderId="112" xfId="0" applyFont="1" applyBorder="1" applyAlignment="1">
      <alignment vertical="center"/>
    </xf>
    <xf numFmtId="173" fontId="28" fillId="0" borderId="112" xfId="0" applyNumberFormat="1" applyFont="1" applyBorder="1" applyAlignment="1">
      <alignment horizontal="right" vertical="center"/>
    </xf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3" xfId="0" applyFont="1" applyFill="1" applyBorder="1" applyAlignment="1">
      <alignment horizontal="center"/>
    </xf>
    <xf numFmtId="0" fontId="54" fillId="0" borderId="114" xfId="0" applyFont="1" applyFill="1" applyBorder="1" applyAlignment="1">
      <alignment horizontal="center"/>
    </xf>
    <xf numFmtId="174" fontId="52" fillId="0" borderId="113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5" xfId="0" applyFont="1" applyFill="1" applyBorder="1" applyAlignment="1">
      <alignment horizontal="center" vertical="center" wrapText="1"/>
    </xf>
    <xf numFmtId="0" fontId="54" fillId="0" borderId="116" xfId="0" applyFont="1" applyFill="1" applyBorder="1" applyAlignment="1">
      <alignment horizontal="center"/>
    </xf>
    <xf numFmtId="174" fontId="52" fillId="10" borderId="115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vertical="center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1" fontId="72" fillId="30" borderId="74" xfId="0" applyNumberFormat="1" applyFont="1" applyFill="1" applyBorder="1" applyAlignment="1">
      <alignment vertical="center" wrapText="1"/>
    </xf>
    <xf numFmtId="0" fontId="101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1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40" fillId="0" borderId="70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4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0" fillId="0" borderId="70" xfId="0" applyNumberFormat="1" applyFont="1" applyFill="1" applyBorder="1" applyAlignment="1">
      <alignment horizontal="center" vertical="center"/>
    </xf>
    <xf numFmtId="168" fontId="80" fillId="0" borderId="104" xfId="0" applyNumberFormat="1" applyFont="1" applyFill="1" applyBorder="1" applyAlignment="1">
      <alignment horizontal="center" vertical="center"/>
    </xf>
    <xf numFmtId="168" fontId="80" fillId="0" borderId="71" xfId="0" applyNumberFormat="1" applyFont="1" applyFill="1" applyBorder="1" applyAlignment="1">
      <alignment horizontal="center" vertical="center"/>
    </xf>
    <xf numFmtId="1" fontId="79" fillId="0" borderId="70" xfId="0" applyNumberFormat="1" applyFont="1" applyFill="1" applyBorder="1" applyAlignment="1">
      <alignment horizontal="center" vertical="center" wrapText="1"/>
    </xf>
    <xf numFmtId="1" fontId="79" fillId="0" borderId="104" xfId="0" applyNumberFormat="1" applyFont="1" applyFill="1" applyBorder="1" applyAlignment="1">
      <alignment horizontal="center" vertical="center" wrapText="1"/>
    </xf>
    <xf numFmtId="1" fontId="79" fillId="0" borderId="71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3" fillId="0" borderId="110" xfId="0" applyNumberFormat="1" applyFont="1" applyFill="1" applyBorder="1" applyAlignment="1">
      <alignment horizontal="center" vertical="center"/>
    </xf>
    <xf numFmtId="168" fontId="83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4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4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9" fillId="0" borderId="48" xfId="0" applyNumberFormat="1" applyFont="1" applyFill="1" applyBorder="1" applyAlignment="1">
      <alignment horizontal="center" vertical="center"/>
    </xf>
    <xf numFmtId="1" fontId="79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0" fillId="0" borderId="76" xfId="0" applyNumberFormat="1" applyFont="1" applyFill="1" applyBorder="1" applyAlignment="1">
      <alignment horizontal="center" vertical="center"/>
    </xf>
    <xf numFmtId="168" fontId="80" fillId="0" borderId="77" xfId="0" applyNumberFormat="1" applyFont="1" applyFill="1" applyBorder="1" applyAlignment="1">
      <alignment horizontal="center" vertical="center"/>
    </xf>
    <xf numFmtId="168" fontId="80" fillId="0" borderId="38" xfId="0" applyNumberFormat="1" applyFont="1" applyFill="1" applyBorder="1" applyAlignment="1">
      <alignment horizontal="center" vertical="center"/>
    </xf>
    <xf numFmtId="1" fontId="81" fillId="0" borderId="76" xfId="0" applyNumberFormat="1" applyFont="1" applyFill="1" applyBorder="1" applyAlignment="1">
      <alignment horizontal="center" vertical="center" wrapText="1"/>
    </xf>
    <xf numFmtId="1" fontId="81" fillId="0" borderId="77" xfId="0" applyNumberFormat="1" applyFont="1" applyFill="1" applyBorder="1" applyAlignment="1">
      <alignment horizontal="center" vertical="center" wrapText="1"/>
    </xf>
    <xf numFmtId="1" fontId="81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3" fillId="0" borderId="48" xfId="0" applyNumberFormat="1" applyFont="1" applyFill="1" applyBorder="1" applyAlignment="1">
      <alignment horizontal="center" vertical="center"/>
    </xf>
    <xf numFmtId="168" fontId="83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3" fillId="0" borderId="70" xfId="0" applyNumberFormat="1" applyFont="1" applyFill="1" applyBorder="1" applyAlignment="1">
      <alignment horizontal="center" vertical="center"/>
    </xf>
    <xf numFmtId="168" fontId="83" fillId="0" borderId="104" xfId="0" applyNumberFormat="1" applyFont="1" applyFill="1" applyBorder="1" applyAlignment="1">
      <alignment horizontal="center" vertical="center"/>
    </xf>
    <xf numFmtId="168" fontId="83" fillId="0" borderId="7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7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28" fillId="0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3333FF"/>
      <color rgb="FF99FFCC"/>
      <color rgb="FF00FF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8"/>
  <sheetViews>
    <sheetView tabSelected="1" zoomScaleNormal="100" workbookViewId="0">
      <pane xSplit="1" ySplit="2" topLeftCell="K124" activePane="bottomRight" state="frozen"/>
      <selection pane="topRight" activeCell="B1" sqref="B1"/>
      <selection pane="bottomLeft" activeCell="A3" sqref="A3"/>
      <selection pane="bottomRight" activeCell="O132" sqref="O132:O1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8" t="s">
        <v>307</v>
      </c>
      <c r="C1" s="455"/>
      <c r="D1" s="456"/>
      <c r="E1" s="457"/>
      <c r="F1" s="848"/>
      <c r="G1" s="458"/>
      <c r="H1" s="848"/>
      <c r="I1" s="459"/>
      <c r="J1" s="460"/>
      <c r="K1" s="1596" t="s">
        <v>26</v>
      </c>
      <c r="L1" s="523"/>
      <c r="M1" s="1598" t="s">
        <v>27</v>
      </c>
      <c r="N1" s="667"/>
      <c r="P1" s="765" t="s">
        <v>38</v>
      </c>
      <c r="Q1" s="1594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97"/>
      <c r="L2" s="524" t="s">
        <v>29</v>
      </c>
      <c r="M2" s="1599"/>
      <c r="N2" s="668" t="s">
        <v>29</v>
      </c>
      <c r="O2" s="1011" t="s">
        <v>30</v>
      </c>
      <c r="P2" s="766" t="s">
        <v>39</v>
      </c>
      <c r="Q2" s="1595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69" t="str">
        <f>PIERNA!B4</f>
        <v>SEABOARD FOODS</v>
      </c>
      <c r="C4" s="761" t="str">
        <f>PIERNA!C4</f>
        <v>Seaboard</v>
      </c>
      <c r="D4" s="1189" t="str">
        <f>PIERNA!D4</f>
        <v>PED. 101044869</v>
      </c>
      <c r="E4" s="1190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19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193">
        <v>10124</v>
      </c>
      <c r="L5" s="1352" t="s">
        <v>363</v>
      </c>
      <c r="M5" s="591">
        <v>40948</v>
      </c>
      <c r="N5" s="594" t="s">
        <v>390</v>
      </c>
      <c r="O5" s="1119">
        <v>2200215</v>
      </c>
      <c r="P5" s="1516">
        <v>4698</v>
      </c>
      <c r="Q5" s="1197">
        <f>44460.47*16.755</f>
        <v>744935.17484999995</v>
      </c>
      <c r="R5" s="1194" t="s">
        <v>359</v>
      </c>
      <c r="S5" s="893">
        <f>Q5+M5+K5+P5</f>
        <v>800705.17484999995</v>
      </c>
      <c r="T5" s="893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25" t="str">
        <f>PIERNA!AE6</f>
        <v>ACCSE23-04</v>
      </c>
      <c r="K6" s="591"/>
      <c r="L6" s="604"/>
      <c r="M6" s="591"/>
      <c r="N6" s="594"/>
      <c r="O6" s="1119"/>
      <c r="P6" s="467">
        <v>0</v>
      </c>
      <c r="Q6" s="1191"/>
      <c r="R6" s="1192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51">
        <v>12434</v>
      </c>
      <c r="L7" s="1352" t="s">
        <v>365</v>
      </c>
      <c r="M7" s="1351">
        <v>37120</v>
      </c>
      <c r="N7" s="1195" t="s">
        <v>361</v>
      </c>
      <c r="O7" s="1119">
        <v>2202018</v>
      </c>
      <c r="P7" s="1516">
        <v>4698</v>
      </c>
      <c r="Q7" s="1193">
        <f>44318.55*16.96</f>
        <v>751642.60800000012</v>
      </c>
      <c r="R7" s="1194" t="s">
        <v>360</v>
      </c>
      <c r="S7" s="893">
        <f t="shared" si="0"/>
        <v>805894.60800000012</v>
      </c>
      <c r="T7" s="893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097">
        <f>PIERNA!AY6</f>
        <v>11531</v>
      </c>
      <c r="K8" s="1351">
        <v>12274</v>
      </c>
      <c r="L8" s="1353" t="s">
        <v>365</v>
      </c>
      <c r="M8" s="1351">
        <v>37120</v>
      </c>
      <c r="N8" s="1195" t="s">
        <v>366</v>
      </c>
      <c r="O8" s="1120">
        <v>11907</v>
      </c>
      <c r="P8" s="1516">
        <v>4640</v>
      </c>
      <c r="Q8" s="1193">
        <f>44198.56*16.725575</f>
        <v>739246.33017199987</v>
      </c>
      <c r="R8" s="1195" t="s">
        <v>366</v>
      </c>
      <c r="S8" s="893">
        <f t="shared" si="0"/>
        <v>793280.33017199987</v>
      </c>
      <c r="T8" s="893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82">
        <v>12434</v>
      </c>
      <c r="L9" s="1201" t="s">
        <v>399</v>
      </c>
      <c r="M9" s="1200">
        <v>37120</v>
      </c>
      <c r="N9" s="598" t="s">
        <v>391</v>
      </c>
      <c r="O9" s="1119">
        <v>2201629</v>
      </c>
      <c r="P9" s="467"/>
      <c r="Q9" s="1193">
        <f>41332.61*16.78</f>
        <v>693561.1958000001</v>
      </c>
      <c r="R9" s="1196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82">
        <v>11424</v>
      </c>
      <c r="L10" s="1201" t="s">
        <v>400</v>
      </c>
      <c r="M10" s="1200">
        <v>37120</v>
      </c>
      <c r="N10" s="598" t="s">
        <v>391</v>
      </c>
      <c r="O10" s="1119">
        <v>2203346</v>
      </c>
      <c r="P10" s="467"/>
      <c r="Q10" s="1197">
        <f>41396.46*16.725</f>
        <v>692355.79350000003</v>
      </c>
      <c r="R10" s="1196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199" t="s">
        <v>400</v>
      </c>
      <c r="M11" s="591">
        <v>37120</v>
      </c>
      <c r="N11" s="598" t="s">
        <v>392</v>
      </c>
      <c r="O11" s="1120">
        <v>2203345</v>
      </c>
      <c r="P11" s="467"/>
      <c r="Q11" s="1197">
        <f>41104.95*16.725</f>
        <v>687480.28875000007</v>
      </c>
      <c r="R11" s="1196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24" t="str">
        <f>PIERNA!CM6</f>
        <v>ACCESE23-08</v>
      </c>
      <c r="K12" s="591"/>
      <c r="L12" s="604"/>
      <c r="M12" s="591"/>
      <c r="N12" s="598"/>
      <c r="O12" s="1120"/>
      <c r="P12" s="467"/>
      <c r="Q12" s="1197"/>
      <c r="R12" s="1196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6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63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20">
        <v>2204622</v>
      </c>
      <c r="P13" s="467"/>
      <c r="Q13" s="358">
        <f>47466.13*16.795</f>
        <v>797193.65335000004</v>
      </c>
      <c r="R13" s="600" t="s">
        <v>366</v>
      </c>
      <c r="S13" s="893">
        <f t="shared" si="0"/>
        <v>813179.65335000004</v>
      </c>
      <c r="T13" s="893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19">
        <v>2204621</v>
      </c>
      <c r="P14" s="768"/>
      <c r="Q14" s="358">
        <f>47066.68*16.72</f>
        <v>786954.88959999999</v>
      </c>
      <c r="R14" s="601" t="s">
        <v>366</v>
      </c>
      <c r="S14" s="893">
        <f>Q14+M14+K14</f>
        <v>836508.88959999999</v>
      </c>
      <c r="T14" s="893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92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20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7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20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8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66">
        <v>11643</v>
      </c>
      <c r="K17" s="591">
        <v>14104.4</v>
      </c>
      <c r="L17" s="599" t="s">
        <v>421</v>
      </c>
      <c r="M17" s="591">
        <v>37120</v>
      </c>
      <c r="N17" s="598" t="s">
        <v>421</v>
      </c>
      <c r="O17" s="1120">
        <v>11940</v>
      </c>
      <c r="P17" s="1121"/>
      <c r="Q17" s="467">
        <f>46643.69*17.01</f>
        <v>793409.16690000007</v>
      </c>
      <c r="R17" s="600" t="s">
        <v>421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92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25">
        <f>PIERNA!EU6</f>
        <v>11645</v>
      </c>
      <c r="K18" s="591">
        <v>12424</v>
      </c>
      <c r="L18" s="599" t="s">
        <v>422</v>
      </c>
      <c r="M18" s="591">
        <v>37120</v>
      </c>
      <c r="N18" s="602" t="s">
        <v>422</v>
      </c>
      <c r="O18" s="1119">
        <v>11944</v>
      </c>
      <c r="P18" s="767"/>
      <c r="Q18" s="467">
        <f>47387.32*17.06106</f>
        <v>808477.90975920006</v>
      </c>
      <c r="R18" s="601" t="s">
        <v>422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7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32" t="str">
        <f>PIERNA!FE6</f>
        <v>F-3577</v>
      </c>
      <c r="K19" s="591"/>
      <c r="L19" s="599"/>
      <c r="M19" s="591"/>
      <c r="N19" s="602"/>
      <c r="O19" s="1119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6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8" t="str">
        <f>PIERNA!FO6</f>
        <v>NSLE23-143</v>
      </c>
      <c r="K20" s="591">
        <v>10124</v>
      </c>
      <c r="L20" s="599" t="s">
        <v>423</v>
      </c>
      <c r="M20" s="591">
        <v>37120</v>
      </c>
      <c r="N20" s="602" t="s">
        <v>423</v>
      </c>
      <c r="O20" s="1119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9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426</v>
      </c>
      <c r="M21" s="591">
        <v>37120</v>
      </c>
      <c r="N21" s="602" t="s">
        <v>425</v>
      </c>
      <c r="O21" s="1119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50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428</v>
      </c>
      <c r="M22" s="591">
        <v>37120</v>
      </c>
      <c r="N22" s="602" t="s">
        <v>428</v>
      </c>
      <c r="O22" s="1120">
        <v>2208476</v>
      </c>
      <c r="P22" s="467"/>
      <c r="Q22" s="467">
        <f>47745.39*17.03</f>
        <v>813103.99170000001</v>
      </c>
      <c r="R22" s="594" t="s">
        <v>421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808" t="str">
        <f>PIERNA!GS6</f>
        <v>NLSE23-146</v>
      </c>
      <c r="K23" s="591">
        <v>10124</v>
      </c>
      <c r="L23" s="599" t="s">
        <v>428</v>
      </c>
      <c r="M23" s="591">
        <v>37120</v>
      </c>
      <c r="N23" s="844" t="s">
        <v>433</v>
      </c>
      <c r="O23" s="1120">
        <v>2208477</v>
      </c>
      <c r="P23" s="980"/>
      <c r="Q23" s="467">
        <f>48320.16*17.03</f>
        <v>822892.32480000006</v>
      </c>
      <c r="R23" s="594" t="s">
        <v>421</v>
      </c>
      <c r="S23" s="893">
        <f>Q23+M23+K23</f>
        <v>870136.32480000006</v>
      </c>
      <c r="T23" s="893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9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097" t="str">
        <f>PIERNA!HC6</f>
        <v>TFL-3691</v>
      </c>
      <c r="K24" s="591"/>
      <c r="L24" s="599"/>
      <c r="M24" s="591"/>
      <c r="N24" s="598"/>
      <c r="O24" s="1119"/>
      <c r="P24" s="1121"/>
      <c r="Q24" s="467">
        <v>814573.03</v>
      </c>
      <c r="R24" s="594" t="s">
        <v>506</v>
      </c>
      <c r="S24" s="893">
        <f>Q24+M24+K24</f>
        <v>814573.03</v>
      </c>
      <c r="T24" s="893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689" t="str">
        <f>PIERNA!HM6</f>
        <v>NLSE23-126</v>
      </c>
      <c r="K25" s="591">
        <v>12274</v>
      </c>
      <c r="L25" s="599" t="s">
        <v>469</v>
      </c>
      <c r="M25" s="591">
        <v>37120</v>
      </c>
      <c r="N25" s="1098" t="s">
        <v>474</v>
      </c>
      <c r="O25" s="1119">
        <v>22091426</v>
      </c>
      <c r="P25" s="467"/>
      <c r="Q25" s="467">
        <f>47182.71*17.16</f>
        <v>809655.30359999998</v>
      </c>
      <c r="R25" s="594" t="s">
        <v>423</v>
      </c>
      <c r="S25" s="893">
        <f t="shared" si="0"/>
        <v>859049.30359999998</v>
      </c>
      <c r="T25" s="893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8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51">
        <f>PIERNA!IB5</f>
        <v>21</v>
      </c>
      <c r="H26" s="1252">
        <f>PIERNA!IC5</f>
        <v>18777.400000000001</v>
      </c>
      <c r="I26" s="1253">
        <f>PIERNA!I26</f>
        <v>67.979999999999563</v>
      </c>
      <c r="J26" s="808" t="str">
        <f>PIERNA!HW6</f>
        <v>NLSE23-148</v>
      </c>
      <c r="K26" s="591">
        <v>12424</v>
      </c>
      <c r="L26" s="599" t="s">
        <v>474</v>
      </c>
      <c r="M26" s="591">
        <v>37120</v>
      </c>
      <c r="N26" s="594" t="s">
        <v>476</v>
      </c>
      <c r="O26" s="1119">
        <v>2209914</v>
      </c>
      <c r="P26" s="1254"/>
      <c r="Q26" s="467">
        <f>46249.85*17.08</f>
        <v>789947.43799999985</v>
      </c>
      <c r="R26" s="596" t="s">
        <v>427</v>
      </c>
      <c r="S26" s="893">
        <f>Q26+M26+K26</f>
        <v>839491.43799999985</v>
      </c>
      <c r="T26" s="893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808" t="str">
        <f>PIERNA!IG6</f>
        <v>NLSE23-149</v>
      </c>
      <c r="K27" s="358">
        <v>10124</v>
      </c>
      <c r="L27" s="599" t="s">
        <v>476</v>
      </c>
      <c r="M27" s="591">
        <v>37120</v>
      </c>
      <c r="N27" s="598" t="s">
        <v>477</v>
      </c>
      <c r="O27" s="1119">
        <v>2210562</v>
      </c>
      <c r="P27" s="768"/>
      <c r="Q27" s="1091">
        <f>44662.28*17.14</f>
        <v>765511.47920000006</v>
      </c>
      <c r="R27" s="1092" t="s">
        <v>428</v>
      </c>
      <c r="S27" s="893">
        <f>Q27+M27+K27+P27</f>
        <v>812755.47920000006</v>
      </c>
      <c r="T27" s="893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38" t="str">
        <f>PIERNA!IQ6</f>
        <v>ACCE23-06</v>
      </c>
      <c r="K28" s="1453"/>
      <c r="L28" s="1093"/>
      <c r="M28" s="1094"/>
      <c r="N28" s="1095"/>
      <c r="O28" s="1090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459" t="str">
        <f>PIERNA!JA6</f>
        <v>NLSE23-150</v>
      </c>
      <c r="K29" s="1096">
        <v>11424</v>
      </c>
      <c r="L29" s="599" t="s">
        <v>477</v>
      </c>
      <c r="M29" s="591">
        <v>37120</v>
      </c>
      <c r="N29" s="596" t="s">
        <v>478</v>
      </c>
      <c r="O29" s="595">
        <v>2210730</v>
      </c>
      <c r="P29" s="467"/>
      <c r="Q29" s="1091">
        <f>42191.91*17.09</f>
        <v>721059.74190000002</v>
      </c>
      <c r="R29" s="1092" t="s">
        <v>431</v>
      </c>
      <c r="S29" s="893">
        <f t="shared" si="0"/>
        <v>769603.74190000002</v>
      </c>
      <c r="T29" s="893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808" t="str">
        <f>PIERNA!JK6</f>
        <v>NLSE23-151</v>
      </c>
      <c r="K30" s="358">
        <v>12434</v>
      </c>
      <c r="L30" s="599" t="s">
        <v>477</v>
      </c>
      <c r="M30" s="591">
        <v>37120</v>
      </c>
      <c r="N30" s="596" t="s">
        <v>478</v>
      </c>
      <c r="O30" s="595">
        <v>2210731</v>
      </c>
      <c r="P30" s="467"/>
      <c r="Q30" s="467">
        <f>42222.06*17.09</f>
        <v>721575.00539999991</v>
      </c>
      <c r="R30" s="596" t="s">
        <v>431</v>
      </c>
      <c r="S30" s="893">
        <f>Q30+M30+K30</f>
        <v>771129.00539999991</v>
      </c>
      <c r="T30" s="893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6" t="str">
        <f>PIERNA!JV5</f>
        <v>Seaboard</v>
      </c>
      <c r="D31" s="800" t="str">
        <f>PIERNA!JW5</f>
        <v xml:space="preserve">PED. </v>
      </c>
      <c r="E31" s="801">
        <f>PIERNA!JX5</f>
        <v>45168</v>
      </c>
      <c r="F31" s="853">
        <f>PIERNA!JY5</f>
        <v>19104.28</v>
      </c>
      <c r="G31" s="359">
        <f>PIERNA!JZ5</f>
        <v>21</v>
      </c>
      <c r="H31" s="872">
        <f>PIERNA!KA5</f>
        <v>19097</v>
      </c>
      <c r="I31" s="548">
        <f>PIERNA!I31</f>
        <v>7.2799999999988358</v>
      </c>
      <c r="J31" s="1325" t="str">
        <f>PIERNA!JU6</f>
        <v>ACCESE23-07</v>
      </c>
      <c r="K31" s="358"/>
      <c r="L31" s="602"/>
      <c r="M31" s="591"/>
      <c r="N31" s="594"/>
      <c r="O31" s="595"/>
      <c r="P31" s="467"/>
      <c r="Q31" s="1091"/>
      <c r="R31" s="596"/>
      <c r="S31" s="893">
        <f t="shared" si="0"/>
        <v>0</v>
      </c>
      <c r="T31" s="893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1" t="str">
        <f>PIERNA!KF5</f>
        <v>Seaboard</v>
      </c>
      <c r="D32" s="800" t="str">
        <f>PIERNA!KG5</f>
        <v>PED. 102665263</v>
      </c>
      <c r="E32" s="801">
        <f>PIERNA!KH5</f>
        <v>45168</v>
      </c>
      <c r="F32" s="853">
        <f>PIERNA!KI5</f>
        <v>18800.060000000001</v>
      </c>
      <c r="G32" s="359">
        <f>PIERNA!KJ5</f>
        <v>21</v>
      </c>
      <c r="H32" s="872">
        <f>PIERNA!H32</f>
        <v>18806.599999999999</v>
      </c>
      <c r="I32" s="548">
        <f>PIERNA!I32</f>
        <v>-6.5399999999972351</v>
      </c>
      <c r="J32" s="981" t="str">
        <f>PIERNA!KE6</f>
        <v>NLSE23-133</v>
      </c>
      <c r="K32" s="960">
        <v>10374</v>
      </c>
      <c r="L32" s="593" t="s">
        <v>503</v>
      </c>
      <c r="M32" s="591">
        <v>37120</v>
      </c>
      <c r="N32" s="594" t="s">
        <v>511</v>
      </c>
      <c r="O32" s="595">
        <v>2212267</v>
      </c>
      <c r="P32" s="467"/>
      <c r="Q32" s="467">
        <f>42083.93*16.96</f>
        <v>713743.45280000009</v>
      </c>
      <c r="R32" s="596" t="s">
        <v>474</v>
      </c>
      <c r="S32" s="893">
        <f>Q32+M32+K32+P32</f>
        <v>761237.45280000009</v>
      </c>
      <c r="T32" s="893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6" t="str">
        <f>PIERNA!KO5</f>
        <v>SEABOARD FOODS</v>
      </c>
      <c r="C33" s="761" t="str">
        <f>PIERNA!KP5</f>
        <v>Seaboard</v>
      </c>
      <c r="D33" s="800" t="str">
        <f>PIERNA!KQ5</f>
        <v>PED. 102665262</v>
      </c>
      <c r="E33" s="801">
        <f>PIERNA!KR5</f>
        <v>45168</v>
      </c>
      <c r="F33" s="854">
        <f>PIERNA!KS5</f>
        <v>19225.21</v>
      </c>
      <c r="G33" s="513">
        <f>PIERNA!KT5</f>
        <v>21</v>
      </c>
      <c r="H33" s="872">
        <f>PIERNA!KU5</f>
        <v>19196.5</v>
      </c>
      <c r="I33" s="549">
        <f>PIERNA!I33</f>
        <v>28.709999999999127</v>
      </c>
      <c r="J33" s="947" t="str">
        <f>PIERNA!KO6</f>
        <v>NLSE23-152</v>
      </c>
      <c r="K33" s="1517">
        <v>15239</v>
      </c>
      <c r="L33" s="599" t="s">
        <v>509</v>
      </c>
      <c r="M33" s="1519">
        <v>37120</v>
      </c>
      <c r="N33" s="599" t="s">
        <v>513</v>
      </c>
      <c r="O33" s="1509">
        <v>2211710</v>
      </c>
      <c r="P33" s="467"/>
      <c r="Q33" s="1091">
        <f>42955.82*16.96</f>
        <v>728530.70720000006</v>
      </c>
      <c r="R33" s="596" t="s">
        <v>474</v>
      </c>
      <c r="S33" s="893">
        <f>Q33+M33+K33+P33</f>
        <v>780889.70720000006</v>
      </c>
      <c r="T33" s="893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2" t="str">
        <f>PIERNA!C34</f>
        <v>Seaboard</v>
      </c>
      <c r="D34" s="800" t="str">
        <f>PIERNA!D34</f>
        <v>PED. 102664622</v>
      </c>
      <c r="E34" s="801">
        <f>PIERNA!E34</f>
        <v>45168</v>
      </c>
      <c r="F34" s="854">
        <f>PIERNA!F34</f>
        <v>18900.490000000002</v>
      </c>
      <c r="G34" s="513">
        <f>PIERNA!G34</f>
        <v>21</v>
      </c>
      <c r="H34" s="872">
        <f>PIERNA!H34</f>
        <v>18867</v>
      </c>
      <c r="I34" s="548">
        <f>PIERNA!I34</f>
        <v>33.490000000001601</v>
      </c>
      <c r="J34" s="1088" t="str">
        <f>PIERNA!KY6</f>
        <v>NLSE23-153</v>
      </c>
      <c r="K34" s="1518">
        <v>12434</v>
      </c>
      <c r="L34" s="599" t="s">
        <v>510</v>
      </c>
      <c r="M34" s="757">
        <v>37120</v>
      </c>
      <c r="N34" s="596" t="s">
        <v>511</v>
      </c>
      <c r="O34" s="1013">
        <v>2211711</v>
      </c>
      <c r="P34" s="467"/>
      <c r="Q34" s="468">
        <f>42218.93*16.898</f>
        <v>713415.47913999995</v>
      </c>
      <c r="R34" s="597" t="s">
        <v>476</v>
      </c>
      <c r="S34" s="893">
        <f>Q34+M34+K34+P34</f>
        <v>762969.47913999995</v>
      </c>
      <c r="T34" s="893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4" t="str">
        <f>PIERNA!C35</f>
        <v>Seaboard</v>
      </c>
      <c r="D35" s="510" t="str">
        <f>PIERNA!D35</f>
        <v>PED. 3001811</v>
      </c>
      <c r="E35" s="512">
        <f>PIERNA!E35</f>
        <v>45169</v>
      </c>
      <c r="F35" s="855">
        <f>PIERNA!F35</f>
        <v>18678.36</v>
      </c>
      <c r="G35" s="514">
        <f>PIERNA!G35</f>
        <v>21</v>
      </c>
      <c r="H35" s="872">
        <f>PIERNA!H35</f>
        <v>18733.3</v>
      </c>
      <c r="I35" s="548">
        <f>PIERNA!I35</f>
        <v>-54.93999999999869</v>
      </c>
      <c r="J35" s="808" t="str">
        <f>PIERNA!LI6</f>
        <v>NLSE23-154</v>
      </c>
      <c r="K35" s="468">
        <v>12274</v>
      </c>
      <c r="L35" s="599" t="s">
        <v>511</v>
      </c>
      <c r="M35" s="757">
        <v>37120</v>
      </c>
      <c r="N35" s="596" t="s">
        <v>513</v>
      </c>
      <c r="O35" s="1013">
        <v>2212268</v>
      </c>
      <c r="P35" s="467"/>
      <c r="Q35" s="358">
        <f>40812.66*16.81</f>
        <v>686060.81460000004</v>
      </c>
      <c r="R35" s="596" t="s">
        <v>477</v>
      </c>
      <c r="S35" s="893">
        <f>Q35+M35+K35</f>
        <v>735454.81460000004</v>
      </c>
      <c r="T35" s="893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4" t="str">
        <f>PIERNA!C36</f>
        <v xml:space="preserve"> Seaboard</v>
      </c>
      <c r="D36" s="510" t="str">
        <f>PIERNA!D36</f>
        <v>PED. 102734792</v>
      </c>
      <c r="E36" s="512">
        <f>PIERNA!E36</f>
        <v>45169</v>
      </c>
      <c r="F36" s="855">
        <f>PIERNA!F36</f>
        <v>19042.830000000002</v>
      </c>
      <c r="G36" s="514">
        <f>PIERNA!G36</f>
        <v>21</v>
      </c>
      <c r="H36" s="872">
        <f>PIERNA!H36</f>
        <v>19126</v>
      </c>
      <c r="I36" s="548">
        <f>PIERNA!I36</f>
        <v>-83.169999999998254</v>
      </c>
      <c r="J36" s="1520" t="str">
        <f>PIERNA!LS6</f>
        <v>NLSE23-156</v>
      </c>
      <c r="K36" s="1521">
        <v>21237.599999999999</v>
      </c>
      <c r="L36" s="599" t="s">
        <v>511</v>
      </c>
      <c r="M36" s="757">
        <v>37120</v>
      </c>
      <c r="N36" s="1098" t="s">
        <v>513</v>
      </c>
      <c r="O36" s="1013">
        <v>2212814</v>
      </c>
      <c r="P36" s="467"/>
      <c r="Q36" s="358">
        <f>42798.49*16.784</f>
        <v>718329.85615999997</v>
      </c>
      <c r="R36" s="594" t="s">
        <v>503</v>
      </c>
      <c r="S36" s="893">
        <f t="shared" ref="S36:S39" si="9">Q36+M36+K36</f>
        <v>776687.45615999994</v>
      </c>
      <c r="T36" s="893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9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55"/>
      <c r="K39" s="1256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57"/>
      <c r="K40" s="1258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1520" t="s">
        <v>499</v>
      </c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1523" t="s">
        <v>512</v>
      </c>
      <c r="K42" s="1524"/>
      <c r="L42" s="1525"/>
      <c r="M42" s="1524"/>
      <c r="N42" s="1526"/>
      <c r="O42" s="1527"/>
      <c r="P42" s="1528"/>
      <c r="Q42" s="1522"/>
      <c r="R42" s="1529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62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0"/>
      <c r="K98" s="1061"/>
      <c r="L98" s="1062"/>
      <c r="M98" s="1061"/>
      <c r="N98" s="1063"/>
      <c r="O98" s="1016"/>
      <c r="P98" s="1064"/>
      <c r="Q98" s="1064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1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3"/>
      <c r="K99" s="1054"/>
      <c r="L99" s="1055"/>
      <c r="M99" s="1054"/>
      <c r="N99" s="1057"/>
      <c r="O99" s="1015" t="s">
        <v>344</v>
      </c>
      <c r="P99" s="1057"/>
      <c r="Q99" s="1056">
        <v>23314.5</v>
      </c>
      <c r="R99" s="1071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37" t="s">
        <v>345</v>
      </c>
      <c r="C100" s="1122" t="s">
        <v>76</v>
      </c>
      <c r="D100" s="1123"/>
      <c r="E100" s="133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22"/>
      <c r="K100" s="1054"/>
      <c r="L100" s="1058"/>
      <c r="M100" s="1054"/>
      <c r="N100" s="934"/>
      <c r="O100" s="1384">
        <v>148642</v>
      </c>
      <c r="P100" s="1355" t="s">
        <v>368</v>
      </c>
      <c r="Q100" s="1354">
        <v>45696</v>
      </c>
      <c r="R100" s="1387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600" t="s">
        <v>80</v>
      </c>
      <c r="C101" s="1336" t="s">
        <v>346</v>
      </c>
      <c r="D101" s="1332"/>
      <c r="E101" s="1567">
        <v>45139</v>
      </c>
      <c r="F101" s="1333">
        <v>3019.45</v>
      </c>
      <c r="G101" s="595">
        <v>107</v>
      </c>
      <c r="H101" s="933">
        <v>3019.45</v>
      </c>
      <c r="I101" s="750">
        <f t="shared" si="18"/>
        <v>0</v>
      </c>
      <c r="J101" s="1053"/>
      <c r="K101" s="1054"/>
      <c r="L101" s="1055"/>
      <c r="M101" s="1054"/>
      <c r="N101" s="1346"/>
      <c r="O101" s="1602" t="s">
        <v>396</v>
      </c>
      <c r="P101" s="1383"/>
      <c r="Q101" s="1386">
        <v>359314.55</v>
      </c>
      <c r="R101" s="1607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601"/>
      <c r="C102" s="1336" t="s">
        <v>347</v>
      </c>
      <c r="D102" s="1332"/>
      <c r="E102" s="1568"/>
      <c r="F102" s="1333">
        <v>15</v>
      </c>
      <c r="G102" s="595">
        <v>1</v>
      </c>
      <c r="H102" s="933">
        <v>15</v>
      </c>
      <c r="I102" s="750">
        <f t="shared" si="18"/>
        <v>0</v>
      </c>
      <c r="J102" s="1053"/>
      <c r="K102" s="1054"/>
      <c r="L102" s="1055"/>
      <c r="M102" s="1054"/>
      <c r="N102" s="1346"/>
      <c r="O102" s="1603"/>
      <c r="P102" s="1383"/>
      <c r="Q102" s="1386">
        <v>735</v>
      </c>
      <c r="R102" s="1608"/>
      <c r="S102" s="893">
        <f t="shared" ref="S102:S103" si="23">Q102+M102+K102</f>
        <v>735</v>
      </c>
      <c r="T102" s="894">
        <f t="shared" ref="T102:T103" si="24">S102/H102</f>
        <v>49</v>
      </c>
    </row>
    <row r="103" spans="1:24" s="148" customFormat="1" ht="31.5" customHeight="1" thickBot="1" x14ac:dyDescent="0.35">
      <c r="A103" s="991">
        <v>65</v>
      </c>
      <c r="B103" s="1443" t="s">
        <v>105</v>
      </c>
      <c r="C103" s="762" t="s">
        <v>348</v>
      </c>
      <c r="D103" s="1051"/>
      <c r="E103" s="1345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3"/>
      <c r="K103" s="1054"/>
      <c r="L103" s="1055"/>
      <c r="M103" s="1054"/>
      <c r="N103" s="1057"/>
      <c r="O103" s="1385" t="s">
        <v>397</v>
      </c>
      <c r="P103" s="1057"/>
      <c r="Q103" s="1056">
        <v>21091.05</v>
      </c>
      <c r="R103" s="1392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42" t="s">
        <v>456</v>
      </c>
      <c r="C104" s="1336" t="s">
        <v>383</v>
      </c>
      <c r="D104" s="1332"/>
      <c r="E104" s="1440">
        <v>45140</v>
      </c>
      <c r="F104" s="1333">
        <v>2019.61</v>
      </c>
      <c r="G104" s="595">
        <v>76</v>
      </c>
      <c r="H104" s="933">
        <v>2019.61</v>
      </c>
      <c r="I104" s="750">
        <f t="shared" si="18"/>
        <v>0</v>
      </c>
      <c r="J104" s="1053"/>
      <c r="K104" s="1054"/>
      <c r="L104" s="1055"/>
      <c r="M104" s="1054"/>
      <c r="N104" s="1346"/>
      <c r="O104" s="1466">
        <v>20633</v>
      </c>
      <c r="P104" s="1383"/>
      <c r="Q104" s="1386">
        <v>117137.38</v>
      </c>
      <c r="R104" s="1441" t="s">
        <v>479</v>
      </c>
      <c r="S104" s="893">
        <f t="shared" ref="S104:S105" si="25">Q104+M104+K104</f>
        <v>117137.38</v>
      </c>
      <c r="T104" s="894">
        <f t="shared" ref="T104:T105" si="26">S104/H104</f>
        <v>58.000000000000007</v>
      </c>
    </row>
    <row r="105" spans="1:24" s="148" customFormat="1" ht="28.5" customHeight="1" x14ac:dyDescent="0.3">
      <c r="A105" s="991">
        <v>67</v>
      </c>
      <c r="B105" s="1609" t="s">
        <v>349</v>
      </c>
      <c r="C105" s="1339" t="s">
        <v>350</v>
      </c>
      <c r="D105" s="1342"/>
      <c r="E105" s="1612">
        <v>45141</v>
      </c>
      <c r="F105" s="1333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4"/>
      <c r="L105" s="1055"/>
      <c r="M105" s="1054"/>
      <c r="N105" s="1346"/>
      <c r="O105" s="1615" t="s">
        <v>353</v>
      </c>
      <c r="P105" s="1347"/>
      <c r="Q105" s="1386">
        <v>35453.25</v>
      </c>
      <c r="R105" s="1539" t="s">
        <v>400</v>
      </c>
      <c r="S105" s="893">
        <f t="shared" si="25"/>
        <v>35453.25</v>
      </c>
      <c r="T105" s="894">
        <f t="shared" si="26"/>
        <v>63</v>
      </c>
    </row>
    <row r="106" spans="1:24" s="148" customFormat="1" ht="41.25" customHeight="1" x14ac:dyDescent="0.3">
      <c r="A106" s="991">
        <v>68</v>
      </c>
      <c r="B106" s="1610"/>
      <c r="C106" s="1336" t="s">
        <v>351</v>
      </c>
      <c r="D106" s="1343"/>
      <c r="E106" s="1613"/>
      <c r="F106" s="1333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4"/>
      <c r="L106" s="1055"/>
      <c r="M106" s="1054"/>
      <c r="N106" s="1346"/>
      <c r="O106" s="1616"/>
      <c r="P106" s="1348"/>
      <c r="Q106" s="1386">
        <v>31030.65</v>
      </c>
      <c r="R106" s="1540"/>
      <c r="S106" s="893">
        <f t="shared" ref="S106:S110" si="27">Q106+M106+K106</f>
        <v>31030.65</v>
      </c>
      <c r="T106" s="894">
        <f t="shared" ref="T106:T112" si="28">S106/H106</f>
        <v>63</v>
      </c>
    </row>
    <row r="107" spans="1:24" s="148" customFormat="1" ht="44.25" customHeight="1" thickBot="1" x14ac:dyDescent="0.35">
      <c r="A107" s="991">
        <v>69</v>
      </c>
      <c r="B107" s="1611"/>
      <c r="C107" s="1340" t="s">
        <v>352</v>
      </c>
      <c r="D107" s="1344"/>
      <c r="E107" s="1614"/>
      <c r="F107" s="1333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4"/>
      <c r="L107" s="1055"/>
      <c r="M107" s="1054"/>
      <c r="N107" s="1346"/>
      <c r="O107" s="1617"/>
      <c r="P107" s="1349"/>
      <c r="Q107" s="1386">
        <v>29714.639999999999</v>
      </c>
      <c r="R107" s="1541"/>
      <c r="S107" s="893">
        <f t="shared" si="27"/>
        <v>29714.639999999999</v>
      </c>
      <c r="T107" s="894">
        <f t="shared" si="28"/>
        <v>68</v>
      </c>
    </row>
    <row r="108" spans="1:24" s="148" customFormat="1" ht="44.25" customHeight="1" x14ac:dyDescent="0.3">
      <c r="A108" s="991">
        <v>70</v>
      </c>
      <c r="B108" s="1341" t="s">
        <v>343</v>
      </c>
      <c r="C108" s="1267" t="s">
        <v>82</v>
      </c>
      <c r="D108" s="934"/>
      <c r="E108" s="1335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4"/>
      <c r="L108" s="1055"/>
      <c r="M108" s="1054"/>
      <c r="N108" s="1057"/>
      <c r="O108" s="1350" t="s">
        <v>354</v>
      </c>
      <c r="P108" s="1262"/>
      <c r="Q108" s="1056">
        <v>43952.75</v>
      </c>
      <c r="R108" s="1388" t="s">
        <v>398</v>
      </c>
      <c r="S108" s="893">
        <f t="shared" si="27"/>
        <v>43952.75</v>
      </c>
      <c r="T108" s="894">
        <f t="shared" si="28"/>
        <v>25</v>
      </c>
    </row>
    <row r="109" spans="1:24" s="148" customFormat="1" ht="44.25" customHeight="1" x14ac:dyDescent="0.3">
      <c r="A109" s="991">
        <v>71</v>
      </c>
      <c r="B109" s="1126" t="s">
        <v>90</v>
      </c>
      <c r="C109" s="1267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4"/>
      <c r="L109" s="1055"/>
      <c r="M109" s="1054"/>
      <c r="N109" s="1057"/>
      <c r="O109" s="1261" t="s">
        <v>356</v>
      </c>
      <c r="P109" s="1262"/>
      <c r="Q109" s="1056">
        <v>80085.600000000006</v>
      </c>
      <c r="R109" s="1071" t="s">
        <v>392</v>
      </c>
      <c r="S109" s="893">
        <f t="shared" si="27"/>
        <v>80085.600000000006</v>
      </c>
      <c r="T109" s="894">
        <f t="shared" si="28"/>
        <v>40</v>
      </c>
    </row>
    <row r="110" spans="1:24" s="148" customFormat="1" ht="44.25" customHeight="1" x14ac:dyDescent="0.3">
      <c r="A110" s="991">
        <v>72</v>
      </c>
      <c r="B110" s="1126" t="s">
        <v>434</v>
      </c>
      <c r="C110" s="1469" t="s">
        <v>457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4"/>
      <c r="L110" s="1055"/>
      <c r="M110" s="1054"/>
      <c r="N110" s="1057"/>
      <c r="O110" s="1261" t="s">
        <v>458</v>
      </c>
      <c r="P110" s="1262"/>
      <c r="Q110" s="1056">
        <v>99000</v>
      </c>
      <c r="R110" s="1071" t="s">
        <v>471</v>
      </c>
      <c r="S110" s="893">
        <f t="shared" si="27"/>
        <v>99000</v>
      </c>
      <c r="T110" s="894">
        <f t="shared" si="28"/>
        <v>275</v>
      </c>
    </row>
    <row r="111" spans="1:24" s="148" customFormat="1" ht="44.25" customHeight="1" x14ac:dyDescent="0.3">
      <c r="A111" s="991">
        <v>73</v>
      </c>
      <c r="B111" s="1126" t="s">
        <v>343</v>
      </c>
      <c r="C111" s="835" t="s">
        <v>82</v>
      </c>
      <c r="D111" s="1123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9">H111-F111</f>
        <v>0</v>
      </c>
      <c r="J111" s="687"/>
      <c r="K111" s="1054"/>
      <c r="L111" s="1055"/>
      <c r="M111" s="1054"/>
      <c r="N111" s="1057"/>
      <c r="O111" s="1263" t="s">
        <v>357</v>
      </c>
      <c r="P111" s="1264"/>
      <c r="Q111" s="1056">
        <v>22214.5</v>
      </c>
      <c r="R111" s="602" t="s">
        <v>422</v>
      </c>
      <c r="S111" s="893">
        <f>Q111+M111+K111</f>
        <v>22214.5</v>
      </c>
      <c r="T111" s="894">
        <f t="shared" si="28"/>
        <v>25</v>
      </c>
    </row>
    <row r="112" spans="1:24" s="148" customFormat="1" ht="40.5" customHeight="1" thickBot="1" x14ac:dyDescent="0.35">
      <c r="A112" s="991">
        <v>74</v>
      </c>
      <c r="B112" s="1369" t="s">
        <v>105</v>
      </c>
      <c r="C112" s="1127" t="s">
        <v>348</v>
      </c>
      <c r="D112" s="1127"/>
      <c r="E112" s="1371">
        <v>45146</v>
      </c>
      <c r="F112" s="853">
        <v>1024.22</v>
      </c>
      <c r="G112" s="595">
        <v>84</v>
      </c>
      <c r="H112" s="933">
        <v>1024.22</v>
      </c>
      <c r="I112" s="942">
        <f t="shared" si="29"/>
        <v>0</v>
      </c>
      <c r="J112" s="687"/>
      <c r="K112" s="1054"/>
      <c r="L112" s="1055"/>
      <c r="M112" s="1054"/>
      <c r="N112" s="1057"/>
      <c r="O112" s="1375" t="s">
        <v>358</v>
      </c>
      <c r="P112" s="1056"/>
      <c r="Q112" s="1056">
        <v>87058.7</v>
      </c>
      <c r="R112" s="1418" t="s">
        <v>424</v>
      </c>
      <c r="S112" s="893">
        <f>Q112+M112+K112</f>
        <v>87058.7</v>
      </c>
      <c r="T112" s="894">
        <f t="shared" si="28"/>
        <v>85</v>
      </c>
    </row>
    <row r="113" spans="1:20" s="148" customFormat="1" ht="33" customHeight="1" x14ac:dyDescent="0.3">
      <c r="A113" s="991">
        <v>75</v>
      </c>
      <c r="B113" s="1586" t="s">
        <v>382</v>
      </c>
      <c r="C113" s="1367" t="s">
        <v>383</v>
      </c>
      <c r="D113" s="1370"/>
      <c r="E113" s="1588">
        <v>45146</v>
      </c>
      <c r="F113" s="1333">
        <v>2027.69</v>
      </c>
      <c r="G113" s="595">
        <v>74</v>
      </c>
      <c r="H113" s="933">
        <v>2027.69</v>
      </c>
      <c r="I113" s="942">
        <f t="shared" si="29"/>
        <v>0</v>
      </c>
      <c r="J113" s="687"/>
      <c r="K113" s="1054"/>
      <c r="L113" s="1055"/>
      <c r="M113" s="1054"/>
      <c r="N113" s="1346"/>
      <c r="O113" s="1590">
        <v>20648</v>
      </c>
      <c r="P113" s="1373"/>
      <c r="Q113" s="1386">
        <v>117606.02</v>
      </c>
      <c r="R113" s="1618" t="s">
        <v>427</v>
      </c>
      <c r="S113" s="893">
        <f t="shared" ref="S113:S158" si="30">Q113+M113+K113</f>
        <v>117606.02</v>
      </c>
      <c r="T113" s="894">
        <f t="shared" ref="T113:T158" si="31">S113/H113</f>
        <v>58</v>
      </c>
    </row>
    <row r="114" spans="1:20" s="148" customFormat="1" ht="41.25" customHeight="1" thickBot="1" x14ac:dyDescent="0.35">
      <c r="A114" s="991">
        <v>76</v>
      </c>
      <c r="B114" s="1587"/>
      <c r="C114" s="1368" t="s">
        <v>384</v>
      </c>
      <c r="D114" s="1344"/>
      <c r="E114" s="1589"/>
      <c r="F114" s="1333">
        <v>2011.56</v>
      </c>
      <c r="G114" s="595">
        <v>89</v>
      </c>
      <c r="H114" s="933">
        <v>2011.56</v>
      </c>
      <c r="I114" s="942">
        <f t="shared" si="29"/>
        <v>0</v>
      </c>
      <c r="J114" s="687"/>
      <c r="K114" s="1054"/>
      <c r="L114" s="1055"/>
      <c r="M114" s="1054"/>
      <c r="N114" s="1346"/>
      <c r="O114" s="1591"/>
      <c r="P114" s="1374"/>
      <c r="Q114" s="1386">
        <v>170982.6</v>
      </c>
      <c r="R114" s="1619"/>
      <c r="S114" s="893">
        <f t="shared" si="30"/>
        <v>170982.6</v>
      </c>
      <c r="T114" s="894">
        <f t="shared" si="31"/>
        <v>85</v>
      </c>
    </row>
    <row r="115" spans="1:20" s="148" customFormat="1" ht="41.25" customHeight="1" thickBot="1" x14ac:dyDescent="0.35">
      <c r="A115" s="991">
        <v>77</v>
      </c>
      <c r="B115" s="1378" t="s">
        <v>80</v>
      </c>
      <c r="C115" s="1268" t="s">
        <v>346</v>
      </c>
      <c r="D115" s="934"/>
      <c r="E115" s="1379">
        <v>45147</v>
      </c>
      <c r="F115" s="853">
        <v>5007.38</v>
      </c>
      <c r="G115" s="595">
        <v>177</v>
      </c>
      <c r="H115" s="933">
        <v>5007.38</v>
      </c>
      <c r="I115" s="942">
        <f t="shared" si="29"/>
        <v>0</v>
      </c>
      <c r="J115" s="687"/>
      <c r="K115" s="1054"/>
      <c r="L115" s="1055"/>
      <c r="M115" s="1054"/>
      <c r="N115" s="1057"/>
      <c r="O115" s="1380" t="s">
        <v>429</v>
      </c>
      <c r="P115" s="1265"/>
      <c r="Q115" s="1056">
        <v>595878.22</v>
      </c>
      <c r="R115" s="1419" t="s">
        <v>428</v>
      </c>
      <c r="S115" s="893">
        <f t="shared" si="30"/>
        <v>595878.22</v>
      </c>
      <c r="T115" s="894">
        <f t="shared" si="31"/>
        <v>118.99999999999999</v>
      </c>
    </row>
    <row r="116" spans="1:20" s="148" customFormat="1" ht="41.25" customHeight="1" thickBot="1" x14ac:dyDescent="0.35">
      <c r="A116" s="991">
        <v>78</v>
      </c>
      <c r="B116" s="1550" t="s">
        <v>385</v>
      </c>
      <c r="C116" s="1377" t="s">
        <v>386</v>
      </c>
      <c r="D116" s="1344"/>
      <c r="E116" s="1553">
        <v>45147</v>
      </c>
      <c r="F116" s="1333">
        <v>4072.8</v>
      </c>
      <c r="G116" s="595"/>
      <c r="H116" s="933">
        <v>4042</v>
      </c>
      <c r="I116" s="942">
        <f t="shared" si="29"/>
        <v>-30.800000000000182</v>
      </c>
      <c r="J116" s="1259"/>
      <c r="K116" s="1512">
        <v>4176</v>
      </c>
      <c r="L116" s="1577" t="s">
        <v>508</v>
      </c>
      <c r="M116" s="1054"/>
      <c r="N116" s="1346"/>
      <c r="O116" s="1556" t="s">
        <v>389</v>
      </c>
      <c r="P116" s="1391" t="s">
        <v>386</v>
      </c>
      <c r="Q116" s="1056">
        <f>200000+190988.74</f>
        <v>390988.74</v>
      </c>
      <c r="R116" s="1389" t="s">
        <v>394</v>
      </c>
      <c r="S116" s="893">
        <f>Q116+M116+K116</f>
        <v>395164.74</v>
      </c>
      <c r="T116" s="894">
        <f t="shared" ref="T116" si="32">S116/H116</f>
        <v>97.764656110836214</v>
      </c>
    </row>
    <row r="117" spans="1:20" s="148" customFormat="1" ht="41.25" customHeight="1" x14ac:dyDescent="0.3">
      <c r="A117" s="991">
        <v>79</v>
      </c>
      <c r="B117" s="1551"/>
      <c r="C117" s="1377" t="s">
        <v>71</v>
      </c>
      <c r="D117" s="1344"/>
      <c r="E117" s="1554"/>
      <c r="F117" s="1333">
        <v>213.05</v>
      </c>
      <c r="G117" s="595"/>
      <c r="H117" s="933">
        <v>213.05</v>
      </c>
      <c r="I117" s="942">
        <f t="shared" si="29"/>
        <v>0</v>
      </c>
      <c r="J117" s="1259"/>
      <c r="K117" s="1054">
        <v>0</v>
      </c>
      <c r="L117" s="1578"/>
      <c r="M117" s="1054"/>
      <c r="N117" s="1346"/>
      <c r="O117" s="1557"/>
      <c r="P117" s="1374"/>
      <c r="Q117" s="1386">
        <v>29827</v>
      </c>
      <c r="R117" s="1583" t="s">
        <v>393</v>
      </c>
      <c r="S117" s="893">
        <f t="shared" ref="S117:S118" si="33">Q117+M117+K117</f>
        <v>29827</v>
      </c>
      <c r="T117" s="894">
        <f t="shared" ref="T117:T118" si="34">S117/H117</f>
        <v>140</v>
      </c>
    </row>
    <row r="118" spans="1:20" s="148" customFormat="1" ht="41.25" customHeight="1" x14ac:dyDescent="0.3">
      <c r="A118" s="991">
        <v>80</v>
      </c>
      <c r="B118" s="1551"/>
      <c r="C118" s="1368" t="s">
        <v>387</v>
      </c>
      <c r="D118" s="1344"/>
      <c r="E118" s="1554"/>
      <c r="F118" s="1333">
        <v>100</v>
      </c>
      <c r="G118" s="595"/>
      <c r="H118" s="933">
        <v>100</v>
      </c>
      <c r="I118" s="942">
        <f t="shared" si="29"/>
        <v>0</v>
      </c>
      <c r="J118" s="1124"/>
      <c r="K118" s="1054">
        <v>0</v>
      </c>
      <c r="L118" s="1579"/>
      <c r="M118" s="1054"/>
      <c r="N118" s="1093"/>
      <c r="O118" s="1557"/>
      <c r="P118" s="1374"/>
      <c r="Q118" s="1386">
        <v>6500</v>
      </c>
      <c r="R118" s="1584"/>
      <c r="S118" s="893">
        <f t="shared" si="33"/>
        <v>6500</v>
      </c>
      <c r="T118" s="894">
        <f t="shared" si="34"/>
        <v>65</v>
      </c>
    </row>
    <row r="119" spans="1:20" s="148" customFormat="1" ht="41.25" customHeight="1" thickBot="1" x14ac:dyDescent="0.35">
      <c r="A119" s="991">
        <v>81</v>
      </c>
      <c r="B119" s="1552"/>
      <c r="C119" s="1368" t="s">
        <v>388</v>
      </c>
      <c r="D119" s="1344"/>
      <c r="E119" s="1555"/>
      <c r="F119" s="1333">
        <v>99.6</v>
      </c>
      <c r="G119" s="595"/>
      <c r="H119" s="933">
        <v>99.6</v>
      </c>
      <c r="I119" s="942">
        <f t="shared" si="29"/>
        <v>0</v>
      </c>
      <c r="J119" s="687"/>
      <c r="K119" s="1054"/>
      <c r="L119" s="1055"/>
      <c r="M119" s="1054"/>
      <c r="N119" s="1346"/>
      <c r="O119" s="1558"/>
      <c r="P119" s="1374"/>
      <c r="Q119" s="1386">
        <v>1992.06</v>
      </c>
      <c r="R119" s="1585"/>
      <c r="S119" s="893">
        <f t="shared" si="30"/>
        <v>1992.06</v>
      </c>
      <c r="T119" s="894">
        <f t="shared" si="31"/>
        <v>20.000602409638553</v>
      </c>
    </row>
    <row r="120" spans="1:20" s="148" customFormat="1" ht="53.25" customHeight="1" thickBot="1" x14ac:dyDescent="0.35">
      <c r="A120" s="991">
        <v>82</v>
      </c>
      <c r="B120" s="1376" t="s">
        <v>80</v>
      </c>
      <c r="C120" s="1269" t="s">
        <v>347</v>
      </c>
      <c r="D120" s="1270"/>
      <c r="E120" s="1372">
        <v>45148</v>
      </c>
      <c r="F120" s="853">
        <v>1005</v>
      </c>
      <c r="G120" s="595"/>
      <c r="H120" s="933">
        <v>1005</v>
      </c>
      <c r="I120" s="942">
        <f t="shared" ref="I120:I126" si="35">H120-F120</f>
        <v>0</v>
      </c>
      <c r="J120" s="687"/>
      <c r="K120" s="1054"/>
      <c r="L120" s="1055"/>
      <c r="M120" s="1054"/>
      <c r="N120" s="1346"/>
      <c r="O120" s="1381" t="s">
        <v>430</v>
      </c>
      <c r="P120" s="1373"/>
      <c r="Q120" s="1056">
        <v>49245</v>
      </c>
      <c r="R120" s="1390" t="s">
        <v>431</v>
      </c>
      <c r="S120" s="893">
        <f t="shared" si="30"/>
        <v>49245</v>
      </c>
      <c r="T120" s="894">
        <f t="shared" si="31"/>
        <v>49</v>
      </c>
    </row>
    <row r="121" spans="1:20" s="148" customFormat="1" ht="39.75" customHeight="1" thickBot="1" x14ac:dyDescent="0.35">
      <c r="A121" s="991">
        <v>83</v>
      </c>
      <c r="B121" s="1398" t="s">
        <v>345</v>
      </c>
      <c r="C121" s="1268" t="s">
        <v>381</v>
      </c>
      <c r="D121" s="1270"/>
      <c r="E121" s="1400">
        <v>45150</v>
      </c>
      <c r="F121" s="853">
        <v>634</v>
      </c>
      <c r="G121" s="595">
        <v>89</v>
      </c>
      <c r="H121" s="933">
        <v>634</v>
      </c>
      <c r="I121" s="942">
        <f t="shared" si="35"/>
        <v>0</v>
      </c>
      <c r="J121" s="687"/>
      <c r="K121" s="1054"/>
      <c r="L121" s="1055"/>
      <c r="M121" s="1054"/>
      <c r="N121" s="1057"/>
      <c r="O121" s="1402">
        <v>43292</v>
      </c>
      <c r="P121" s="1454" t="s">
        <v>368</v>
      </c>
      <c r="Q121" s="1056">
        <v>20288</v>
      </c>
      <c r="R121" s="1266" t="s">
        <v>469</v>
      </c>
      <c r="S121" s="893">
        <f t="shared" ref="S121:S127" si="36">Q121+M121+K121</f>
        <v>20288</v>
      </c>
      <c r="T121" s="894">
        <f t="shared" ref="T121:T127" si="37">S121/H121</f>
        <v>32</v>
      </c>
    </row>
    <row r="122" spans="1:20" s="148" customFormat="1" ht="39" customHeight="1" x14ac:dyDescent="0.3">
      <c r="A122" s="991">
        <v>84</v>
      </c>
      <c r="B122" s="1629" t="s">
        <v>105</v>
      </c>
      <c r="C122" s="1399" t="s">
        <v>348</v>
      </c>
      <c r="D122" s="1344"/>
      <c r="E122" s="1631">
        <v>45152</v>
      </c>
      <c r="F122" s="1333">
        <v>596.75</v>
      </c>
      <c r="G122" s="595">
        <v>50</v>
      </c>
      <c r="H122" s="933">
        <v>596.75</v>
      </c>
      <c r="I122" s="942">
        <f t="shared" si="35"/>
        <v>0</v>
      </c>
      <c r="J122" s="734"/>
      <c r="K122" s="1054"/>
      <c r="L122" s="1055"/>
      <c r="M122" s="1054"/>
      <c r="N122" s="1346"/>
      <c r="O122" s="1633" t="s">
        <v>413</v>
      </c>
      <c r="P122" s="1383"/>
      <c r="Q122" s="1056">
        <v>50723.75</v>
      </c>
      <c r="R122" s="1592" t="s">
        <v>474</v>
      </c>
      <c r="S122" s="893">
        <f t="shared" si="36"/>
        <v>50723.75</v>
      </c>
      <c r="T122" s="894">
        <f t="shared" si="37"/>
        <v>85</v>
      </c>
    </row>
    <row r="123" spans="1:20" s="148" customFormat="1" ht="31.5" customHeight="1" thickBot="1" x14ac:dyDescent="0.35">
      <c r="A123" s="991">
        <v>85</v>
      </c>
      <c r="B123" s="1630"/>
      <c r="C123" s="1401" t="s">
        <v>412</v>
      </c>
      <c r="D123" s="1344"/>
      <c r="E123" s="1632"/>
      <c r="F123" s="1333">
        <v>598.37</v>
      </c>
      <c r="G123" s="595">
        <v>48</v>
      </c>
      <c r="H123" s="933">
        <v>598.37</v>
      </c>
      <c r="I123" s="942">
        <f t="shared" si="35"/>
        <v>0</v>
      </c>
      <c r="J123" s="734"/>
      <c r="K123" s="1054"/>
      <c r="L123" s="1055"/>
      <c r="M123" s="1054"/>
      <c r="N123" s="1346"/>
      <c r="O123" s="1634"/>
      <c r="P123" s="1383"/>
      <c r="Q123" s="1056">
        <v>50861.45</v>
      </c>
      <c r="R123" s="1593"/>
      <c r="S123" s="893">
        <f t="shared" si="36"/>
        <v>50861.45</v>
      </c>
      <c r="T123" s="894">
        <f t="shared" si="37"/>
        <v>85</v>
      </c>
    </row>
    <row r="124" spans="1:20" s="148" customFormat="1" ht="31.5" customHeight="1" thickTop="1" x14ac:dyDescent="0.3">
      <c r="A124" s="991">
        <v>86</v>
      </c>
      <c r="B124" s="1559" t="s">
        <v>459</v>
      </c>
      <c r="C124" s="1401" t="s">
        <v>460</v>
      </c>
      <c r="D124" s="1344"/>
      <c r="E124" s="1561">
        <v>45152</v>
      </c>
      <c r="F124" s="1333">
        <v>19.309999999999999</v>
      </c>
      <c r="G124" s="595">
        <v>2</v>
      </c>
      <c r="H124" s="933">
        <v>19.309999999999999</v>
      </c>
      <c r="I124" s="942">
        <f t="shared" si="35"/>
        <v>0</v>
      </c>
      <c r="J124" s="734"/>
      <c r="K124" s="1054"/>
      <c r="L124" s="1055"/>
      <c r="M124" s="1054"/>
      <c r="N124" s="1346"/>
      <c r="O124" s="1563">
        <v>20674</v>
      </c>
      <c r="P124" s="1383"/>
      <c r="Q124" s="1386">
        <v>2606.85</v>
      </c>
      <c r="R124" s="1548" t="s">
        <v>478</v>
      </c>
      <c r="S124" s="893">
        <f t="shared" si="36"/>
        <v>2606.85</v>
      </c>
      <c r="T124" s="894">
        <f t="shared" si="37"/>
        <v>135</v>
      </c>
    </row>
    <row r="125" spans="1:20" s="148" customFormat="1" ht="43.5" customHeight="1" thickBot="1" x14ac:dyDescent="0.35">
      <c r="A125" s="991">
        <v>87</v>
      </c>
      <c r="B125" s="1560"/>
      <c r="C125" s="1401" t="s">
        <v>461</v>
      </c>
      <c r="D125" s="1344"/>
      <c r="E125" s="1562"/>
      <c r="F125" s="1333">
        <v>1012.13</v>
      </c>
      <c r="G125" s="595">
        <v>35</v>
      </c>
      <c r="H125" s="933">
        <v>1012.13</v>
      </c>
      <c r="I125" s="942">
        <f t="shared" si="35"/>
        <v>0</v>
      </c>
      <c r="J125" s="734"/>
      <c r="K125" s="1054"/>
      <c r="L125" s="1055"/>
      <c r="M125" s="1054"/>
      <c r="N125" s="1346"/>
      <c r="O125" s="1564"/>
      <c r="P125" s="1383"/>
      <c r="Q125" s="1386">
        <v>64776.32</v>
      </c>
      <c r="R125" s="1549"/>
      <c r="S125" s="893">
        <f t="shared" si="36"/>
        <v>64776.32</v>
      </c>
      <c r="T125" s="894">
        <f t="shared" si="37"/>
        <v>64</v>
      </c>
    </row>
    <row r="126" spans="1:20" s="148" customFormat="1" ht="39" customHeight="1" x14ac:dyDescent="0.3">
      <c r="A126" s="991">
        <v>88</v>
      </c>
      <c r="B126" s="1550" t="s">
        <v>349</v>
      </c>
      <c r="C126" s="1407" t="s">
        <v>414</v>
      </c>
      <c r="D126" s="1344"/>
      <c r="E126" s="1635">
        <v>45154</v>
      </c>
      <c r="F126" s="1333">
        <v>615.91999999999996</v>
      </c>
      <c r="G126" s="595">
        <v>25</v>
      </c>
      <c r="H126" s="933">
        <v>615.91999999999996</v>
      </c>
      <c r="I126" s="942">
        <f t="shared" si="35"/>
        <v>0</v>
      </c>
      <c r="J126" s="687"/>
      <c r="K126" s="1054"/>
      <c r="L126" s="1055"/>
      <c r="M126" s="1054"/>
      <c r="N126" s="1346"/>
      <c r="O126" s="1536" t="s">
        <v>418</v>
      </c>
      <c r="P126" s="1410"/>
      <c r="Q126" s="1386">
        <v>68983.039999999994</v>
      </c>
      <c r="R126" s="1545" t="s">
        <v>427</v>
      </c>
      <c r="S126" s="893">
        <f t="shared" si="36"/>
        <v>68983.039999999994</v>
      </c>
      <c r="T126" s="894">
        <f t="shared" si="37"/>
        <v>112</v>
      </c>
    </row>
    <row r="127" spans="1:20" s="148" customFormat="1" ht="45.75" customHeight="1" x14ac:dyDescent="0.25">
      <c r="A127" s="991">
        <v>89</v>
      </c>
      <c r="B127" s="1551"/>
      <c r="C127" s="1407" t="s">
        <v>415</v>
      </c>
      <c r="D127" s="1344"/>
      <c r="E127" s="1636"/>
      <c r="F127" s="1333">
        <v>191.88</v>
      </c>
      <c r="G127" s="595">
        <v>5</v>
      </c>
      <c r="H127" s="933">
        <v>191.88</v>
      </c>
      <c r="I127" s="423">
        <f t="shared" ref="I127:I128" si="38">H127-F127</f>
        <v>0</v>
      </c>
      <c r="J127" s="687"/>
      <c r="K127" s="1054"/>
      <c r="L127" s="1055"/>
      <c r="M127" s="1054"/>
      <c r="N127" s="1346"/>
      <c r="O127" s="1537"/>
      <c r="P127" s="1410"/>
      <c r="Q127" s="1420">
        <v>12472.2</v>
      </c>
      <c r="R127" s="1546"/>
      <c r="S127" s="893">
        <f t="shared" si="36"/>
        <v>12472.2</v>
      </c>
      <c r="T127" s="894">
        <f t="shared" si="37"/>
        <v>65</v>
      </c>
    </row>
    <row r="128" spans="1:20" s="148" customFormat="1" ht="43.5" customHeight="1" x14ac:dyDescent="0.25">
      <c r="A128" s="991">
        <v>90</v>
      </c>
      <c r="B128" s="1551"/>
      <c r="C128" s="1408" t="s">
        <v>352</v>
      </c>
      <c r="D128" s="1344"/>
      <c r="E128" s="1636"/>
      <c r="F128" s="1404">
        <v>899.53</v>
      </c>
      <c r="G128" s="689">
        <v>35</v>
      </c>
      <c r="H128" s="860">
        <v>899.53</v>
      </c>
      <c r="I128" s="423">
        <f t="shared" si="38"/>
        <v>0</v>
      </c>
      <c r="J128" s="689"/>
      <c r="K128" s="1054"/>
      <c r="L128" s="1058"/>
      <c r="M128" s="1054"/>
      <c r="N128" s="1346"/>
      <c r="O128" s="1537"/>
      <c r="P128" s="1411"/>
      <c r="Q128" s="1420">
        <v>62067.57</v>
      </c>
      <c r="R128" s="1546"/>
      <c r="S128" s="893">
        <f t="shared" si="30"/>
        <v>62067.57</v>
      </c>
      <c r="T128" s="894">
        <f t="shared" si="31"/>
        <v>69</v>
      </c>
    </row>
    <row r="129" spans="1:24" s="148" customFormat="1" ht="45" customHeight="1" x14ac:dyDescent="0.25">
      <c r="A129" s="991">
        <v>91</v>
      </c>
      <c r="B129" s="1551"/>
      <c r="C129" s="1409" t="s">
        <v>416</v>
      </c>
      <c r="D129" s="1344"/>
      <c r="E129" s="1636"/>
      <c r="F129" s="1405">
        <v>614.51</v>
      </c>
      <c r="G129" s="835">
        <v>20</v>
      </c>
      <c r="H129" s="992">
        <v>614.51</v>
      </c>
      <c r="I129" s="423">
        <f t="shared" ref="I129:I168" si="39">H129-F129</f>
        <v>0</v>
      </c>
      <c r="J129" s="1130"/>
      <c r="K129" s="1059"/>
      <c r="L129" s="1059"/>
      <c r="M129" s="1054"/>
      <c r="N129" s="1346"/>
      <c r="O129" s="1537"/>
      <c r="P129" s="1374"/>
      <c r="Q129" s="1420">
        <v>140108.28</v>
      </c>
      <c r="R129" s="1546"/>
      <c r="S129" s="893">
        <f t="shared" si="30"/>
        <v>140108.28</v>
      </c>
      <c r="T129" s="894">
        <f t="shared" si="31"/>
        <v>228</v>
      </c>
    </row>
    <row r="130" spans="1:24" s="148" customFormat="1" ht="31.5" customHeight="1" thickBot="1" x14ac:dyDescent="0.35">
      <c r="A130" s="991">
        <v>92</v>
      </c>
      <c r="B130" s="1552"/>
      <c r="C130" s="1409" t="s">
        <v>417</v>
      </c>
      <c r="D130" s="1403"/>
      <c r="E130" s="1637"/>
      <c r="F130" s="1406">
        <v>632.07000000000005</v>
      </c>
      <c r="G130" s="1038">
        <v>20</v>
      </c>
      <c r="H130" s="993">
        <v>632.07000000000005</v>
      </c>
      <c r="I130" s="891">
        <f t="shared" si="39"/>
        <v>0</v>
      </c>
      <c r="J130" s="688"/>
      <c r="K130" s="1059"/>
      <c r="L130" s="1059"/>
      <c r="M130" s="1054"/>
      <c r="N130" s="1346"/>
      <c r="O130" s="1538"/>
      <c r="P130" s="1383"/>
      <c r="Q130" s="1386">
        <v>41716.620000000003</v>
      </c>
      <c r="R130" s="1547"/>
      <c r="S130" s="893">
        <f t="shared" si="30"/>
        <v>41716.620000000003</v>
      </c>
      <c r="T130" s="894">
        <f t="shared" si="31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13" t="s">
        <v>343</v>
      </c>
      <c r="C131" s="1052" t="s">
        <v>82</v>
      </c>
      <c r="D131" s="731"/>
      <c r="E131" s="1345">
        <v>45154</v>
      </c>
      <c r="F131" s="982">
        <v>2744.68</v>
      </c>
      <c r="G131" s="1038">
        <v>3</v>
      </c>
      <c r="H131" s="993">
        <v>2744.68</v>
      </c>
      <c r="I131" s="891">
        <f t="shared" si="39"/>
        <v>0</v>
      </c>
      <c r="J131" s="1260"/>
      <c r="K131" s="1054"/>
      <c r="L131" s="1219"/>
      <c r="M131" s="1054"/>
      <c r="N131" s="602"/>
      <c r="O131" s="1416" t="s">
        <v>419</v>
      </c>
      <c r="P131" s="1057"/>
      <c r="Q131" s="1056">
        <v>68617</v>
      </c>
      <c r="R131" s="1422" t="s">
        <v>476</v>
      </c>
      <c r="S131" s="893">
        <f t="shared" si="30"/>
        <v>68617</v>
      </c>
      <c r="T131" s="894">
        <f t="shared" si="31"/>
        <v>25</v>
      </c>
      <c r="X131" s="836"/>
    </row>
    <row r="132" spans="1:24" s="148" customFormat="1" ht="38.25" customHeight="1" thickTop="1" x14ac:dyDescent="0.3">
      <c r="A132" s="991">
        <v>94</v>
      </c>
      <c r="B132" s="1620" t="s">
        <v>385</v>
      </c>
      <c r="C132" s="1513" t="s">
        <v>386</v>
      </c>
      <c r="D132" s="1403"/>
      <c r="E132" s="1623">
        <v>45154</v>
      </c>
      <c r="F132" s="1406">
        <v>4063.7</v>
      </c>
      <c r="G132" s="1038"/>
      <c r="H132" s="890">
        <v>4030.4</v>
      </c>
      <c r="I132" s="891">
        <f t="shared" si="39"/>
        <v>-33.299999999999727</v>
      </c>
      <c r="J132" s="688"/>
      <c r="K132" s="1515">
        <v>4176</v>
      </c>
      <c r="L132" s="1604" t="s">
        <v>508</v>
      </c>
      <c r="M132" s="1054"/>
      <c r="N132" s="1346"/>
      <c r="O132" s="1626" t="s">
        <v>41</v>
      </c>
      <c r="P132" s="1383"/>
      <c r="Q132" s="1386">
        <f>200000+190115.14</f>
        <v>390115.14</v>
      </c>
      <c r="R132" s="1580" t="s">
        <v>514</v>
      </c>
      <c r="S132" s="1757">
        <f t="shared" si="30"/>
        <v>394291.14</v>
      </c>
      <c r="T132" s="444">
        <f t="shared" si="31"/>
        <v>97.829282453354509</v>
      </c>
      <c r="U132" s="1417">
        <v>96</v>
      </c>
      <c r="X132" s="836"/>
    </row>
    <row r="133" spans="1:24" s="148" customFormat="1" ht="38.25" customHeight="1" x14ac:dyDescent="0.3">
      <c r="A133" s="991">
        <v>95</v>
      </c>
      <c r="B133" s="1621"/>
      <c r="C133" s="1412" t="s">
        <v>71</v>
      </c>
      <c r="D133" s="1403"/>
      <c r="E133" s="1624"/>
      <c r="F133" s="1406">
        <v>213.45</v>
      </c>
      <c r="G133" s="1038"/>
      <c r="H133" s="890">
        <v>213.45</v>
      </c>
      <c r="I133" s="891">
        <f t="shared" si="39"/>
        <v>0</v>
      </c>
      <c r="J133" s="688"/>
      <c r="K133" s="1514">
        <v>0</v>
      </c>
      <c r="L133" s="1605"/>
      <c r="M133" s="1054"/>
      <c r="N133" s="1346"/>
      <c r="O133" s="1627"/>
      <c r="P133" s="1383"/>
      <c r="Q133" s="1386">
        <v>29883</v>
      </c>
      <c r="R133" s="1581"/>
      <c r="S133" s="1757">
        <f t="shared" ref="S133:S134" si="40">Q133+M133+K133</f>
        <v>29883</v>
      </c>
      <c r="T133" s="444">
        <f t="shared" ref="T133:T134" si="41">S133/H133</f>
        <v>140</v>
      </c>
      <c r="U133" s="1417">
        <v>140</v>
      </c>
      <c r="X133" s="836"/>
    </row>
    <row r="134" spans="1:24" s="148" customFormat="1" ht="31.5" customHeight="1" thickBot="1" x14ac:dyDescent="0.35">
      <c r="A134" s="991">
        <v>96</v>
      </c>
      <c r="B134" s="1622"/>
      <c r="C134" s="1412" t="s">
        <v>420</v>
      </c>
      <c r="D134" s="1414"/>
      <c r="E134" s="1625"/>
      <c r="F134" s="1415">
        <v>101.3</v>
      </c>
      <c r="G134" s="808"/>
      <c r="H134" s="892">
        <v>101.3</v>
      </c>
      <c r="I134" s="891">
        <f t="shared" si="39"/>
        <v>0</v>
      </c>
      <c r="J134" s="689"/>
      <c r="K134" s="1514">
        <v>0</v>
      </c>
      <c r="L134" s="1606"/>
      <c r="M134" s="1054"/>
      <c r="N134" s="1346"/>
      <c r="O134" s="1628"/>
      <c r="P134" s="1383"/>
      <c r="Q134" s="1386">
        <v>2026.06</v>
      </c>
      <c r="R134" s="1582"/>
      <c r="S134" s="1757">
        <f t="shared" si="40"/>
        <v>2026.06</v>
      </c>
      <c r="T134" s="444">
        <f t="shared" si="41"/>
        <v>20.000592300098717</v>
      </c>
      <c r="U134" s="1417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23" t="s">
        <v>432</v>
      </c>
      <c r="C135" s="1052"/>
      <c r="D135" s="730"/>
      <c r="E135" s="1335"/>
      <c r="F135" s="892"/>
      <c r="G135" s="808"/>
      <c r="H135" s="892"/>
      <c r="I135" s="891">
        <f t="shared" si="39"/>
        <v>0</v>
      </c>
      <c r="J135" s="689"/>
      <c r="K135" s="1054"/>
      <c r="L135" s="1058"/>
      <c r="M135" s="1054"/>
      <c r="N135" s="1057"/>
      <c r="O135" s="1350"/>
      <c r="P135" s="1057"/>
      <c r="Q135" s="1056"/>
      <c r="R135" s="1390"/>
      <c r="S135" s="893">
        <f t="shared" ref="S135:S141" si="42">Q135+M135+K135</f>
        <v>0</v>
      </c>
      <c r="T135" s="894" t="e">
        <f t="shared" ref="T135:T141" si="43">S135/H135</f>
        <v>#DIV/0!</v>
      </c>
      <c r="X135" s="836"/>
    </row>
    <row r="136" spans="1:24" s="148" customFormat="1" ht="31.5" customHeight="1" x14ac:dyDescent="0.3">
      <c r="A136" s="991">
        <v>98</v>
      </c>
      <c r="B136" s="1424" t="s">
        <v>432</v>
      </c>
      <c r="C136" s="1052"/>
      <c r="D136" s="730"/>
      <c r="E136" s="834"/>
      <c r="F136" s="892"/>
      <c r="G136" s="808"/>
      <c r="H136" s="892"/>
      <c r="I136" s="891">
        <f t="shared" si="39"/>
        <v>0</v>
      </c>
      <c r="J136" s="689"/>
      <c r="K136" s="1054"/>
      <c r="L136" s="1058"/>
      <c r="M136" s="1054"/>
      <c r="N136" s="1057"/>
      <c r="O136" s="1015"/>
      <c r="P136" s="1057"/>
      <c r="Q136" s="1056"/>
      <c r="R136" s="940"/>
      <c r="S136" s="893">
        <f t="shared" si="42"/>
        <v>0</v>
      </c>
      <c r="T136" s="894" t="e">
        <f t="shared" si="43"/>
        <v>#DIV/0!</v>
      </c>
      <c r="X136" s="836"/>
    </row>
    <row r="137" spans="1:24" s="148" customFormat="1" ht="44.25" customHeight="1" thickBot="1" x14ac:dyDescent="0.35">
      <c r="A137" s="991">
        <v>99</v>
      </c>
      <c r="B137" s="1461" t="s">
        <v>441</v>
      </c>
      <c r="C137" s="1052" t="s">
        <v>462</v>
      </c>
      <c r="D137" s="730"/>
      <c r="E137" s="1448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9"/>
        <v>0</v>
      </c>
      <c r="J137" s="689"/>
      <c r="K137" s="1054"/>
      <c r="L137" s="1058"/>
      <c r="M137" s="1054"/>
      <c r="N137" s="1057"/>
      <c r="O137" s="1016"/>
      <c r="P137" s="1057"/>
      <c r="Q137" s="1056"/>
      <c r="R137" s="1421"/>
      <c r="S137" s="893">
        <f t="shared" si="42"/>
        <v>0</v>
      </c>
      <c r="T137" s="894">
        <f t="shared" si="43"/>
        <v>0</v>
      </c>
      <c r="X137" s="836"/>
    </row>
    <row r="138" spans="1:24" s="148" customFormat="1" ht="42.75" customHeight="1" x14ac:dyDescent="0.3">
      <c r="A138" s="991">
        <v>100</v>
      </c>
      <c r="B138" s="1550" t="s">
        <v>385</v>
      </c>
      <c r="C138" s="1511" t="s">
        <v>386</v>
      </c>
      <c r="D138" s="1414"/>
      <c r="E138" s="1571" t="s">
        <v>466</v>
      </c>
      <c r="F138" s="1415">
        <f>2083.33+2022.07</f>
        <v>4105.3999999999996</v>
      </c>
      <c r="G138" s="808"/>
      <c r="H138" s="892">
        <f>2083.33+2022.07</f>
        <v>4105.3999999999996</v>
      </c>
      <c r="I138" s="891">
        <f t="shared" si="39"/>
        <v>0</v>
      </c>
      <c r="J138" s="689"/>
      <c r="K138" s="1512">
        <v>4176</v>
      </c>
      <c r="L138" s="1604" t="s">
        <v>508</v>
      </c>
      <c r="M138" s="1054"/>
      <c r="N138" s="1346"/>
      <c r="O138" s="1574" t="s">
        <v>467</v>
      </c>
      <c r="P138" s="1462"/>
      <c r="Q138" s="1464">
        <f>200000+196844.83</f>
        <v>396844.82999999996</v>
      </c>
      <c r="R138" s="1542" t="s">
        <v>433</v>
      </c>
      <c r="S138" s="893">
        <f t="shared" si="42"/>
        <v>401020.82999999996</v>
      </c>
      <c r="T138" s="894">
        <f>S138/H138</f>
        <v>97.681305110342478</v>
      </c>
      <c r="X138" s="836"/>
    </row>
    <row r="139" spans="1:24" s="148" customFormat="1" ht="42.75" customHeight="1" x14ac:dyDescent="0.3">
      <c r="A139" s="991">
        <v>101</v>
      </c>
      <c r="B139" s="1551"/>
      <c r="C139" s="1460" t="s">
        <v>71</v>
      </c>
      <c r="D139" s="1414"/>
      <c r="E139" s="1572"/>
      <c r="F139" s="1415">
        <v>215.85</v>
      </c>
      <c r="G139" s="808"/>
      <c r="H139" s="892">
        <v>215.85</v>
      </c>
      <c r="I139" s="891">
        <f t="shared" si="39"/>
        <v>0</v>
      </c>
      <c r="J139" s="689"/>
      <c r="K139" s="1054">
        <v>0</v>
      </c>
      <c r="L139" s="1605"/>
      <c r="M139" s="1054"/>
      <c r="N139" s="1346"/>
      <c r="O139" s="1575"/>
      <c r="P139" s="1462"/>
      <c r="Q139" s="1464">
        <v>30219</v>
      </c>
      <c r="R139" s="1543"/>
      <c r="S139" s="893">
        <f t="shared" ref="S139:S140" si="44">Q139+M139+K139</f>
        <v>30219</v>
      </c>
      <c r="T139" s="894">
        <f t="shared" ref="T139:T140" si="45">S139/H139</f>
        <v>140</v>
      </c>
      <c r="X139" s="836"/>
    </row>
    <row r="140" spans="1:24" s="148" customFormat="1" ht="42.75" customHeight="1" thickBot="1" x14ac:dyDescent="0.35">
      <c r="A140" s="991">
        <v>102</v>
      </c>
      <c r="B140" s="1552"/>
      <c r="C140" s="1460" t="s">
        <v>473</v>
      </c>
      <c r="D140" s="1414"/>
      <c r="E140" s="1573"/>
      <c r="F140" s="1415">
        <v>102.3</v>
      </c>
      <c r="G140" s="808"/>
      <c r="H140" s="892">
        <v>102.3</v>
      </c>
      <c r="I140" s="891">
        <f t="shared" si="39"/>
        <v>0</v>
      </c>
      <c r="J140" s="689"/>
      <c r="K140" s="1054">
        <v>0</v>
      </c>
      <c r="L140" s="1606"/>
      <c r="M140" s="1054"/>
      <c r="N140" s="1346"/>
      <c r="O140" s="1576"/>
      <c r="P140" s="1462"/>
      <c r="Q140" s="1464">
        <v>2046</v>
      </c>
      <c r="R140" s="1544"/>
      <c r="S140" s="893">
        <f t="shared" si="44"/>
        <v>2046</v>
      </c>
      <c r="T140" s="894">
        <f t="shared" si="45"/>
        <v>20</v>
      </c>
      <c r="X140" s="836"/>
    </row>
    <row r="141" spans="1:24" s="148" customFormat="1" ht="41.25" customHeight="1" thickBot="1" x14ac:dyDescent="0.35">
      <c r="A141" s="991">
        <v>103</v>
      </c>
      <c r="B141" s="1376" t="s">
        <v>80</v>
      </c>
      <c r="C141" s="1038" t="s">
        <v>346</v>
      </c>
      <c r="D141" s="1128"/>
      <c r="E141" s="1335">
        <v>45157</v>
      </c>
      <c r="F141" s="892">
        <v>2126.62</v>
      </c>
      <c r="G141" s="808">
        <v>70</v>
      </c>
      <c r="H141" s="892">
        <v>2126.62</v>
      </c>
      <c r="I141" s="891">
        <f t="shared" si="39"/>
        <v>0</v>
      </c>
      <c r="J141" s="835"/>
      <c r="K141" s="1054"/>
      <c r="L141" s="1058"/>
      <c r="M141" s="1054"/>
      <c r="N141" s="1057"/>
      <c r="O141" s="1463" t="s">
        <v>502</v>
      </c>
      <c r="P141" s="1056"/>
      <c r="Q141" s="1056">
        <v>253067.78</v>
      </c>
      <c r="R141" s="1465" t="s">
        <v>503</v>
      </c>
      <c r="S141" s="893">
        <f t="shared" si="42"/>
        <v>253067.78</v>
      </c>
      <c r="T141" s="894">
        <f t="shared" si="43"/>
        <v>119</v>
      </c>
      <c r="X141" s="836">
        <v>3611.88</v>
      </c>
    </row>
    <row r="142" spans="1:24" s="148" customFormat="1" ht="37.5" customHeight="1" thickBot="1" x14ac:dyDescent="0.35">
      <c r="A142" s="991">
        <v>104</v>
      </c>
      <c r="B142" s="1369" t="s">
        <v>90</v>
      </c>
      <c r="C142" s="1129" t="s">
        <v>463</v>
      </c>
      <c r="D142" s="1128"/>
      <c r="E142" s="1448">
        <v>45160</v>
      </c>
      <c r="F142" s="892">
        <v>2002.14</v>
      </c>
      <c r="G142" s="808">
        <v>441</v>
      </c>
      <c r="H142" s="892">
        <v>2002.14</v>
      </c>
      <c r="I142" s="891">
        <f t="shared" si="39"/>
        <v>0</v>
      </c>
      <c r="J142" s="689"/>
      <c r="K142" s="1054"/>
      <c r="L142" s="1058"/>
      <c r="M142" s="1054"/>
      <c r="N142" s="934"/>
      <c r="O142" s="1451" t="s">
        <v>475</v>
      </c>
      <c r="P142" s="1264"/>
      <c r="Q142" s="1386">
        <v>84089.88</v>
      </c>
      <c r="R142" s="1545" t="s">
        <v>474</v>
      </c>
      <c r="S142" s="893">
        <f t="shared" si="30"/>
        <v>84089.88</v>
      </c>
      <c r="T142" s="894">
        <f t="shared" si="31"/>
        <v>42</v>
      </c>
      <c r="X142" s="836">
        <v>79503.45</v>
      </c>
    </row>
    <row r="143" spans="1:24" s="148" customFormat="1" ht="49.5" customHeight="1" x14ac:dyDescent="0.3">
      <c r="A143" s="991">
        <v>105</v>
      </c>
      <c r="B143" s="1565" t="s">
        <v>90</v>
      </c>
      <c r="C143" s="1444" t="s">
        <v>464</v>
      </c>
      <c r="D143" s="1447"/>
      <c r="E143" s="1567">
        <v>45160</v>
      </c>
      <c r="F143" s="1415">
        <v>110</v>
      </c>
      <c r="G143" s="808">
        <v>11</v>
      </c>
      <c r="H143" s="892">
        <v>110</v>
      </c>
      <c r="I143" s="891">
        <f t="shared" si="39"/>
        <v>0</v>
      </c>
      <c r="J143" s="689"/>
      <c r="K143" s="1054"/>
      <c r="L143" s="1058"/>
      <c r="M143" s="1054"/>
      <c r="N143" s="1450"/>
      <c r="O143" s="1569" t="s">
        <v>475</v>
      </c>
      <c r="P143" s="1383"/>
      <c r="Q143" s="1386">
        <v>9350</v>
      </c>
      <c r="R143" s="1546"/>
      <c r="S143" s="893">
        <f t="shared" si="30"/>
        <v>9350</v>
      </c>
      <c r="T143" s="894">
        <f t="shared" si="31"/>
        <v>85</v>
      </c>
      <c r="X143" s="836">
        <v>51480</v>
      </c>
    </row>
    <row r="144" spans="1:24" s="148" customFormat="1" ht="42.75" customHeight="1" thickBot="1" x14ac:dyDescent="0.35">
      <c r="A144" s="991">
        <v>106</v>
      </c>
      <c r="B144" s="1566"/>
      <c r="C144" s="1486" t="s">
        <v>465</v>
      </c>
      <c r="D144" s="1487"/>
      <c r="E144" s="1568"/>
      <c r="F144" s="1488">
        <v>50</v>
      </c>
      <c r="G144" s="1489">
        <v>5</v>
      </c>
      <c r="H144" s="1490">
        <v>50</v>
      </c>
      <c r="I144" s="1491">
        <f t="shared" ref="I144:I147" si="46">H144-F144</f>
        <v>0</v>
      </c>
      <c r="J144" s="689"/>
      <c r="K144" s="1054"/>
      <c r="L144" s="1058"/>
      <c r="M144" s="1054"/>
      <c r="N144" s="1344"/>
      <c r="O144" s="1570"/>
      <c r="P144" s="1383"/>
      <c r="Q144" s="1386">
        <v>3500</v>
      </c>
      <c r="R144" s="1547"/>
      <c r="S144" s="893">
        <f t="shared" si="30"/>
        <v>3500</v>
      </c>
      <c r="T144" s="894">
        <f t="shared" si="31"/>
        <v>70</v>
      </c>
      <c r="X144" s="836">
        <v>3952.64</v>
      </c>
    </row>
    <row r="145" spans="1:24" s="148" customFormat="1" ht="42.75" customHeight="1" x14ac:dyDescent="0.3">
      <c r="A145" s="991">
        <v>107</v>
      </c>
      <c r="B145" s="1500" t="s">
        <v>441</v>
      </c>
      <c r="C145" s="808" t="s">
        <v>346</v>
      </c>
      <c r="D145" s="1123"/>
      <c r="E145" s="1449">
        <v>45161</v>
      </c>
      <c r="F145" s="892">
        <v>18669.650000000001</v>
      </c>
      <c r="G145" s="808">
        <v>642</v>
      </c>
      <c r="H145" s="892">
        <v>18669.650000000001</v>
      </c>
      <c r="I145" s="1499">
        <f t="shared" si="46"/>
        <v>0</v>
      </c>
      <c r="J145" s="689"/>
      <c r="K145" s="1054"/>
      <c r="L145" s="1058"/>
      <c r="M145" s="1054"/>
      <c r="N145" s="1344"/>
      <c r="O145" s="1484"/>
      <c r="P145" s="1383"/>
      <c r="Q145" s="1386"/>
      <c r="R145" s="1485"/>
      <c r="S145" s="893"/>
      <c r="T145" s="894"/>
      <c r="X145" s="1456"/>
    </row>
    <row r="146" spans="1:24" s="148" customFormat="1" ht="42.75" customHeight="1" x14ac:dyDescent="0.3">
      <c r="A146" s="991">
        <v>108</v>
      </c>
      <c r="B146" s="1492" t="s">
        <v>470</v>
      </c>
      <c r="C146" s="1493" t="s">
        <v>472</v>
      </c>
      <c r="D146" s="1494"/>
      <c r="E146" s="1455">
        <v>45160</v>
      </c>
      <c r="F146" s="1495"/>
      <c r="G146" s="1496"/>
      <c r="H146" s="1497"/>
      <c r="I146" s="1498">
        <f t="shared" si="46"/>
        <v>0</v>
      </c>
      <c r="J146" s="689"/>
      <c r="K146" s="1054"/>
      <c r="L146" s="1058"/>
      <c r="M146" s="1054"/>
      <c r="N146" s="1344"/>
      <c r="O146" s="1457">
        <v>1635</v>
      </c>
      <c r="P146" s="1458" t="s">
        <v>368</v>
      </c>
      <c r="Q146" s="1056">
        <v>610824.95999999996</v>
      </c>
      <c r="R146" s="1199" t="s">
        <v>471</v>
      </c>
      <c r="S146" s="893"/>
      <c r="T146" s="894"/>
      <c r="X146" s="1456"/>
    </row>
    <row r="147" spans="1:24" s="148" customFormat="1" ht="36.75" customHeight="1" x14ac:dyDescent="0.3">
      <c r="A147" s="991">
        <v>109</v>
      </c>
      <c r="B147" s="1446" t="s">
        <v>105</v>
      </c>
      <c r="C147" s="1097" t="s">
        <v>72</v>
      </c>
      <c r="D147" s="1123"/>
      <c r="E147" s="1449">
        <v>45163</v>
      </c>
      <c r="F147" s="860">
        <v>300</v>
      </c>
      <c r="G147" s="689">
        <v>30</v>
      </c>
      <c r="H147" s="860">
        <v>300</v>
      </c>
      <c r="I147" s="891">
        <f t="shared" si="46"/>
        <v>0</v>
      </c>
      <c r="J147" s="1122"/>
      <c r="K147" s="1054"/>
      <c r="L147" s="1058"/>
      <c r="M147" s="1054"/>
      <c r="N147" s="934"/>
      <c r="O147" s="1452" t="s">
        <v>468</v>
      </c>
      <c r="P147" s="1057"/>
      <c r="Q147" s="1056">
        <v>18600</v>
      </c>
      <c r="R147" s="602" t="s">
        <v>507</v>
      </c>
      <c r="S147" s="893">
        <f t="shared" si="30"/>
        <v>18600</v>
      </c>
      <c r="T147" s="894" t="s">
        <v>41</v>
      </c>
      <c r="X147" s="896">
        <f>SUM(X92:X144)</f>
        <v>209355.17</v>
      </c>
    </row>
    <row r="148" spans="1:24" s="148" customFormat="1" ht="48" customHeight="1" thickBot="1" x14ac:dyDescent="0.35">
      <c r="A148" s="991">
        <v>110</v>
      </c>
      <c r="B148" s="1502" t="s">
        <v>385</v>
      </c>
      <c r="C148" s="808" t="s">
        <v>386</v>
      </c>
      <c r="D148" s="1467" t="s">
        <v>480</v>
      </c>
      <c r="E148" s="1504" t="s">
        <v>481</v>
      </c>
      <c r="F148" s="892"/>
      <c r="G148" s="808"/>
      <c r="H148" s="892"/>
      <c r="I148" s="891">
        <f t="shared" si="39"/>
        <v>0</v>
      </c>
      <c r="J148" s="689"/>
      <c r="K148" s="1054"/>
      <c r="L148" s="1058"/>
      <c r="M148" s="1054"/>
      <c r="N148" s="1057"/>
      <c r="O148" s="1510" t="s">
        <v>504</v>
      </c>
      <c r="P148" s="1468" t="s">
        <v>480</v>
      </c>
      <c r="Q148" s="1056">
        <f>200000+198951+2335.9</f>
        <v>401286.9</v>
      </c>
      <c r="R148" s="1507" t="s">
        <v>478</v>
      </c>
      <c r="S148" s="893">
        <f t="shared" si="30"/>
        <v>401286.9</v>
      </c>
      <c r="T148" s="894" t="e">
        <f t="shared" si="31"/>
        <v>#DIV/0!</v>
      </c>
      <c r="X148" s="836">
        <v>3222.35</v>
      </c>
    </row>
    <row r="149" spans="1:24" s="148" customFormat="1" ht="31.5" customHeight="1" x14ac:dyDescent="0.3">
      <c r="A149" s="991">
        <v>111</v>
      </c>
      <c r="B149" s="1530" t="s">
        <v>349</v>
      </c>
      <c r="C149" s="1408" t="s">
        <v>352</v>
      </c>
      <c r="D149" s="1447"/>
      <c r="E149" s="1533">
        <v>45164</v>
      </c>
      <c r="F149" s="1415">
        <v>960.3</v>
      </c>
      <c r="G149" s="808">
        <v>40</v>
      </c>
      <c r="H149" s="892">
        <v>960.3</v>
      </c>
      <c r="I149" s="891">
        <f t="shared" si="39"/>
        <v>0</v>
      </c>
      <c r="J149" s="689"/>
      <c r="K149" s="1054"/>
      <c r="L149" s="1058"/>
      <c r="M149" s="1054"/>
      <c r="N149" s="1344"/>
      <c r="O149" s="1536" t="s">
        <v>500</v>
      </c>
      <c r="P149" s="1383"/>
      <c r="Q149" s="1386">
        <v>66260.7</v>
      </c>
      <c r="R149" s="1539" t="s">
        <v>501</v>
      </c>
      <c r="S149" s="893">
        <f t="shared" si="30"/>
        <v>66260.7</v>
      </c>
      <c r="T149" s="894">
        <f t="shared" si="31"/>
        <v>69</v>
      </c>
      <c r="X149" s="836">
        <v>3250.8</v>
      </c>
    </row>
    <row r="150" spans="1:24" s="148" customFormat="1" ht="31.5" customHeight="1" x14ac:dyDescent="0.3">
      <c r="A150" s="991">
        <v>112</v>
      </c>
      <c r="B150" s="1531"/>
      <c r="C150" s="1445" t="s">
        <v>350</v>
      </c>
      <c r="D150" s="1447"/>
      <c r="E150" s="1534"/>
      <c r="F150" s="1415">
        <v>1357.52</v>
      </c>
      <c r="G150" s="808">
        <v>40</v>
      </c>
      <c r="H150" s="892">
        <v>1357.52</v>
      </c>
      <c r="I150" s="891">
        <f t="shared" si="39"/>
        <v>0</v>
      </c>
      <c r="J150" s="689"/>
      <c r="K150" s="1054"/>
      <c r="L150" s="1058"/>
      <c r="M150" s="1054"/>
      <c r="N150" s="1346"/>
      <c r="O150" s="1537"/>
      <c r="P150" s="1411"/>
      <c r="Q150" s="1386">
        <v>88238.8</v>
      </c>
      <c r="R150" s="1540"/>
      <c r="S150" s="893">
        <f t="shared" si="30"/>
        <v>88238.8</v>
      </c>
      <c r="T150" s="894">
        <f t="shared" si="31"/>
        <v>65</v>
      </c>
      <c r="X150" s="836">
        <v>4054.26</v>
      </c>
    </row>
    <row r="151" spans="1:24" s="148" customFormat="1" ht="31.5" customHeight="1" x14ac:dyDescent="0.3">
      <c r="A151" s="991">
        <v>113</v>
      </c>
      <c r="B151" s="1531"/>
      <c r="C151" s="1445" t="s">
        <v>414</v>
      </c>
      <c r="D151" s="1447"/>
      <c r="E151" s="1534"/>
      <c r="F151" s="1415">
        <v>593.83000000000004</v>
      </c>
      <c r="G151" s="808">
        <v>25</v>
      </c>
      <c r="H151" s="892">
        <v>593.83000000000004</v>
      </c>
      <c r="I151" s="891">
        <f t="shared" si="39"/>
        <v>0</v>
      </c>
      <c r="J151" s="689"/>
      <c r="K151" s="1054"/>
      <c r="L151" s="1058"/>
      <c r="M151" s="1054"/>
      <c r="N151" s="1346"/>
      <c r="O151" s="1537"/>
      <c r="P151" s="1411"/>
      <c r="Q151" s="1386">
        <v>66508.960000000006</v>
      </c>
      <c r="R151" s="1540"/>
      <c r="S151" s="893">
        <f t="shared" si="30"/>
        <v>66508.960000000006</v>
      </c>
      <c r="T151" s="894">
        <f t="shared" si="31"/>
        <v>112</v>
      </c>
      <c r="X151" s="836">
        <v>3632.62</v>
      </c>
    </row>
    <row r="152" spans="1:24" s="148" customFormat="1" ht="31.5" customHeight="1" x14ac:dyDescent="0.3">
      <c r="A152" s="991">
        <v>114</v>
      </c>
      <c r="B152" s="1531"/>
      <c r="C152" s="1445" t="s">
        <v>415</v>
      </c>
      <c r="D152" s="1447"/>
      <c r="E152" s="1534"/>
      <c r="F152" s="1415">
        <v>191.64</v>
      </c>
      <c r="G152" s="808">
        <v>5</v>
      </c>
      <c r="H152" s="892">
        <v>191.64</v>
      </c>
      <c r="I152" s="891">
        <f t="shared" si="39"/>
        <v>0</v>
      </c>
      <c r="J152" s="689"/>
      <c r="K152" s="1054"/>
      <c r="L152" s="1058"/>
      <c r="M152" s="1054"/>
      <c r="N152" s="1346"/>
      <c r="O152" s="1537"/>
      <c r="P152" s="1383"/>
      <c r="Q152" s="1506">
        <v>12456.6</v>
      </c>
      <c r="R152" s="1540"/>
      <c r="S152" s="893">
        <f t="shared" si="30"/>
        <v>12456.6</v>
      </c>
      <c r="T152" s="894">
        <f t="shared" si="31"/>
        <v>65</v>
      </c>
      <c r="X152" s="836">
        <v>5994.6</v>
      </c>
    </row>
    <row r="153" spans="1:24" s="148" customFormat="1" ht="31.5" customHeight="1" thickBot="1" x14ac:dyDescent="0.35">
      <c r="A153" s="991">
        <v>115</v>
      </c>
      <c r="B153" s="1532"/>
      <c r="C153" s="1501" t="s">
        <v>416</v>
      </c>
      <c r="D153" s="1447"/>
      <c r="E153" s="1535"/>
      <c r="F153" s="1415">
        <v>644.48</v>
      </c>
      <c r="G153" s="808">
        <v>21</v>
      </c>
      <c r="H153" s="892">
        <v>644.48</v>
      </c>
      <c r="I153" s="891">
        <f t="shared" si="39"/>
        <v>0</v>
      </c>
      <c r="J153" s="689"/>
      <c r="K153" s="1054"/>
      <c r="L153" s="1058"/>
      <c r="M153" s="1054"/>
      <c r="N153" s="1344"/>
      <c r="O153" s="1538"/>
      <c r="P153" s="1383"/>
      <c r="Q153" s="1506">
        <v>146941.44</v>
      </c>
      <c r="R153" s="1541"/>
      <c r="S153" s="893">
        <f t="shared" si="30"/>
        <v>146941.44</v>
      </c>
      <c r="T153" s="894">
        <f t="shared" si="31"/>
        <v>228</v>
      </c>
      <c r="X153" s="836">
        <v>4834.3</v>
      </c>
    </row>
    <row r="154" spans="1:24" s="148" customFormat="1" ht="47.25" customHeight="1" x14ac:dyDescent="0.3">
      <c r="A154" s="991">
        <v>116</v>
      </c>
      <c r="B154" s="1503"/>
      <c r="C154" s="808"/>
      <c r="D154" s="581"/>
      <c r="E154" s="1335"/>
      <c r="F154" s="892"/>
      <c r="G154" s="808"/>
      <c r="H154" s="892"/>
      <c r="I154" s="891">
        <f t="shared" si="39"/>
        <v>0</v>
      </c>
      <c r="J154" s="689"/>
      <c r="K154" s="1054"/>
      <c r="L154" s="1058"/>
      <c r="M154" s="1054"/>
      <c r="N154" s="934"/>
      <c r="O154" s="1505"/>
      <c r="P154" s="1057"/>
      <c r="Q154" s="1056"/>
      <c r="R154" s="1508"/>
      <c r="S154" s="893">
        <f t="shared" si="30"/>
        <v>0</v>
      </c>
      <c r="T154" s="894" t="e">
        <f t="shared" si="31"/>
        <v>#DIV/0!</v>
      </c>
      <c r="X154" s="836">
        <v>4657.6000000000004</v>
      </c>
    </row>
    <row r="155" spans="1:24" s="148" customFormat="1" ht="31.5" customHeight="1" x14ac:dyDescent="0.3">
      <c r="A155" s="991">
        <v>117</v>
      </c>
      <c r="B155" s="943"/>
      <c r="C155" s="808"/>
      <c r="D155" s="581"/>
      <c r="E155" s="834"/>
      <c r="F155" s="892"/>
      <c r="G155" s="808"/>
      <c r="H155" s="892"/>
      <c r="I155" s="891">
        <f t="shared" si="39"/>
        <v>0</v>
      </c>
      <c r="J155" s="936"/>
      <c r="K155" s="936"/>
      <c r="L155" s="1058"/>
      <c r="M155" s="1054"/>
      <c r="N155" s="934"/>
      <c r="O155" s="1065"/>
      <c r="P155" s="1057"/>
      <c r="Q155" s="1056"/>
      <c r="R155" s="1057"/>
      <c r="S155" s="893">
        <f t="shared" si="30"/>
        <v>0</v>
      </c>
      <c r="T155" s="894" t="e">
        <f t="shared" si="31"/>
        <v>#DIV/0!</v>
      </c>
      <c r="X155" s="836">
        <v>2942.5</v>
      </c>
    </row>
    <row r="156" spans="1:24" s="148" customFormat="1" ht="31.5" customHeight="1" x14ac:dyDescent="0.3">
      <c r="A156" s="991">
        <v>118</v>
      </c>
      <c r="B156" s="946"/>
      <c r="C156" s="808"/>
      <c r="D156" s="581"/>
      <c r="E156" s="834"/>
      <c r="F156" s="892"/>
      <c r="G156" s="808"/>
      <c r="H156" s="892"/>
      <c r="I156" s="891">
        <f t="shared" si="39"/>
        <v>0</v>
      </c>
      <c r="J156" s="689"/>
      <c r="K156" s="591"/>
      <c r="L156" s="959"/>
      <c r="M156" s="591"/>
      <c r="N156" s="941"/>
      <c r="O156" s="1017"/>
      <c r="P156" s="602"/>
      <c r="Q156" s="836"/>
      <c r="R156" s="940"/>
      <c r="S156" s="893">
        <f t="shared" si="30"/>
        <v>0</v>
      </c>
      <c r="T156" s="894" t="e">
        <f t="shared" si="31"/>
        <v>#DIV/0!</v>
      </c>
      <c r="X156" s="836">
        <v>3619.54</v>
      </c>
    </row>
    <row r="157" spans="1:24" s="148" customFormat="1" ht="31.5" customHeight="1" x14ac:dyDescent="0.3">
      <c r="A157" s="991">
        <v>119</v>
      </c>
      <c r="B157" s="946"/>
      <c r="C157" s="958"/>
      <c r="D157" s="581"/>
      <c r="E157" s="834"/>
      <c r="F157" s="892"/>
      <c r="G157" s="808"/>
      <c r="H157" s="892"/>
      <c r="I157" s="891">
        <f t="shared" si="39"/>
        <v>0</v>
      </c>
      <c r="J157" s="689"/>
      <c r="K157" s="591"/>
      <c r="L157" s="959"/>
      <c r="M157" s="591"/>
      <c r="N157" s="941"/>
      <c r="O157" s="1017"/>
      <c r="P157" s="602"/>
      <c r="Q157" s="836"/>
      <c r="R157" s="940"/>
      <c r="S157" s="893">
        <f t="shared" si="30"/>
        <v>0</v>
      </c>
      <c r="T157" s="894" t="e">
        <f t="shared" si="31"/>
        <v>#DIV/0!</v>
      </c>
      <c r="X157" s="836">
        <v>3090.78</v>
      </c>
    </row>
    <row r="158" spans="1:24" s="148" customFormat="1" ht="31.5" customHeight="1" x14ac:dyDescent="0.3">
      <c r="A158" s="991">
        <v>120</v>
      </c>
      <c r="B158" s="946"/>
      <c r="C158" s="808"/>
      <c r="D158" s="581"/>
      <c r="E158" s="834"/>
      <c r="F158" s="892"/>
      <c r="G158" s="808"/>
      <c r="H158" s="892"/>
      <c r="I158" s="891">
        <f t="shared" si="39"/>
        <v>0</v>
      </c>
      <c r="J158" s="689"/>
      <c r="K158" s="591"/>
      <c r="L158" s="690"/>
      <c r="M158" s="591"/>
      <c r="N158" s="941"/>
      <c r="O158" s="1017"/>
      <c r="P158" s="602"/>
      <c r="Q158" s="836"/>
      <c r="R158" s="940"/>
      <c r="S158" s="893">
        <f t="shared" si="30"/>
        <v>0</v>
      </c>
      <c r="T158" s="894" t="e">
        <f t="shared" si="31"/>
        <v>#DIV/0!</v>
      </c>
      <c r="X158" s="836">
        <v>4342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423">
        <f t="shared" si="39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ref="T159:T162" si="47">S159/H159</f>
        <v>#DIV/0!</v>
      </c>
      <c r="X159" s="843">
        <v>127420.53</v>
      </c>
    </row>
    <row r="160" spans="1:24" s="148" customFormat="1" ht="53.25" customHeight="1" x14ac:dyDescent="0.25">
      <c r="A160" s="991"/>
      <c r="B160" s="937"/>
      <c r="C160" s="938"/>
      <c r="D160" s="731"/>
      <c r="E160" s="834"/>
      <c r="F160" s="892"/>
      <c r="G160" s="808"/>
      <c r="H160" s="892"/>
      <c r="I160" s="423">
        <f t="shared" si="39"/>
        <v>0</v>
      </c>
      <c r="J160" s="687"/>
      <c r="K160" s="591"/>
      <c r="L160" s="691"/>
      <c r="M160" s="591"/>
      <c r="N160" s="602"/>
      <c r="O160" s="1018"/>
      <c r="P160" s="602"/>
      <c r="Q160" s="842"/>
      <c r="R160" s="939"/>
      <c r="S160" s="893">
        <f t="shared" si="15"/>
        <v>0</v>
      </c>
      <c r="T160" s="894" t="e">
        <f t="shared" si="47"/>
        <v>#DIV/0!</v>
      </c>
      <c r="X160" s="843">
        <v>1664.15</v>
      </c>
    </row>
    <row r="161" spans="1:24" s="148" customFormat="1" ht="53.25" customHeight="1" x14ac:dyDescent="0.25">
      <c r="A161" s="991"/>
      <c r="B161" s="937"/>
      <c r="C161" s="938"/>
      <c r="D161" s="731"/>
      <c r="E161" s="834"/>
      <c r="F161" s="892"/>
      <c r="G161" s="808"/>
      <c r="H161" s="892"/>
      <c r="I161" s="666">
        <f t="shared" si="39"/>
        <v>0</v>
      </c>
      <c r="J161" s="687"/>
      <c r="K161" s="591"/>
      <c r="L161" s="691"/>
      <c r="M161" s="591"/>
      <c r="N161" s="602"/>
      <c r="O161" s="1018"/>
      <c r="P161" s="602"/>
      <c r="Q161" s="842"/>
      <c r="R161" s="939"/>
      <c r="S161" s="893">
        <f t="shared" si="15"/>
        <v>0</v>
      </c>
      <c r="T161" s="894" t="e">
        <f t="shared" si="47"/>
        <v>#DIV/0!</v>
      </c>
      <c r="X161" s="843">
        <v>4143.5200000000004</v>
      </c>
    </row>
    <row r="162" spans="1:24" s="148" customFormat="1" ht="53.25" customHeight="1" x14ac:dyDescent="0.25">
      <c r="A162" s="991"/>
      <c r="B162" s="937"/>
      <c r="C162" s="938"/>
      <c r="D162" s="731"/>
      <c r="E162" s="834"/>
      <c r="F162" s="892"/>
      <c r="G162" s="808"/>
      <c r="H162" s="892"/>
      <c r="I162" s="666">
        <f t="shared" si="39"/>
        <v>0</v>
      </c>
      <c r="J162" s="687"/>
      <c r="K162" s="591"/>
      <c r="L162" s="691"/>
      <c r="M162" s="591"/>
      <c r="N162" s="602"/>
      <c r="O162" s="1018"/>
      <c r="P162" s="602"/>
      <c r="Q162" s="842"/>
      <c r="R162" s="939"/>
      <c r="S162" s="893">
        <f t="shared" si="15"/>
        <v>0</v>
      </c>
      <c r="T162" s="894" t="e">
        <f t="shared" si="47"/>
        <v>#DIV/0!</v>
      </c>
      <c r="X162" s="843">
        <v>2070.5</v>
      </c>
    </row>
    <row r="163" spans="1:24" s="148" customFormat="1" ht="33.75" customHeight="1" x14ac:dyDescent="0.3">
      <c r="A163" s="97"/>
      <c r="B163" s="731"/>
      <c r="C163" s="730"/>
      <c r="D163" s="935"/>
      <c r="E163" s="732"/>
      <c r="F163" s="861"/>
      <c r="G163" s="581"/>
      <c r="H163" s="861"/>
      <c r="I163" s="423">
        <f t="shared" si="39"/>
        <v>0</v>
      </c>
      <c r="J163" s="687"/>
      <c r="K163" s="591"/>
      <c r="L163" s="691"/>
      <c r="M163" s="591"/>
      <c r="N163" s="602"/>
      <c r="O163" s="1014"/>
      <c r="P163" s="602"/>
      <c r="Q163" s="836"/>
      <c r="R163" s="602"/>
      <c r="S163" s="893">
        <f t="shared" ref="S163" si="48">Q163+M163+K163</f>
        <v>0</v>
      </c>
      <c r="T163" s="894" t="e">
        <f t="shared" ref="T163" si="49">S163/H163</f>
        <v>#DIV/0!</v>
      </c>
    </row>
    <row r="164" spans="1:24" s="148" customFormat="1" ht="25.5" customHeight="1" x14ac:dyDescent="0.25">
      <c r="A164" s="97"/>
      <c r="B164" s="809"/>
      <c r="C164" s="606"/>
      <c r="D164" s="704"/>
      <c r="E164" s="735"/>
      <c r="F164" s="862"/>
      <c r="G164" s="607"/>
      <c r="H164" s="875"/>
      <c r="I164" s="813">
        <f t="shared" si="39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ref="S164:S171" si="50">Q164+M164+K164</f>
        <v>0</v>
      </c>
      <c r="T164" s="894" t="e">
        <f t="shared" ref="T164:T171" si="51">S164/H164</f>
        <v>#DIV/0!</v>
      </c>
    </row>
    <row r="165" spans="1:24" s="148" customFormat="1" ht="38.25" customHeight="1" x14ac:dyDescent="0.25">
      <c r="A165" s="97"/>
      <c r="B165" s="1070"/>
      <c r="C165" s="606"/>
      <c r="D165" s="606"/>
      <c r="E165" s="705"/>
      <c r="F165" s="862"/>
      <c r="G165" s="607"/>
      <c r="H165" s="862"/>
      <c r="I165" s="813">
        <f t="shared" si="39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50"/>
        <v>0</v>
      </c>
      <c r="T165" s="894" t="e">
        <f t="shared" si="51"/>
        <v>#DIV/0!</v>
      </c>
    </row>
    <row r="166" spans="1:24" s="148" customFormat="1" ht="38.25" customHeight="1" x14ac:dyDescent="0.25">
      <c r="A166" s="97"/>
      <c r="B166" s="1070"/>
      <c r="C166" s="606"/>
      <c r="D166" s="733"/>
      <c r="E166" s="705"/>
      <c r="F166" s="862"/>
      <c r="G166" s="607"/>
      <c r="H166" s="862"/>
      <c r="I166" s="813">
        <f t="shared" si="39"/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50"/>
        <v>0</v>
      </c>
      <c r="T166" s="894" t="e">
        <f t="shared" si="51"/>
        <v>#DIV/0!</v>
      </c>
    </row>
    <row r="167" spans="1:24" s="148" customFormat="1" ht="33" customHeight="1" x14ac:dyDescent="0.25">
      <c r="A167" s="97"/>
      <c r="B167" s="809"/>
      <c r="C167" s="606"/>
      <c r="D167" s="606"/>
      <c r="E167" s="705"/>
      <c r="F167" s="862"/>
      <c r="G167" s="607"/>
      <c r="H167" s="862"/>
      <c r="I167" s="813">
        <f t="shared" si="39"/>
        <v>0</v>
      </c>
      <c r="J167" s="687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50"/>
        <v>0</v>
      </c>
      <c r="T167" s="894" t="e">
        <f t="shared" si="51"/>
        <v>#DIV/0!</v>
      </c>
    </row>
    <row r="168" spans="1:24" s="148" customFormat="1" ht="33.75" customHeight="1" x14ac:dyDescent="0.25">
      <c r="A168" s="97"/>
      <c r="B168" s="809"/>
      <c r="C168" s="606"/>
      <c r="D168" s="733"/>
      <c r="E168" s="705"/>
      <c r="F168" s="862"/>
      <c r="G168" s="607"/>
      <c r="H168" s="862"/>
      <c r="I168" s="813">
        <f t="shared" si="39"/>
        <v>0</v>
      </c>
      <c r="J168" s="68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50"/>
        <v>0</v>
      </c>
      <c r="T168" s="894" t="e">
        <f t="shared" si="51"/>
        <v>#DIV/0!</v>
      </c>
    </row>
    <row r="169" spans="1:24" s="148" customFormat="1" ht="35.25" customHeight="1" x14ac:dyDescent="0.25">
      <c r="A169" s="97"/>
      <c r="B169" s="809"/>
      <c r="C169" s="606"/>
      <c r="D169" s="606"/>
      <c r="E169" s="705"/>
      <c r="F169" s="862"/>
      <c r="G169" s="607"/>
      <c r="H169" s="862"/>
      <c r="I169" s="813">
        <f t="shared" ref="I169:I171" si="52">H169-F169</f>
        <v>0</v>
      </c>
      <c r="J169" s="687"/>
      <c r="K169" s="591"/>
      <c r="L169" s="690"/>
      <c r="M169" s="591"/>
      <c r="N169" s="602"/>
      <c r="O169" s="1019"/>
      <c r="P169" s="602"/>
      <c r="Q169" s="840"/>
      <c r="R169" s="602"/>
      <c r="S169" s="893">
        <f t="shared" si="50"/>
        <v>0</v>
      </c>
      <c r="T169" s="894" t="e">
        <f t="shared" si="51"/>
        <v>#DIV/0!</v>
      </c>
    </row>
    <row r="170" spans="1:24" s="148" customFormat="1" ht="30" customHeight="1" x14ac:dyDescent="0.3">
      <c r="A170" s="97"/>
      <c r="B170" s="809"/>
      <c r="C170" s="810"/>
      <c r="D170" s="469"/>
      <c r="E170" s="705"/>
      <c r="F170" s="863"/>
      <c r="G170" s="581"/>
      <c r="H170" s="864"/>
      <c r="I170" s="814">
        <f t="shared" si="52"/>
        <v>0</v>
      </c>
      <c r="J170" s="736"/>
      <c r="K170" s="591"/>
      <c r="L170" s="690"/>
      <c r="M170" s="591"/>
      <c r="N170" s="602"/>
      <c r="O170" s="1019"/>
      <c r="P170" s="602"/>
      <c r="Q170" s="840"/>
      <c r="R170" s="602"/>
      <c r="S170" s="893">
        <f t="shared" si="50"/>
        <v>0</v>
      </c>
      <c r="T170" s="894" t="e">
        <f t="shared" si="51"/>
        <v>#DIV/0!</v>
      </c>
    </row>
    <row r="171" spans="1:24" s="148" customFormat="1" ht="33" customHeight="1" x14ac:dyDescent="0.3">
      <c r="A171" s="97"/>
      <c r="B171" s="943"/>
      <c r="C171" s="606"/>
      <c r="D171" s="731"/>
      <c r="E171" s="811"/>
      <c r="F171" s="864"/>
      <c r="G171" s="734"/>
      <c r="H171" s="864"/>
      <c r="I171" s="815">
        <f t="shared" si="52"/>
        <v>0</v>
      </c>
      <c r="J171" s="737"/>
      <c r="K171" s="591"/>
      <c r="L171" s="690"/>
      <c r="M171" s="591"/>
      <c r="N171" s="602"/>
      <c r="O171" s="1019"/>
      <c r="P171" s="602"/>
      <c r="Q171" s="840"/>
      <c r="R171" s="602"/>
      <c r="S171" s="893">
        <f t="shared" si="50"/>
        <v>0</v>
      </c>
      <c r="T171" s="894" t="e">
        <f t="shared" si="51"/>
        <v>#DIV/0!</v>
      </c>
    </row>
    <row r="172" spans="1:24" s="148" customFormat="1" ht="32.25" customHeight="1" x14ac:dyDescent="0.25">
      <c r="A172" s="97"/>
      <c r="B172" s="349"/>
      <c r="C172" s="349"/>
      <c r="D172" s="349"/>
      <c r="E172" s="490"/>
      <c r="F172" s="865"/>
      <c r="G172" s="500"/>
      <c r="H172" s="865"/>
      <c r="I172" s="102">
        <f t="shared" ref="I172:I196" si="53">H172-F172</f>
        <v>0</v>
      </c>
      <c r="J172" s="581"/>
      <c r="K172" s="591"/>
      <c r="L172" s="690"/>
      <c r="M172" s="591"/>
      <c r="N172" s="692"/>
      <c r="O172" s="1015"/>
      <c r="P172" s="770"/>
      <c r="Q172" s="469"/>
      <c r="R172" s="738"/>
      <c r="S172" s="893">
        <f t="shared" ref="S172:S181" si="54">Q172+M172+K172</f>
        <v>0</v>
      </c>
      <c r="T172" s="894" t="e">
        <f t="shared" ref="T172:T181" si="55">S172/H172</f>
        <v>#DIV/0!</v>
      </c>
    </row>
    <row r="173" spans="1:24" s="148" customFormat="1" ht="19.5" customHeight="1" x14ac:dyDescent="0.25">
      <c r="A173" s="97"/>
      <c r="B173" s="349"/>
      <c r="C173" s="349"/>
      <c r="D173" s="349"/>
      <c r="E173" s="490"/>
      <c r="F173" s="865"/>
      <c r="G173" s="500"/>
      <c r="H173" s="865"/>
      <c r="I173" s="102">
        <f t="shared" si="53"/>
        <v>0</v>
      </c>
      <c r="J173" s="581"/>
      <c r="K173" s="591"/>
      <c r="L173" s="690"/>
      <c r="M173" s="591"/>
      <c r="N173" s="692"/>
      <c r="O173" s="1015"/>
      <c r="P173" s="770"/>
      <c r="Q173" s="469"/>
      <c r="R173" s="738"/>
      <c r="S173" s="893">
        <f t="shared" si="54"/>
        <v>0</v>
      </c>
      <c r="T173" s="894" t="e">
        <f t="shared" si="55"/>
        <v>#DIV/0!</v>
      </c>
    </row>
    <row r="174" spans="1:24" s="148" customFormat="1" x14ac:dyDescent="0.25">
      <c r="A174" s="97"/>
      <c r="B174" s="373"/>
      <c r="C174" s="72"/>
      <c r="D174" s="152"/>
      <c r="E174" s="145"/>
      <c r="F174" s="866"/>
      <c r="G174" s="97"/>
      <c r="H174" s="870"/>
      <c r="I174" s="102">
        <f t="shared" si="53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4"/>
        <v>0</v>
      </c>
      <c r="T174" s="894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53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4"/>
        <v>0</v>
      </c>
      <c r="T175" s="894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53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4"/>
        <v>0</v>
      </c>
      <c r="T176" s="894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53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4"/>
        <v>0</v>
      </c>
      <c r="T177" s="894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53"/>
        <v>0</v>
      </c>
      <c r="J178" s="170"/>
      <c r="K178" s="211"/>
      <c r="L178" s="526"/>
      <c r="M178" s="210"/>
      <c r="N178" s="669"/>
      <c r="O178" s="1012"/>
      <c r="P178" s="771"/>
      <c r="Q178" s="470"/>
      <c r="R178" s="532"/>
      <c r="S178" s="893">
        <f t="shared" si="54"/>
        <v>0</v>
      </c>
      <c r="T178" s="894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53"/>
        <v>0</v>
      </c>
      <c r="J179" s="170"/>
      <c r="K179" s="211"/>
      <c r="L179" s="526"/>
      <c r="M179" s="210"/>
      <c r="N179" s="669"/>
      <c r="O179" s="1012"/>
      <c r="P179" s="771"/>
      <c r="Q179" s="470"/>
      <c r="R179" s="532"/>
      <c r="S179" s="893">
        <f t="shared" si="54"/>
        <v>0</v>
      </c>
      <c r="T179" s="894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53"/>
        <v>0</v>
      </c>
      <c r="J180" s="170"/>
      <c r="K180" s="211"/>
      <c r="L180" s="526"/>
      <c r="M180" s="210"/>
      <c r="N180" s="669"/>
      <c r="O180" s="1012"/>
      <c r="P180" s="771"/>
      <c r="Q180" s="470"/>
      <c r="R180" s="532"/>
      <c r="S180" s="893">
        <f t="shared" si="54"/>
        <v>0</v>
      </c>
      <c r="T180" s="894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6"/>
      <c r="G181" s="97"/>
      <c r="H181" s="870"/>
      <c r="I181" s="102">
        <f t="shared" si="53"/>
        <v>0</v>
      </c>
      <c r="J181" s="170"/>
      <c r="K181" s="211"/>
      <c r="L181" s="526"/>
      <c r="M181" s="210"/>
      <c r="N181" s="670"/>
      <c r="O181" s="1012"/>
      <c r="P181" s="771"/>
      <c r="Q181" s="471"/>
      <c r="R181" s="533"/>
      <c r="S181" s="893">
        <f t="shared" si="54"/>
        <v>0</v>
      </c>
      <c r="T181" s="894" t="e">
        <f t="shared" si="55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6"/>
      <c r="G182" s="97"/>
      <c r="H182" s="870"/>
      <c r="I182" s="102">
        <f t="shared" si="53"/>
        <v>0</v>
      </c>
      <c r="J182" s="170"/>
      <c r="K182" s="211"/>
      <c r="L182" s="526"/>
      <c r="M182" s="210"/>
      <c r="N182" s="670"/>
      <c r="O182" s="1012"/>
      <c r="P182" s="771"/>
      <c r="Q182" s="471"/>
      <c r="R182" s="533"/>
      <c r="S182" s="893"/>
      <c r="T182" s="893"/>
    </row>
    <row r="183" spans="1:20" s="148" customFormat="1" x14ac:dyDescent="0.25">
      <c r="A183" s="97"/>
      <c r="B183" s="74"/>
      <c r="C183" s="72"/>
      <c r="D183" s="152"/>
      <c r="E183" s="145"/>
      <c r="F183" s="866"/>
      <c r="G183" s="97"/>
      <c r="H183" s="870"/>
      <c r="I183" s="102">
        <f t="shared" si="53"/>
        <v>0</v>
      </c>
      <c r="J183" s="170"/>
      <c r="K183" s="211"/>
      <c r="L183" s="526"/>
      <c r="M183" s="210"/>
      <c r="N183" s="670"/>
      <c r="O183" s="1012"/>
      <c r="P183" s="771"/>
      <c r="Q183" s="471"/>
      <c r="R183" s="533"/>
      <c r="S183" s="893"/>
      <c r="T183" s="893"/>
    </row>
    <row r="184" spans="1:20" s="148" customFormat="1" ht="16.5" thickBot="1" x14ac:dyDescent="0.3">
      <c r="A184" s="97"/>
      <c r="B184" s="74"/>
      <c r="C184" s="142"/>
      <c r="D184" s="142"/>
      <c r="E184" s="130"/>
      <c r="F184" s="850"/>
      <c r="G184" s="97"/>
      <c r="H184" s="870"/>
      <c r="I184" s="102">
        <f t="shared" si="53"/>
        <v>0</v>
      </c>
      <c r="J184" s="170"/>
      <c r="K184" s="105"/>
      <c r="L184" s="526"/>
      <c r="M184" s="70"/>
      <c r="N184" s="670"/>
      <c r="O184" s="1012"/>
      <c r="P184" s="371"/>
      <c r="Q184" s="472"/>
      <c r="R184" s="534"/>
      <c r="S184" s="893">
        <f t="shared" ref="S184:S189" si="56">Q184+M184+K184</f>
        <v>0</v>
      </c>
      <c r="T184" s="893" t="e">
        <f t="shared" ref="T184:T192" si="57">S184/H184+0.1</f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53"/>
        <v>0</v>
      </c>
      <c r="J185" s="170"/>
      <c r="K185" s="105"/>
      <c r="L185" s="526"/>
      <c r="M185" s="70"/>
      <c r="N185" s="670"/>
      <c r="O185" s="1012"/>
      <c r="P185" s="371"/>
      <c r="Q185" s="473"/>
      <c r="R185" s="535"/>
      <c r="S185" s="893">
        <f t="shared" si="56"/>
        <v>0</v>
      </c>
      <c r="T185" s="893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50"/>
      <c r="G186" s="97"/>
      <c r="H186" s="870"/>
      <c r="I186" s="102">
        <f t="shared" si="53"/>
        <v>0</v>
      </c>
      <c r="J186" s="170"/>
      <c r="K186" s="105"/>
      <c r="L186" s="526"/>
      <c r="M186" s="70"/>
      <c r="N186" s="670"/>
      <c r="O186" s="1012"/>
      <c r="P186" s="371"/>
      <c r="Q186" s="473"/>
      <c r="R186" s="535"/>
      <c r="S186" s="893">
        <f t="shared" si="56"/>
        <v>0</v>
      </c>
      <c r="T186" s="893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50"/>
      <c r="G187" s="97"/>
      <c r="H187" s="870"/>
      <c r="I187" s="102">
        <f t="shared" si="53"/>
        <v>0</v>
      </c>
      <c r="J187" s="170"/>
      <c r="K187" s="105"/>
      <c r="L187" s="526"/>
      <c r="M187" s="70"/>
      <c r="N187" s="670"/>
      <c r="O187" s="1012"/>
      <c r="P187" s="371"/>
      <c r="Q187" s="473"/>
      <c r="R187" s="536"/>
      <c r="S187" s="893">
        <f t="shared" si="56"/>
        <v>0</v>
      </c>
      <c r="T187" s="893" t="e">
        <f t="shared" si="57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50"/>
      <c r="G188" s="97"/>
      <c r="H188" s="870"/>
      <c r="I188" s="102">
        <f t="shared" si="53"/>
        <v>0</v>
      </c>
      <c r="J188" s="170"/>
      <c r="K188" s="105"/>
      <c r="L188" s="526"/>
      <c r="M188" s="70"/>
      <c r="N188" s="670"/>
      <c r="O188" s="1012"/>
      <c r="P188" s="371"/>
      <c r="Q188" s="473"/>
      <c r="R188" s="536"/>
      <c r="S188" s="893">
        <f t="shared" si="56"/>
        <v>0</v>
      </c>
      <c r="T188" s="893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E189" s="130"/>
      <c r="F189" s="850"/>
      <c r="G189" s="97"/>
      <c r="H189" s="870"/>
      <c r="I189" s="102">
        <f t="shared" si="53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si="56"/>
        <v>0</v>
      </c>
      <c r="T189" s="893" t="e">
        <f t="shared" si="57"/>
        <v>#DIV/0!</v>
      </c>
    </row>
    <row r="190" spans="1:20" s="148" customFormat="1" ht="16.5" hidden="1" thickBot="1" x14ac:dyDescent="0.3">
      <c r="A190" s="97"/>
      <c r="B190" s="74"/>
      <c r="C190" s="142"/>
      <c r="D190" s="98"/>
      <c r="E190" s="130"/>
      <c r="F190" s="850"/>
      <c r="G190" s="97"/>
      <c r="H190" s="870"/>
      <c r="I190" s="102">
        <f t="shared" si="53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ref="S190:S195" si="58">Q190+M190+K190</f>
        <v>0</v>
      </c>
      <c r="T190" s="893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50"/>
      <c r="G191" s="97"/>
      <c r="H191" s="870"/>
      <c r="I191" s="102">
        <f t="shared" si="53"/>
        <v>0</v>
      </c>
      <c r="J191" s="170"/>
      <c r="K191" s="105"/>
      <c r="L191" s="526"/>
      <c r="M191" s="70"/>
      <c r="N191" s="670"/>
      <c r="O191" s="1012"/>
      <c r="P191" s="371"/>
      <c r="Q191" s="361"/>
      <c r="R191" s="537"/>
      <c r="S191" s="893">
        <f t="shared" si="58"/>
        <v>0</v>
      </c>
      <c r="T191" s="893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50"/>
      <c r="G192" s="97"/>
      <c r="H192" s="870"/>
      <c r="I192" s="102">
        <f t="shared" si="53"/>
        <v>0</v>
      </c>
      <c r="J192" s="170"/>
      <c r="K192" s="105"/>
      <c r="L192" s="526"/>
      <c r="M192" s="70"/>
      <c r="N192" s="670"/>
      <c r="O192" s="1012"/>
      <c r="P192" s="371"/>
      <c r="Q192" s="361"/>
      <c r="R192" s="537"/>
      <c r="S192" s="893">
        <f t="shared" si="58"/>
        <v>0</v>
      </c>
      <c r="T192" s="893" t="e">
        <f t="shared" si="57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50"/>
      <c r="G193" s="97"/>
      <c r="H193" s="870"/>
      <c r="I193" s="102">
        <f t="shared" si="53"/>
        <v>0</v>
      </c>
      <c r="J193" s="170"/>
      <c r="K193" s="105"/>
      <c r="L193" s="526"/>
      <c r="M193" s="70"/>
      <c r="N193" s="670"/>
      <c r="O193" s="1012"/>
      <c r="P193" s="371"/>
      <c r="Q193" s="361"/>
      <c r="R193" s="537"/>
      <c r="S193" s="893">
        <f t="shared" si="58"/>
        <v>0</v>
      </c>
      <c r="T193" s="893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50"/>
      <c r="G194" s="97"/>
      <c r="H194" s="870"/>
      <c r="I194" s="102">
        <f t="shared" si="53"/>
        <v>0</v>
      </c>
      <c r="J194" s="170"/>
      <c r="K194" s="105"/>
      <c r="L194" s="526"/>
      <c r="M194" s="70"/>
      <c r="N194" s="670"/>
      <c r="O194" s="1012"/>
      <c r="P194" s="371"/>
      <c r="Q194" s="474"/>
      <c r="R194" s="534"/>
      <c r="S194" s="893">
        <f t="shared" si="58"/>
        <v>0</v>
      </c>
      <c r="T194" s="893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50"/>
      <c r="G195" s="97"/>
      <c r="H195" s="870"/>
      <c r="I195" s="102">
        <f t="shared" si="53"/>
        <v>0</v>
      </c>
      <c r="J195" s="170"/>
      <c r="K195" s="105"/>
      <c r="L195" s="526"/>
      <c r="M195" s="70"/>
      <c r="N195" s="670"/>
      <c r="O195" s="1012"/>
      <c r="P195" s="371"/>
      <c r="Q195" s="474"/>
      <c r="R195" s="538"/>
      <c r="S195" s="893">
        <f t="shared" si="58"/>
        <v>0</v>
      </c>
      <c r="T195" s="893" t="e">
        <f>S195/H195</f>
        <v>#DIV/0!</v>
      </c>
    </row>
    <row r="196" spans="1:20" s="148" customFormat="1" ht="16.5" hidden="1" thickBot="1" x14ac:dyDescent="0.3">
      <c r="A196" s="97"/>
      <c r="B196" s="74"/>
      <c r="C196" s="94"/>
      <c r="D196" s="149"/>
      <c r="E196" s="410"/>
      <c r="F196" s="850"/>
      <c r="G196" s="97"/>
      <c r="H196" s="870"/>
      <c r="I196" s="102">
        <f t="shared" si="53"/>
        <v>0</v>
      </c>
      <c r="J196" s="125"/>
      <c r="K196" s="157"/>
      <c r="L196" s="527"/>
      <c r="M196" s="70"/>
      <c r="N196" s="671"/>
      <c r="O196" s="1012"/>
      <c r="P196" s="371"/>
      <c r="Q196" s="361"/>
      <c r="R196" s="539"/>
      <c r="S196" s="893">
        <f>Q196+M196+K196</f>
        <v>0</v>
      </c>
      <c r="T196" s="893" t="e">
        <f>S196/H196+0.1</f>
        <v>#DIV/0!</v>
      </c>
    </row>
    <row r="197" spans="1:20" s="148" customFormat="1" ht="29.25" customHeight="1" thickTop="1" thickBot="1" x14ac:dyDescent="0.3">
      <c r="A197" s="97"/>
      <c r="B197" s="74"/>
      <c r="C197" s="94"/>
      <c r="D197" s="158"/>
      <c r="E197" s="130"/>
      <c r="F197" s="867" t="s">
        <v>31</v>
      </c>
      <c r="G197" s="71">
        <f>SUM(G5:G196)</f>
        <v>4312</v>
      </c>
      <c r="H197" s="876">
        <f>SUM(H3:H196)</f>
        <v>710920.23000000021</v>
      </c>
      <c r="I197" s="424">
        <f>PIERNA!I37</f>
        <v>0</v>
      </c>
      <c r="J197" s="46"/>
      <c r="K197" s="159">
        <f>SUM(K5:K196)</f>
        <v>332761</v>
      </c>
      <c r="L197" s="528"/>
      <c r="M197" s="159">
        <f>SUM(M5:M196)</f>
        <v>935540</v>
      </c>
      <c r="N197" s="672"/>
      <c r="O197" s="1020"/>
      <c r="P197" s="772"/>
      <c r="Q197" s="475">
        <f>SUM(Q5:Q196)</f>
        <v>26142119.268681195</v>
      </c>
      <c r="R197" s="540"/>
      <c r="S197" s="895">
        <f>Q197+M197+K197</f>
        <v>27410420.268681195</v>
      </c>
      <c r="T197" s="893"/>
    </row>
    <row r="198" spans="1:20" s="148" customFormat="1" ht="16.5" thickTop="1" x14ac:dyDescent="0.25">
      <c r="B198" s="74"/>
      <c r="C198" s="74"/>
      <c r="D198" s="97"/>
      <c r="E198" s="130"/>
      <c r="F198" s="857"/>
      <c r="G198" s="97"/>
      <c r="H198" s="857"/>
      <c r="I198" s="74"/>
      <c r="J198" s="125"/>
      <c r="L198" s="529"/>
      <c r="N198" s="673"/>
      <c r="O198" s="1010"/>
      <c r="P198" s="371"/>
      <c r="Q198" s="361"/>
      <c r="R198" s="435" t="s">
        <v>42</v>
      </c>
      <c r="S198" s="401"/>
      <c r="T198" s="401"/>
    </row>
  </sheetData>
  <sortState ref="A101:AC105">
    <sortCondition ref="E99:E100"/>
  </sortState>
  <mergeCells count="50">
    <mergeCell ref="B126:B130"/>
    <mergeCell ref="E126:E130"/>
    <mergeCell ref="R101:R102"/>
    <mergeCell ref="R105:R107"/>
    <mergeCell ref="B105:B107"/>
    <mergeCell ref="E105:E107"/>
    <mergeCell ref="O105:O107"/>
    <mergeCell ref="Q1:Q2"/>
    <mergeCell ref="K1:K2"/>
    <mergeCell ref="M1:M2"/>
    <mergeCell ref="B101:B102"/>
    <mergeCell ref="E101:E102"/>
    <mergeCell ref="O101:O102"/>
    <mergeCell ref="O126:O13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B116:B119"/>
    <mergeCell ref="E116:E119"/>
    <mergeCell ref="O116:O119"/>
    <mergeCell ref="B124:B125"/>
    <mergeCell ref="E124:E125"/>
    <mergeCell ref="O124:O125"/>
    <mergeCell ref="L116:L118"/>
    <mergeCell ref="B149:B153"/>
    <mergeCell ref="E149:E153"/>
    <mergeCell ref="O149:O153"/>
    <mergeCell ref="R149:R153"/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658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658"/>
      <c r="B6" s="1659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658"/>
      <c r="B7" s="1659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38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76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38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38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647" t="s">
        <v>11</v>
      </c>
      <c r="D84" s="1648"/>
      <c r="E84" s="56">
        <f>E6+E7-F79+E8</f>
        <v>1620.97</v>
      </c>
      <c r="F84" s="123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J1" zoomScaleNormal="100" workbookViewId="0">
      <pane ySplit="9" topLeftCell="A10" activePane="bottomLeft" state="frozen"/>
      <selection pane="bottomLeft" activeCell="O7" sqref="O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655" t="s">
        <v>309</v>
      </c>
      <c r="B1" s="1655"/>
      <c r="C1" s="1655"/>
      <c r="D1" s="1655"/>
      <c r="E1" s="1655"/>
      <c r="F1" s="1655"/>
      <c r="G1" s="1655"/>
      <c r="H1" s="11">
        <v>1</v>
      </c>
      <c r="L1" s="1645" t="s">
        <v>322</v>
      </c>
      <c r="M1" s="1645"/>
      <c r="N1" s="1645"/>
      <c r="O1" s="1645"/>
      <c r="P1" s="1645"/>
      <c r="Q1" s="1645"/>
      <c r="R1" s="1645"/>
      <c r="S1" s="11">
        <v>2</v>
      </c>
      <c r="W1" s="1645" t="s">
        <v>322</v>
      </c>
      <c r="X1" s="1645"/>
      <c r="Y1" s="1645"/>
      <c r="Z1" s="1645"/>
      <c r="AA1" s="1645"/>
      <c r="AB1" s="1645"/>
      <c r="AC1" s="164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7"/>
      <c r="B4" s="1660" t="s">
        <v>67</v>
      </c>
      <c r="C4" s="230"/>
      <c r="D4" s="130"/>
      <c r="E4" s="432">
        <v>-30.59</v>
      </c>
      <c r="F4" s="1113">
        <v>0</v>
      </c>
      <c r="G4" s="151"/>
      <c r="H4" s="151"/>
      <c r="L4" s="407"/>
      <c r="M4" s="1660" t="s">
        <v>67</v>
      </c>
      <c r="N4" s="230"/>
      <c r="O4" s="130"/>
      <c r="P4" s="432"/>
      <c r="Q4" s="1319"/>
      <c r="R4" s="151"/>
      <c r="S4" s="151"/>
      <c r="W4" s="407"/>
      <c r="X4" s="1660" t="s">
        <v>67</v>
      </c>
      <c r="Y4" s="230"/>
      <c r="Z4" s="130"/>
      <c r="AA4" s="432"/>
      <c r="AB4" s="1319"/>
      <c r="AC4" s="151"/>
      <c r="AD4" s="151"/>
    </row>
    <row r="5" spans="1:32" ht="21" customHeight="1" x14ac:dyDescent="0.25">
      <c r="A5" s="1663" t="s">
        <v>80</v>
      </c>
      <c r="B5" s="1661"/>
      <c r="C5" s="230">
        <v>119</v>
      </c>
      <c r="D5" s="130">
        <v>45120</v>
      </c>
      <c r="E5" s="432">
        <v>5003.5600000000004</v>
      </c>
      <c r="F5" s="1113">
        <v>176</v>
      </c>
      <c r="G5" s="5"/>
      <c r="L5" s="1663" t="s">
        <v>80</v>
      </c>
      <c r="M5" s="1661"/>
      <c r="N5" s="230">
        <v>119</v>
      </c>
      <c r="O5" s="130">
        <v>45139</v>
      </c>
      <c r="P5" s="432">
        <v>3019.45</v>
      </c>
      <c r="Q5" s="1319">
        <v>107</v>
      </c>
      <c r="R5" s="5"/>
      <c r="W5" s="1662" t="s">
        <v>482</v>
      </c>
      <c r="X5" s="1661"/>
      <c r="Y5" s="230"/>
      <c r="Z5" s="130">
        <v>45161</v>
      </c>
      <c r="AA5" s="432">
        <v>18669.650000000001</v>
      </c>
      <c r="AB5" s="1319">
        <v>642</v>
      </c>
      <c r="AC5" s="5"/>
    </row>
    <row r="6" spans="1:32" ht="21" customHeight="1" x14ac:dyDescent="0.25">
      <c r="A6" s="1663"/>
      <c r="B6" s="1661"/>
      <c r="C6" s="369">
        <v>119</v>
      </c>
      <c r="D6" s="130">
        <v>45129</v>
      </c>
      <c r="E6" s="433">
        <v>5014.46</v>
      </c>
      <c r="F6" s="1113">
        <v>179</v>
      </c>
      <c r="G6" s="47">
        <f>F79</f>
        <v>7954.9299999999976</v>
      </c>
      <c r="H6" s="7">
        <f>E6-G6+E7+E5-G5+E4</f>
        <v>2032.500000000003</v>
      </c>
      <c r="L6" s="1663"/>
      <c r="M6" s="1661"/>
      <c r="N6" s="369">
        <v>119</v>
      </c>
      <c r="O6" s="130">
        <v>45147</v>
      </c>
      <c r="P6" s="433">
        <v>5007.38</v>
      </c>
      <c r="Q6" s="1319">
        <v>177</v>
      </c>
      <c r="R6" s="47">
        <f>Q79</f>
        <v>0</v>
      </c>
      <c r="S6" s="7">
        <f>P6-R6+P7+P5-R5+P4</f>
        <v>10153.450000000001</v>
      </c>
      <c r="W6" s="1662"/>
      <c r="X6" s="1661"/>
      <c r="Y6" s="369"/>
      <c r="Z6" s="130"/>
      <c r="AA6" s="433"/>
      <c r="AB6" s="1319"/>
      <c r="AC6" s="47">
        <f>AB79</f>
        <v>0</v>
      </c>
      <c r="AD6" s="7">
        <f>AA6-AC6+AA7+AA5-AC5+AA4</f>
        <v>18669.650000000001</v>
      </c>
    </row>
    <row r="7" spans="1:32" ht="15.75" x14ac:dyDescent="0.25">
      <c r="A7" s="674"/>
      <c r="B7" s="1661"/>
      <c r="C7" s="220"/>
      <c r="D7" s="218"/>
      <c r="E7" s="432"/>
      <c r="F7" s="1113"/>
      <c r="L7" s="674"/>
      <c r="M7" s="1661"/>
      <c r="N7" s="220">
        <v>119</v>
      </c>
      <c r="O7" s="218">
        <v>45157</v>
      </c>
      <c r="P7" s="432">
        <v>2126.62</v>
      </c>
      <c r="Q7" s="1319">
        <v>70</v>
      </c>
      <c r="W7" s="674"/>
      <c r="X7" s="1661"/>
      <c r="Y7" s="220"/>
      <c r="Z7" s="218"/>
      <c r="AA7" s="432"/>
      <c r="AB7" s="1319"/>
    </row>
    <row r="8" spans="1:32" ht="15.75" thickBot="1" x14ac:dyDescent="0.3">
      <c r="A8" s="407"/>
      <c r="B8" s="144"/>
      <c r="C8" s="220"/>
      <c r="D8" s="218"/>
      <c r="E8" s="432"/>
      <c r="F8" s="1113"/>
      <c r="L8" s="407"/>
      <c r="M8" s="144"/>
      <c r="N8" s="220"/>
      <c r="O8" s="218"/>
      <c r="P8" s="432"/>
      <c r="Q8" s="1319"/>
      <c r="W8" s="407"/>
      <c r="X8" s="144"/>
      <c r="Y8" s="220"/>
      <c r="Z8" s="218"/>
      <c r="AA8" s="432"/>
      <c r="AB8" s="1319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8" t="s">
        <v>3</v>
      </c>
    </row>
    <row r="10" spans="1:32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  <c r="W10" s="79" t="s">
        <v>32</v>
      </c>
      <c r="X10" s="659">
        <f>AB6-Y10+AB5+AB4+AB7+AB8</f>
        <v>642</v>
      </c>
      <c r="Y10" s="613"/>
      <c r="Z10" s="555"/>
      <c r="AA10" s="582"/>
      <c r="AB10" s="555">
        <f t="shared" ref="AB10:AB57" si="2">Z10</f>
        <v>0</v>
      </c>
      <c r="AC10" s="553"/>
      <c r="AD10" s="554"/>
      <c r="AE10" s="586">
        <f>AA6-AB10+AA5+AA4+AA7+AA8</f>
        <v>18669.650000000001</v>
      </c>
      <c r="AF10" s="641">
        <f>AB10*AD10</f>
        <v>0</v>
      </c>
    </row>
    <row r="11" spans="1:32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3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4">Q11*S11</f>
        <v>0</v>
      </c>
      <c r="W11" s="185"/>
      <c r="X11" s="659">
        <f>X10-Y11</f>
        <v>642</v>
      </c>
      <c r="Y11" s="613"/>
      <c r="Z11" s="555"/>
      <c r="AA11" s="582"/>
      <c r="AB11" s="555">
        <f t="shared" si="2"/>
        <v>0</v>
      </c>
      <c r="AC11" s="553"/>
      <c r="AD11" s="554"/>
      <c r="AE11" s="586">
        <f>AE10-AB11</f>
        <v>18669.650000000001</v>
      </c>
      <c r="AF11" s="641">
        <f t="shared" ref="AF11:AF74" si="5">AB11*AD11</f>
        <v>0</v>
      </c>
    </row>
    <row r="12" spans="1:32" x14ac:dyDescent="0.25">
      <c r="A12" s="174"/>
      <c r="B12" s="659">
        <f t="shared" ref="B12:B75" si="6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7">I11-F12</f>
        <v>9901.840000000002</v>
      </c>
      <c r="J12" s="641">
        <f t="shared" si="3"/>
        <v>3916.8</v>
      </c>
      <c r="L12" s="174"/>
      <c r="M12" s="659">
        <f t="shared" ref="M12:M75" si="8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9">T11-Q12</f>
        <v>10153.450000000001</v>
      </c>
      <c r="U12" s="641">
        <f t="shared" si="4"/>
        <v>0</v>
      </c>
      <c r="W12" s="174"/>
      <c r="X12" s="659">
        <f t="shared" ref="X12:X75" si="10">X11-Y12</f>
        <v>642</v>
      </c>
      <c r="Y12" s="613"/>
      <c r="Z12" s="555"/>
      <c r="AA12" s="582"/>
      <c r="AB12" s="555">
        <f t="shared" si="2"/>
        <v>0</v>
      </c>
      <c r="AC12" s="553"/>
      <c r="AD12" s="554"/>
      <c r="AE12" s="586">
        <f t="shared" ref="AE12:AE75" si="11">AE11-AB12</f>
        <v>18669.650000000001</v>
      </c>
      <c r="AF12" s="641">
        <f t="shared" si="5"/>
        <v>0</v>
      </c>
    </row>
    <row r="13" spans="1:32" x14ac:dyDescent="0.25">
      <c r="A13" s="174"/>
      <c r="B13" s="659">
        <f t="shared" si="6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7"/>
        <v>9334.9900000000016</v>
      </c>
      <c r="J13" s="641">
        <f t="shared" si="3"/>
        <v>77091.600000000006</v>
      </c>
      <c r="L13" s="174"/>
      <c r="M13" s="659">
        <f t="shared" si="8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9"/>
        <v>10153.450000000001</v>
      </c>
      <c r="U13" s="641">
        <f t="shared" si="4"/>
        <v>0</v>
      </c>
      <c r="W13" s="174"/>
      <c r="X13" s="659">
        <f t="shared" si="10"/>
        <v>642</v>
      </c>
      <c r="Y13" s="613"/>
      <c r="Z13" s="555"/>
      <c r="AA13" s="582"/>
      <c r="AB13" s="555">
        <f t="shared" si="2"/>
        <v>0</v>
      </c>
      <c r="AC13" s="553"/>
      <c r="AD13" s="554"/>
      <c r="AE13" s="586">
        <f t="shared" si="11"/>
        <v>18669.650000000001</v>
      </c>
      <c r="AF13" s="641">
        <f t="shared" si="5"/>
        <v>0</v>
      </c>
    </row>
    <row r="14" spans="1:32" x14ac:dyDescent="0.25">
      <c r="A14" s="81" t="s">
        <v>33</v>
      </c>
      <c r="B14" s="659">
        <f t="shared" si="6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7"/>
        <v>8940.9200000000019</v>
      </c>
      <c r="J14" s="641">
        <f t="shared" si="3"/>
        <v>53593.52</v>
      </c>
      <c r="L14" s="81" t="s">
        <v>33</v>
      </c>
      <c r="M14" s="659">
        <f t="shared" si="8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9"/>
        <v>10153.450000000001</v>
      </c>
      <c r="U14" s="641">
        <f t="shared" si="4"/>
        <v>0</v>
      </c>
      <c r="W14" s="81" t="s">
        <v>33</v>
      </c>
      <c r="X14" s="659">
        <f t="shared" si="10"/>
        <v>642</v>
      </c>
      <c r="Y14" s="613"/>
      <c r="Z14" s="555"/>
      <c r="AA14" s="582"/>
      <c r="AB14" s="555">
        <f t="shared" si="2"/>
        <v>0</v>
      </c>
      <c r="AC14" s="553"/>
      <c r="AD14" s="554"/>
      <c r="AE14" s="586">
        <f t="shared" si="11"/>
        <v>18669.650000000001</v>
      </c>
      <c r="AF14" s="641">
        <f t="shared" si="5"/>
        <v>0</v>
      </c>
    </row>
    <row r="15" spans="1:32" x14ac:dyDescent="0.25">
      <c r="A15" s="566"/>
      <c r="B15" s="659">
        <f t="shared" si="6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7"/>
        <v>8793.6900000000023</v>
      </c>
      <c r="J15" s="641">
        <f t="shared" si="3"/>
        <v>20023.28</v>
      </c>
      <c r="L15" s="566"/>
      <c r="M15" s="659">
        <f t="shared" si="8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9"/>
        <v>10153.450000000001</v>
      </c>
      <c r="U15" s="641">
        <f t="shared" si="4"/>
        <v>0</v>
      </c>
      <c r="W15" s="566"/>
      <c r="X15" s="659">
        <f t="shared" si="10"/>
        <v>642</v>
      </c>
      <c r="Y15" s="613"/>
      <c r="Z15" s="555"/>
      <c r="AA15" s="582"/>
      <c r="AB15" s="555">
        <f t="shared" si="2"/>
        <v>0</v>
      </c>
      <c r="AC15" s="553"/>
      <c r="AD15" s="554"/>
      <c r="AE15" s="586">
        <f t="shared" si="11"/>
        <v>18669.650000000001</v>
      </c>
      <c r="AF15" s="641">
        <f t="shared" si="5"/>
        <v>0</v>
      </c>
    </row>
    <row r="16" spans="1:32" x14ac:dyDescent="0.25">
      <c r="A16" s="566"/>
      <c r="B16" s="659">
        <f t="shared" si="6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7"/>
        <v>8766.2500000000018</v>
      </c>
      <c r="J16" s="641">
        <f t="shared" si="3"/>
        <v>3731.84</v>
      </c>
      <c r="L16" s="566"/>
      <c r="M16" s="659">
        <f t="shared" si="8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9"/>
        <v>10153.450000000001</v>
      </c>
      <c r="U16" s="641">
        <f t="shared" si="4"/>
        <v>0</v>
      </c>
      <c r="W16" s="566"/>
      <c r="X16" s="659">
        <f t="shared" si="10"/>
        <v>642</v>
      </c>
      <c r="Y16" s="613"/>
      <c r="Z16" s="555"/>
      <c r="AA16" s="582"/>
      <c r="AB16" s="555">
        <f t="shared" si="2"/>
        <v>0</v>
      </c>
      <c r="AC16" s="553"/>
      <c r="AD16" s="554"/>
      <c r="AE16" s="586">
        <f t="shared" si="11"/>
        <v>18669.650000000001</v>
      </c>
      <c r="AF16" s="641">
        <f t="shared" si="5"/>
        <v>0</v>
      </c>
    </row>
    <row r="17" spans="1:32" x14ac:dyDescent="0.25">
      <c r="A17" s="584"/>
      <c r="B17" s="659">
        <f t="shared" si="6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7"/>
        <v>8200.5800000000017</v>
      </c>
      <c r="J17" s="641">
        <f t="shared" si="3"/>
        <v>76931.12</v>
      </c>
      <c r="L17" s="584"/>
      <c r="M17" s="659">
        <f t="shared" si="8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9"/>
        <v>10153.450000000001</v>
      </c>
      <c r="U17" s="641">
        <f t="shared" si="4"/>
        <v>0</v>
      </c>
      <c r="W17" s="584"/>
      <c r="X17" s="659">
        <f t="shared" si="10"/>
        <v>642</v>
      </c>
      <c r="Y17" s="613"/>
      <c r="Z17" s="555"/>
      <c r="AA17" s="582"/>
      <c r="AB17" s="555">
        <f t="shared" si="2"/>
        <v>0</v>
      </c>
      <c r="AC17" s="553"/>
      <c r="AD17" s="554"/>
      <c r="AE17" s="586">
        <f t="shared" si="11"/>
        <v>18669.650000000001</v>
      </c>
      <c r="AF17" s="641">
        <f t="shared" si="5"/>
        <v>0</v>
      </c>
    </row>
    <row r="18" spans="1:32" x14ac:dyDescent="0.25">
      <c r="A18" s="584"/>
      <c r="B18" s="659">
        <f t="shared" si="6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7"/>
        <v>8173.8600000000015</v>
      </c>
      <c r="J18" s="641">
        <f t="shared" si="3"/>
        <v>3633.92</v>
      </c>
      <c r="L18" s="584"/>
      <c r="M18" s="659">
        <f t="shared" si="8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9"/>
        <v>10153.450000000001</v>
      </c>
      <c r="U18" s="641">
        <f t="shared" si="4"/>
        <v>0</v>
      </c>
      <c r="W18" s="584"/>
      <c r="X18" s="659">
        <f t="shared" si="10"/>
        <v>642</v>
      </c>
      <c r="Y18" s="613"/>
      <c r="Z18" s="555"/>
      <c r="AA18" s="582"/>
      <c r="AB18" s="555">
        <f t="shared" si="2"/>
        <v>0</v>
      </c>
      <c r="AC18" s="553"/>
      <c r="AD18" s="554"/>
      <c r="AE18" s="586">
        <f t="shared" si="11"/>
        <v>18669.650000000001</v>
      </c>
      <c r="AF18" s="641">
        <f t="shared" si="5"/>
        <v>0</v>
      </c>
    </row>
    <row r="19" spans="1:32" x14ac:dyDescent="0.25">
      <c r="A19" s="1066"/>
      <c r="B19" s="659">
        <f t="shared" si="6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7"/>
        <v>8151.6300000000019</v>
      </c>
      <c r="J19" s="641">
        <f t="shared" si="3"/>
        <v>3023.28</v>
      </c>
      <c r="L19" s="1066"/>
      <c r="M19" s="659">
        <f t="shared" si="8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9"/>
        <v>10153.450000000001</v>
      </c>
      <c r="U19" s="641">
        <f t="shared" si="4"/>
        <v>0</v>
      </c>
      <c r="W19" s="1066"/>
      <c r="X19" s="659">
        <f t="shared" si="10"/>
        <v>642</v>
      </c>
      <c r="Y19" s="613"/>
      <c r="Z19" s="555"/>
      <c r="AA19" s="582"/>
      <c r="AB19" s="555">
        <f t="shared" si="2"/>
        <v>0</v>
      </c>
      <c r="AC19" s="553"/>
      <c r="AD19" s="554"/>
      <c r="AE19" s="586">
        <f t="shared" si="11"/>
        <v>18669.650000000001</v>
      </c>
      <c r="AF19" s="641">
        <f t="shared" si="5"/>
        <v>0</v>
      </c>
    </row>
    <row r="20" spans="1:32" x14ac:dyDescent="0.25">
      <c r="A20" s="1066"/>
      <c r="B20" s="659">
        <f t="shared" si="6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7"/>
        <v>7193.2700000000023</v>
      </c>
      <c r="J20" s="641">
        <f t="shared" si="3"/>
        <v>130336.96000000001</v>
      </c>
      <c r="L20" s="1066"/>
      <c r="M20" s="659">
        <f t="shared" si="8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9"/>
        <v>10153.450000000001</v>
      </c>
      <c r="U20" s="641">
        <f t="shared" si="4"/>
        <v>0</v>
      </c>
      <c r="W20" s="1066"/>
      <c r="X20" s="659">
        <f t="shared" si="10"/>
        <v>642</v>
      </c>
      <c r="Y20" s="613"/>
      <c r="Z20" s="555"/>
      <c r="AA20" s="582"/>
      <c r="AB20" s="555">
        <f t="shared" si="2"/>
        <v>0</v>
      </c>
      <c r="AC20" s="553"/>
      <c r="AD20" s="554"/>
      <c r="AE20" s="586">
        <f t="shared" si="11"/>
        <v>18669.650000000001</v>
      </c>
      <c r="AF20" s="641">
        <f t="shared" si="5"/>
        <v>0</v>
      </c>
    </row>
    <row r="21" spans="1:32" x14ac:dyDescent="0.25">
      <c r="A21" s="1066"/>
      <c r="B21" s="659">
        <f t="shared" si="6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7"/>
        <v>6154.2000000000025</v>
      </c>
      <c r="J21" s="641">
        <f t="shared" si="3"/>
        <v>141313.51999999999</v>
      </c>
      <c r="L21" s="1066"/>
      <c r="M21" s="659">
        <f t="shared" si="8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9"/>
        <v>10153.450000000001</v>
      </c>
      <c r="U21" s="641">
        <f t="shared" si="4"/>
        <v>0</v>
      </c>
      <c r="W21" s="1066"/>
      <c r="X21" s="659">
        <f t="shared" si="10"/>
        <v>642</v>
      </c>
      <c r="Y21" s="613"/>
      <c r="Z21" s="555"/>
      <c r="AA21" s="582"/>
      <c r="AB21" s="555">
        <f t="shared" si="2"/>
        <v>0</v>
      </c>
      <c r="AC21" s="553"/>
      <c r="AD21" s="554"/>
      <c r="AE21" s="586">
        <f t="shared" si="11"/>
        <v>18669.650000000001</v>
      </c>
      <c r="AF21" s="641">
        <f t="shared" si="5"/>
        <v>0</v>
      </c>
    </row>
    <row r="22" spans="1:32" x14ac:dyDescent="0.25">
      <c r="A22" s="1066"/>
      <c r="B22" s="659">
        <f t="shared" si="6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7"/>
        <v>5923.4100000000026</v>
      </c>
      <c r="J22" s="641">
        <f t="shared" si="3"/>
        <v>31387.439999999999</v>
      </c>
      <c r="L22" s="1066"/>
      <c r="M22" s="659">
        <f t="shared" si="8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9"/>
        <v>10153.450000000001</v>
      </c>
      <c r="U22" s="641">
        <f t="shared" si="4"/>
        <v>0</v>
      </c>
      <c r="W22" s="1066"/>
      <c r="X22" s="659">
        <f t="shared" si="10"/>
        <v>642</v>
      </c>
      <c r="Y22" s="613"/>
      <c r="Z22" s="555"/>
      <c r="AA22" s="582"/>
      <c r="AB22" s="555">
        <f t="shared" si="2"/>
        <v>0</v>
      </c>
      <c r="AC22" s="553"/>
      <c r="AD22" s="554"/>
      <c r="AE22" s="586">
        <f t="shared" si="11"/>
        <v>18669.650000000001</v>
      </c>
      <c r="AF22" s="641">
        <f t="shared" si="5"/>
        <v>0</v>
      </c>
    </row>
    <row r="23" spans="1:32" x14ac:dyDescent="0.25">
      <c r="A23" s="1066"/>
      <c r="B23" s="659">
        <f t="shared" si="6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7"/>
        <v>5637.8700000000026</v>
      </c>
      <c r="J23" s="641">
        <f t="shared" si="3"/>
        <v>37405.740000000005</v>
      </c>
      <c r="L23" s="1066"/>
      <c r="M23" s="659">
        <f t="shared" si="8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9"/>
        <v>10153.450000000001</v>
      </c>
      <c r="U23" s="641">
        <f t="shared" si="4"/>
        <v>0</v>
      </c>
      <c r="W23" s="1066"/>
      <c r="X23" s="659">
        <f t="shared" si="10"/>
        <v>642</v>
      </c>
      <c r="Y23" s="613"/>
      <c r="Z23" s="555"/>
      <c r="AA23" s="582"/>
      <c r="AB23" s="555">
        <f t="shared" si="2"/>
        <v>0</v>
      </c>
      <c r="AC23" s="553"/>
      <c r="AD23" s="554"/>
      <c r="AE23" s="586">
        <f t="shared" si="11"/>
        <v>18669.650000000001</v>
      </c>
      <c r="AF23" s="641">
        <f t="shared" si="5"/>
        <v>0</v>
      </c>
    </row>
    <row r="24" spans="1:32" x14ac:dyDescent="0.25">
      <c r="A24" s="1067"/>
      <c r="B24" s="659">
        <f t="shared" si="6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7"/>
        <v>5609.930000000003</v>
      </c>
      <c r="J24" s="641">
        <f t="shared" si="3"/>
        <v>3799.84</v>
      </c>
      <c r="L24" s="1067"/>
      <c r="M24" s="659">
        <f t="shared" si="8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9"/>
        <v>10153.450000000001</v>
      </c>
      <c r="U24" s="641">
        <f t="shared" si="4"/>
        <v>0</v>
      </c>
      <c r="W24" s="1067"/>
      <c r="X24" s="659">
        <f t="shared" si="10"/>
        <v>642</v>
      </c>
      <c r="Y24" s="613"/>
      <c r="Z24" s="555"/>
      <c r="AA24" s="582"/>
      <c r="AB24" s="555">
        <f t="shared" si="2"/>
        <v>0</v>
      </c>
      <c r="AC24" s="553"/>
      <c r="AD24" s="554"/>
      <c r="AE24" s="586">
        <f t="shared" si="11"/>
        <v>18669.650000000001</v>
      </c>
      <c r="AF24" s="641">
        <f t="shared" si="5"/>
        <v>0</v>
      </c>
    </row>
    <row r="25" spans="1:32" x14ac:dyDescent="0.25">
      <c r="A25" s="1066"/>
      <c r="B25" s="659">
        <f t="shared" si="6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7"/>
        <v>4985.3100000000031</v>
      </c>
      <c r="J25" s="641">
        <f t="shared" si="3"/>
        <v>81825.22</v>
      </c>
      <c r="L25" s="1066"/>
      <c r="M25" s="659">
        <f t="shared" si="8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9"/>
        <v>10153.450000000001</v>
      </c>
      <c r="U25" s="641">
        <f t="shared" si="4"/>
        <v>0</v>
      </c>
      <c r="W25" s="1066"/>
      <c r="X25" s="659">
        <f t="shared" si="10"/>
        <v>642</v>
      </c>
      <c r="Y25" s="613"/>
      <c r="Z25" s="555"/>
      <c r="AA25" s="582"/>
      <c r="AB25" s="555">
        <f t="shared" si="2"/>
        <v>0</v>
      </c>
      <c r="AC25" s="553"/>
      <c r="AD25" s="554"/>
      <c r="AE25" s="586">
        <f t="shared" si="11"/>
        <v>18669.650000000001</v>
      </c>
      <c r="AF25" s="641">
        <f t="shared" si="5"/>
        <v>0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9"/>
        <v>10153.450000000001</v>
      </c>
      <c r="U26" s="17">
        <f t="shared" si="4"/>
        <v>0</v>
      </c>
      <c r="W26" s="118"/>
      <c r="X26" s="174">
        <f t="shared" si="10"/>
        <v>642</v>
      </c>
      <c r="Y26" s="15"/>
      <c r="Z26" s="68"/>
      <c r="AA26" s="191"/>
      <c r="AB26" s="68">
        <f t="shared" si="2"/>
        <v>0</v>
      </c>
      <c r="AC26" s="69"/>
      <c r="AD26" s="70"/>
      <c r="AE26" s="102">
        <f t="shared" si="11"/>
        <v>18669.650000000001</v>
      </c>
      <c r="AF26" s="17">
        <f t="shared" si="5"/>
        <v>0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9"/>
        <v>10153.450000000001</v>
      </c>
      <c r="U27" s="17">
        <f t="shared" si="4"/>
        <v>0</v>
      </c>
      <c r="W27" s="118"/>
      <c r="X27" s="174">
        <f t="shared" si="10"/>
        <v>642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18669.650000000001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9"/>
        <v>10153.450000000001</v>
      </c>
      <c r="U28" s="17">
        <f t="shared" si="4"/>
        <v>0</v>
      </c>
      <c r="W28" s="118"/>
      <c r="X28" s="174">
        <f t="shared" si="10"/>
        <v>642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18669.650000000001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9"/>
        <v>10153.450000000001</v>
      </c>
      <c r="U29" s="17">
        <f t="shared" si="4"/>
        <v>0</v>
      </c>
      <c r="W29" s="118"/>
      <c r="X29" s="174">
        <f t="shared" si="10"/>
        <v>642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18669.650000000001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9"/>
        <v>10153.450000000001</v>
      </c>
      <c r="U30" s="17">
        <f t="shared" si="4"/>
        <v>0</v>
      </c>
      <c r="W30" s="118"/>
      <c r="X30" s="174">
        <f t="shared" si="10"/>
        <v>642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18669.650000000001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6"/>
      <c r="M31" s="659">
        <f t="shared" si="8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9"/>
        <v>10153.450000000001</v>
      </c>
      <c r="U31" s="641">
        <f t="shared" si="4"/>
        <v>0</v>
      </c>
      <c r="W31" s="1066"/>
      <c r="X31" s="659">
        <f t="shared" si="10"/>
        <v>642</v>
      </c>
      <c r="Y31" s="613"/>
      <c r="Z31" s="555"/>
      <c r="AA31" s="582"/>
      <c r="AB31" s="555">
        <f t="shared" si="2"/>
        <v>0</v>
      </c>
      <c r="AC31" s="553"/>
      <c r="AD31" s="554"/>
      <c r="AE31" s="586">
        <f t="shared" si="11"/>
        <v>18669.650000000001</v>
      </c>
      <c r="AF31" s="641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6"/>
      <c r="M32" s="659">
        <f t="shared" si="8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9"/>
        <v>10153.450000000001</v>
      </c>
      <c r="U32" s="641">
        <f t="shared" si="4"/>
        <v>0</v>
      </c>
      <c r="W32" s="1066"/>
      <c r="X32" s="659">
        <f t="shared" si="10"/>
        <v>642</v>
      </c>
      <c r="Y32" s="613"/>
      <c r="Z32" s="555"/>
      <c r="AA32" s="582"/>
      <c r="AB32" s="555">
        <f t="shared" si="2"/>
        <v>0</v>
      </c>
      <c r="AC32" s="553"/>
      <c r="AD32" s="554"/>
      <c r="AE32" s="586">
        <f t="shared" si="11"/>
        <v>18669.650000000001</v>
      </c>
      <c r="AF32" s="641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6"/>
      <c r="M33" s="659">
        <f t="shared" si="8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9"/>
        <v>10153.450000000001</v>
      </c>
      <c r="U33" s="641">
        <f t="shared" si="4"/>
        <v>0</v>
      </c>
      <c r="W33" s="1066"/>
      <c r="X33" s="659">
        <f t="shared" si="10"/>
        <v>642</v>
      </c>
      <c r="Y33" s="613"/>
      <c r="Z33" s="555"/>
      <c r="AA33" s="582"/>
      <c r="AB33" s="555">
        <f t="shared" si="2"/>
        <v>0</v>
      </c>
      <c r="AC33" s="553"/>
      <c r="AD33" s="554"/>
      <c r="AE33" s="586">
        <f t="shared" si="11"/>
        <v>18669.650000000001</v>
      </c>
      <c r="AF33" s="641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6"/>
      <c r="M34" s="659">
        <f t="shared" si="8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9"/>
        <v>10153.450000000001</v>
      </c>
      <c r="U34" s="641">
        <f t="shared" si="4"/>
        <v>0</v>
      </c>
      <c r="W34" s="1066"/>
      <c r="X34" s="659">
        <f t="shared" si="10"/>
        <v>642</v>
      </c>
      <c r="Y34" s="613"/>
      <c r="Z34" s="555"/>
      <c r="AA34" s="582"/>
      <c r="AB34" s="555">
        <f t="shared" si="2"/>
        <v>0</v>
      </c>
      <c r="AC34" s="553"/>
      <c r="AD34" s="554"/>
      <c r="AE34" s="586">
        <f t="shared" si="11"/>
        <v>18669.650000000001</v>
      </c>
      <c r="AF34" s="641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6"/>
      <c r="M35" s="659">
        <f t="shared" si="8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9"/>
        <v>10153.450000000001</v>
      </c>
      <c r="U35" s="641">
        <f t="shared" si="4"/>
        <v>0</v>
      </c>
      <c r="W35" s="1066"/>
      <c r="X35" s="659">
        <f t="shared" si="10"/>
        <v>642</v>
      </c>
      <c r="Y35" s="613"/>
      <c r="Z35" s="555"/>
      <c r="AA35" s="582"/>
      <c r="AB35" s="555">
        <f t="shared" si="2"/>
        <v>0</v>
      </c>
      <c r="AC35" s="553"/>
      <c r="AD35" s="554"/>
      <c r="AE35" s="586">
        <f t="shared" si="11"/>
        <v>18669.650000000001</v>
      </c>
      <c r="AF35" s="641">
        <f t="shared" si="5"/>
        <v>0</v>
      </c>
    </row>
    <row r="36" spans="1:32" x14ac:dyDescent="0.25">
      <c r="A36" s="118"/>
      <c r="B36" s="617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7"/>
        <v>2032.5000000000034</v>
      </c>
      <c r="J36" s="17">
        <f t="shared" si="3"/>
        <v>0</v>
      </c>
      <c r="L36" s="1066"/>
      <c r="M36" s="659">
        <f t="shared" si="8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9"/>
        <v>10153.450000000001</v>
      </c>
      <c r="U36" s="641">
        <f t="shared" si="4"/>
        <v>0</v>
      </c>
      <c r="W36" s="1066"/>
      <c r="X36" s="659">
        <f t="shared" si="10"/>
        <v>642</v>
      </c>
      <c r="Y36" s="613"/>
      <c r="Z36" s="555"/>
      <c r="AA36" s="582"/>
      <c r="AB36" s="555">
        <f t="shared" si="2"/>
        <v>0</v>
      </c>
      <c r="AC36" s="553"/>
      <c r="AD36" s="554"/>
      <c r="AE36" s="586">
        <f t="shared" si="11"/>
        <v>18669.650000000001</v>
      </c>
      <c r="AF36" s="641">
        <f t="shared" si="5"/>
        <v>0</v>
      </c>
    </row>
    <row r="37" spans="1:32" x14ac:dyDescent="0.25">
      <c r="A37" s="118" t="s">
        <v>22</v>
      </c>
      <c r="B37" s="174">
        <f t="shared" si="6"/>
        <v>73</v>
      </c>
      <c r="C37" s="15"/>
      <c r="D37" s="791"/>
      <c r="E37" s="1311"/>
      <c r="F37" s="791">
        <f t="shared" si="0"/>
        <v>0</v>
      </c>
      <c r="G37" s="520"/>
      <c r="H37" s="356"/>
      <c r="I37" s="102">
        <f t="shared" si="7"/>
        <v>2032.5000000000034</v>
      </c>
      <c r="J37" s="17">
        <f t="shared" si="3"/>
        <v>0</v>
      </c>
      <c r="L37" s="1066" t="s">
        <v>22</v>
      </c>
      <c r="M37" s="659">
        <f t="shared" si="8"/>
        <v>354</v>
      </c>
      <c r="N37" s="613"/>
      <c r="O37" s="792"/>
      <c r="P37" s="1326"/>
      <c r="Q37" s="792">
        <f t="shared" si="1"/>
        <v>0</v>
      </c>
      <c r="R37" s="793"/>
      <c r="S37" s="794"/>
      <c r="T37" s="586">
        <f t="shared" si="9"/>
        <v>10153.450000000001</v>
      </c>
      <c r="U37" s="641">
        <f t="shared" si="4"/>
        <v>0</v>
      </c>
      <c r="W37" s="1066" t="s">
        <v>22</v>
      </c>
      <c r="X37" s="659">
        <f t="shared" si="10"/>
        <v>642</v>
      </c>
      <c r="Y37" s="613"/>
      <c r="Z37" s="792"/>
      <c r="AA37" s="1326"/>
      <c r="AB37" s="792">
        <f t="shared" si="2"/>
        <v>0</v>
      </c>
      <c r="AC37" s="793"/>
      <c r="AD37" s="794"/>
      <c r="AE37" s="586">
        <f t="shared" si="11"/>
        <v>18669.650000000001</v>
      </c>
      <c r="AF37" s="641">
        <f t="shared" si="5"/>
        <v>0</v>
      </c>
    </row>
    <row r="38" spans="1:32" x14ac:dyDescent="0.25">
      <c r="A38" s="119"/>
      <c r="B38" s="174">
        <f t="shared" si="6"/>
        <v>73</v>
      </c>
      <c r="C38" s="15"/>
      <c r="D38" s="791"/>
      <c r="E38" s="1311"/>
      <c r="F38" s="791">
        <f t="shared" si="0"/>
        <v>0</v>
      </c>
      <c r="G38" s="520"/>
      <c r="H38" s="356"/>
      <c r="I38" s="102">
        <f t="shared" si="7"/>
        <v>2032.5000000000034</v>
      </c>
      <c r="J38" s="17">
        <f t="shared" si="3"/>
        <v>0</v>
      </c>
      <c r="L38" s="1067"/>
      <c r="M38" s="659">
        <f t="shared" si="8"/>
        <v>354</v>
      </c>
      <c r="N38" s="613"/>
      <c r="O38" s="792"/>
      <c r="P38" s="1326"/>
      <c r="Q38" s="792">
        <f t="shared" si="1"/>
        <v>0</v>
      </c>
      <c r="R38" s="793"/>
      <c r="S38" s="794"/>
      <c r="T38" s="586">
        <f t="shared" si="9"/>
        <v>10153.450000000001</v>
      </c>
      <c r="U38" s="641">
        <f t="shared" si="4"/>
        <v>0</v>
      </c>
      <c r="W38" s="1067"/>
      <c r="X38" s="659">
        <f t="shared" si="10"/>
        <v>642</v>
      </c>
      <c r="Y38" s="613"/>
      <c r="Z38" s="792"/>
      <c r="AA38" s="1326"/>
      <c r="AB38" s="792">
        <f t="shared" si="2"/>
        <v>0</v>
      </c>
      <c r="AC38" s="793"/>
      <c r="AD38" s="794"/>
      <c r="AE38" s="586">
        <f t="shared" si="11"/>
        <v>18669.650000000001</v>
      </c>
      <c r="AF38" s="641">
        <f t="shared" si="5"/>
        <v>0</v>
      </c>
    </row>
    <row r="39" spans="1:32" x14ac:dyDescent="0.25">
      <c r="A39" s="118"/>
      <c r="B39" s="174">
        <f t="shared" si="6"/>
        <v>73</v>
      </c>
      <c r="C39" s="15"/>
      <c r="D39" s="791"/>
      <c r="E39" s="1311"/>
      <c r="F39" s="791">
        <f t="shared" si="0"/>
        <v>0</v>
      </c>
      <c r="G39" s="520"/>
      <c r="H39" s="356"/>
      <c r="I39" s="102">
        <f t="shared" si="7"/>
        <v>2032.5000000000034</v>
      </c>
      <c r="J39" s="17">
        <f t="shared" si="3"/>
        <v>0</v>
      </c>
      <c r="L39" s="1066"/>
      <c r="M39" s="659">
        <f t="shared" si="8"/>
        <v>354</v>
      </c>
      <c r="N39" s="613"/>
      <c r="O39" s="792"/>
      <c r="P39" s="1326"/>
      <c r="Q39" s="792">
        <f t="shared" si="1"/>
        <v>0</v>
      </c>
      <c r="R39" s="793"/>
      <c r="S39" s="794"/>
      <c r="T39" s="586">
        <f t="shared" si="9"/>
        <v>10153.450000000001</v>
      </c>
      <c r="U39" s="641">
        <f t="shared" si="4"/>
        <v>0</v>
      </c>
      <c r="W39" s="1066"/>
      <c r="X39" s="659">
        <f t="shared" si="10"/>
        <v>642</v>
      </c>
      <c r="Y39" s="613"/>
      <c r="Z39" s="792"/>
      <c r="AA39" s="1326"/>
      <c r="AB39" s="792">
        <f t="shared" si="2"/>
        <v>0</v>
      </c>
      <c r="AC39" s="793"/>
      <c r="AD39" s="794"/>
      <c r="AE39" s="586">
        <f t="shared" si="11"/>
        <v>18669.650000000001</v>
      </c>
      <c r="AF39" s="641">
        <f t="shared" si="5"/>
        <v>0</v>
      </c>
    </row>
    <row r="40" spans="1:32" x14ac:dyDescent="0.25">
      <c r="A40" s="118"/>
      <c r="B40" s="174">
        <f t="shared" si="6"/>
        <v>73</v>
      </c>
      <c r="C40" s="15"/>
      <c r="D40" s="791"/>
      <c r="E40" s="1311"/>
      <c r="F40" s="791">
        <f t="shared" si="0"/>
        <v>0</v>
      </c>
      <c r="G40" s="520"/>
      <c r="H40" s="356"/>
      <c r="I40" s="102">
        <f t="shared" si="7"/>
        <v>2032.5000000000034</v>
      </c>
      <c r="J40" s="17">
        <f t="shared" si="3"/>
        <v>0</v>
      </c>
      <c r="L40" s="118"/>
      <c r="M40" s="174">
        <f t="shared" si="8"/>
        <v>354</v>
      </c>
      <c r="N40" s="15"/>
      <c r="O40" s="791"/>
      <c r="P40" s="1311"/>
      <c r="Q40" s="791">
        <f t="shared" si="1"/>
        <v>0</v>
      </c>
      <c r="R40" s="520"/>
      <c r="S40" s="356"/>
      <c r="T40" s="102">
        <f t="shared" si="9"/>
        <v>10153.450000000001</v>
      </c>
      <c r="U40" s="17">
        <f t="shared" si="4"/>
        <v>0</v>
      </c>
      <c r="W40" s="118"/>
      <c r="X40" s="174">
        <f t="shared" si="10"/>
        <v>642</v>
      </c>
      <c r="Y40" s="15"/>
      <c r="Z40" s="791"/>
      <c r="AA40" s="1311"/>
      <c r="AB40" s="791">
        <f t="shared" si="2"/>
        <v>0</v>
      </c>
      <c r="AC40" s="520"/>
      <c r="AD40" s="356"/>
      <c r="AE40" s="102">
        <f t="shared" si="11"/>
        <v>18669.650000000001</v>
      </c>
      <c r="AF40" s="17">
        <f t="shared" si="5"/>
        <v>0</v>
      </c>
    </row>
    <row r="41" spans="1:32" x14ac:dyDescent="0.25">
      <c r="A41" s="118"/>
      <c r="B41" s="174">
        <f t="shared" si="6"/>
        <v>73</v>
      </c>
      <c r="C41" s="15"/>
      <c r="D41" s="791"/>
      <c r="E41" s="1311"/>
      <c r="F41" s="791">
        <f t="shared" si="0"/>
        <v>0</v>
      </c>
      <c r="G41" s="520"/>
      <c r="H41" s="356"/>
      <c r="I41" s="102">
        <f t="shared" si="7"/>
        <v>2032.5000000000034</v>
      </c>
      <c r="J41" s="17">
        <f t="shared" si="3"/>
        <v>0</v>
      </c>
      <c r="L41" s="118"/>
      <c r="M41" s="174">
        <f t="shared" si="8"/>
        <v>354</v>
      </c>
      <c r="N41" s="15"/>
      <c r="O41" s="791"/>
      <c r="P41" s="1311"/>
      <c r="Q41" s="791">
        <f t="shared" si="1"/>
        <v>0</v>
      </c>
      <c r="R41" s="520"/>
      <c r="S41" s="356"/>
      <c r="T41" s="102">
        <f t="shared" si="9"/>
        <v>10153.450000000001</v>
      </c>
      <c r="U41" s="17">
        <f t="shared" si="4"/>
        <v>0</v>
      </c>
      <c r="W41" s="118"/>
      <c r="X41" s="174">
        <f t="shared" si="10"/>
        <v>642</v>
      </c>
      <c r="Y41" s="15"/>
      <c r="Z41" s="791"/>
      <c r="AA41" s="1311"/>
      <c r="AB41" s="791">
        <f t="shared" si="2"/>
        <v>0</v>
      </c>
      <c r="AC41" s="520"/>
      <c r="AD41" s="356"/>
      <c r="AE41" s="102">
        <f t="shared" si="11"/>
        <v>18669.650000000001</v>
      </c>
      <c r="AF41" s="17">
        <f t="shared" si="5"/>
        <v>0</v>
      </c>
    </row>
    <row r="42" spans="1:32" x14ac:dyDescent="0.25">
      <c r="A42" s="118"/>
      <c r="B42" s="174">
        <f t="shared" si="6"/>
        <v>73</v>
      </c>
      <c r="C42" s="15"/>
      <c r="D42" s="791"/>
      <c r="E42" s="1311"/>
      <c r="F42" s="791">
        <f t="shared" si="0"/>
        <v>0</v>
      </c>
      <c r="G42" s="520"/>
      <c r="H42" s="356"/>
      <c r="I42" s="102">
        <f t="shared" si="7"/>
        <v>2032.5000000000034</v>
      </c>
      <c r="J42" s="17">
        <f t="shared" si="3"/>
        <v>0</v>
      </c>
      <c r="L42" s="118"/>
      <c r="M42" s="174">
        <f t="shared" si="8"/>
        <v>354</v>
      </c>
      <c r="N42" s="15"/>
      <c r="O42" s="791"/>
      <c r="P42" s="1311"/>
      <c r="Q42" s="791">
        <f t="shared" si="1"/>
        <v>0</v>
      </c>
      <c r="R42" s="520"/>
      <c r="S42" s="356"/>
      <c r="T42" s="102">
        <f t="shared" si="9"/>
        <v>10153.450000000001</v>
      </c>
      <c r="U42" s="17">
        <f t="shared" si="4"/>
        <v>0</v>
      </c>
      <c r="W42" s="118"/>
      <c r="X42" s="174">
        <f t="shared" si="10"/>
        <v>642</v>
      </c>
      <c r="Y42" s="15"/>
      <c r="Z42" s="791"/>
      <c r="AA42" s="1311"/>
      <c r="AB42" s="791">
        <f t="shared" si="2"/>
        <v>0</v>
      </c>
      <c r="AC42" s="520"/>
      <c r="AD42" s="356"/>
      <c r="AE42" s="102">
        <f t="shared" si="11"/>
        <v>18669.650000000001</v>
      </c>
      <c r="AF42" s="17">
        <f t="shared" si="5"/>
        <v>0</v>
      </c>
    </row>
    <row r="43" spans="1:32" x14ac:dyDescent="0.25">
      <c r="A43" s="118"/>
      <c r="B43" s="174">
        <f t="shared" si="6"/>
        <v>73</v>
      </c>
      <c r="C43" s="15"/>
      <c r="D43" s="791"/>
      <c r="E43" s="1311"/>
      <c r="F43" s="791">
        <f t="shared" si="0"/>
        <v>0</v>
      </c>
      <c r="G43" s="520"/>
      <c r="H43" s="356"/>
      <c r="I43" s="102">
        <f t="shared" si="7"/>
        <v>2032.5000000000034</v>
      </c>
      <c r="J43" s="17">
        <f t="shared" si="3"/>
        <v>0</v>
      </c>
      <c r="L43" s="118"/>
      <c r="M43" s="174">
        <f t="shared" si="8"/>
        <v>354</v>
      </c>
      <c r="N43" s="15"/>
      <c r="O43" s="791"/>
      <c r="P43" s="1311"/>
      <c r="Q43" s="791">
        <f t="shared" si="1"/>
        <v>0</v>
      </c>
      <c r="R43" s="520"/>
      <c r="S43" s="356"/>
      <c r="T43" s="102">
        <f t="shared" si="9"/>
        <v>10153.450000000001</v>
      </c>
      <c r="U43" s="17">
        <f t="shared" si="4"/>
        <v>0</v>
      </c>
      <c r="W43" s="118"/>
      <c r="X43" s="174">
        <f t="shared" si="10"/>
        <v>642</v>
      </c>
      <c r="Y43" s="15"/>
      <c r="Z43" s="791"/>
      <c r="AA43" s="1311"/>
      <c r="AB43" s="791">
        <f t="shared" si="2"/>
        <v>0</v>
      </c>
      <c r="AC43" s="520"/>
      <c r="AD43" s="356"/>
      <c r="AE43" s="102">
        <f t="shared" si="11"/>
        <v>18669.650000000001</v>
      </c>
      <c r="AF43" s="17">
        <f t="shared" si="5"/>
        <v>0</v>
      </c>
    </row>
    <row r="44" spans="1:32" x14ac:dyDescent="0.25">
      <c r="A44" s="118"/>
      <c r="B44" s="174">
        <f t="shared" si="6"/>
        <v>73</v>
      </c>
      <c r="C44" s="15"/>
      <c r="D44" s="791"/>
      <c r="E44" s="1311"/>
      <c r="F44" s="791">
        <f t="shared" si="0"/>
        <v>0</v>
      </c>
      <c r="G44" s="520"/>
      <c r="H44" s="356"/>
      <c r="I44" s="102">
        <f t="shared" si="7"/>
        <v>2032.5000000000034</v>
      </c>
      <c r="J44" s="17">
        <f t="shared" si="3"/>
        <v>0</v>
      </c>
      <c r="L44" s="118"/>
      <c r="M44" s="174">
        <f t="shared" si="8"/>
        <v>354</v>
      </c>
      <c r="N44" s="15"/>
      <c r="O44" s="791"/>
      <c r="P44" s="1311"/>
      <c r="Q44" s="791">
        <f t="shared" si="1"/>
        <v>0</v>
      </c>
      <c r="R44" s="520"/>
      <c r="S44" s="356"/>
      <c r="T44" s="102">
        <f t="shared" si="9"/>
        <v>10153.450000000001</v>
      </c>
      <c r="U44" s="17">
        <f t="shared" si="4"/>
        <v>0</v>
      </c>
      <c r="W44" s="118"/>
      <c r="X44" s="174">
        <f t="shared" si="10"/>
        <v>642</v>
      </c>
      <c r="Y44" s="15"/>
      <c r="Z44" s="791"/>
      <c r="AA44" s="1311"/>
      <c r="AB44" s="791">
        <f t="shared" si="2"/>
        <v>0</v>
      </c>
      <c r="AC44" s="520"/>
      <c r="AD44" s="356"/>
      <c r="AE44" s="102">
        <f t="shared" si="11"/>
        <v>18669.650000000001</v>
      </c>
      <c r="AF44" s="17">
        <f t="shared" si="5"/>
        <v>0</v>
      </c>
    </row>
    <row r="45" spans="1:32" x14ac:dyDescent="0.25">
      <c r="A45" s="118"/>
      <c r="B45" s="174">
        <f t="shared" si="6"/>
        <v>73</v>
      </c>
      <c r="C45" s="15"/>
      <c r="D45" s="791"/>
      <c r="E45" s="1311"/>
      <c r="F45" s="791">
        <f t="shared" si="0"/>
        <v>0</v>
      </c>
      <c r="G45" s="520"/>
      <c r="H45" s="356"/>
      <c r="I45" s="102">
        <f t="shared" si="7"/>
        <v>2032.5000000000034</v>
      </c>
      <c r="J45" s="17">
        <f t="shared" si="3"/>
        <v>0</v>
      </c>
      <c r="L45" s="118"/>
      <c r="M45" s="174">
        <f t="shared" si="8"/>
        <v>354</v>
      </c>
      <c r="N45" s="15"/>
      <c r="O45" s="791"/>
      <c r="P45" s="1311"/>
      <c r="Q45" s="791">
        <f t="shared" si="1"/>
        <v>0</v>
      </c>
      <c r="R45" s="520"/>
      <c r="S45" s="356"/>
      <c r="T45" s="102">
        <f t="shared" si="9"/>
        <v>10153.450000000001</v>
      </c>
      <c r="U45" s="17">
        <f t="shared" si="4"/>
        <v>0</v>
      </c>
      <c r="W45" s="118"/>
      <c r="X45" s="174">
        <f t="shared" si="10"/>
        <v>642</v>
      </c>
      <c r="Y45" s="15"/>
      <c r="Z45" s="791"/>
      <c r="AA45" s="1311"/>
      <c r="AB45" s="791">
        <f t="shared" si="2"/>
        <v>0</v>
      </c>
      <c r="AC45" s="520"/>
      <c r="AD45" s="356"/>
      <c r="AE45" s="102">
        <f t="shared" si="11"/>
        <v>18669.650000000001</v>
      </c>
      <c r="AF45" s="17">
        <f t="shared" si="5"/>
        <v>0</v>
      </c>
    </row>
    <row r="46" spans="1:32" x14ac:dyDescent="0.25">
      <c r="A46" s="118"/>
      <c r="B46" s="174">
        <f t="shared" si="6"/>
        <v>73</v>
      </c>
      <c r="C46" s="15"/>
      <c r="D46" s="791"/>
      <c r="E46" s="1311"/>
      <c r="F46" s="791">
        <f t="shared" si="0"/>
        <v>0</v>
      </c>
      <c r="G46" s="520"/>
      <c r="H46" s="356"/>
      <c r="I46" s="102">
        <f t="shared" si="7"/>
        <v>2032.5000000000034</v>
      </c>
      <c r="J46" s="17">
        <f t="shared" si="3"/>
        <v>0</v>
      </c>
      <c r="L46" s="118"/>
      <c r="M46" s="174">
        <f t="shared" si="8"/>
        <v>354</v>
      </c>
      <c r="N46" s="15"/>
      <c r="O46" s="791"/>
      <c r="P46" s="1311"/>
      <c r="Q46" s="791">
        <f t="shared" si="1"/>
        <v>0</v>
      </c>
      <c r="R46" s="520"/>
      <c r="S46" s="356"/>
      <c r="T46" s="102">
        <f t="shared" si="9"/>
        <v>10153.450000000001</v>
      </c>
      <c r="U46" s="17">
        <f t="shared" si="4"/>
        <v>0</v>
      </c>
      <c r="W46" s="118"/>
      <c r="X46" s="174">
        <f t="shared" si="10"/>
        <v>642</v>
      </c>
      <c r="Y46" s="15"/>
      <c r="Z46" s="791"/>
      <c r="AA46" s="1311"/>
      <c r="AB46" s="791">
        <f t="shared" si="2"/>
        <v>0</v>
      </c>
      <c r="AC46" s="520"/>
      <c r="AD46" s="356"/>
      <c r="AE46" s="102">
        <f t="shared" si="11"/>
        <v>18669.650000000001</v>
      </c>
      <c r="AF46" s="17">
        <f t="shared" si="5"/>
        <v>0</v>
      </c>
    </row>
    <row r="47" spans="1:32" x14ac:dyDescent="0.25">
      <c r="A47" s="118"/>
      <c r="B47" s="174">
        <f t="shared" si="6"/>
        <v>73</v>
      </c>
      <c r="C47" s="15"/>
      <c r="D47" s="791"/>
      <c r="E47" s="1311"/>
      <c r="F47" s="791">
        <f t="shared" si="0"/>
        <v>0</v>
      </c>
      <c r="G47" s="520"/>
      <c r="H47" s="356"/>
      <c r="I47" s="102">
        <f t="shared" si="7"/>
        <v>2032.5000000000034</v>
      </c>
      <c r="J47" s="17">
        <f t="shared" si="3"/>
        <v>0</v>
      </c>
      <c r="L47" s="118"/>
      <c r="M47" s="174">
        <f t="shared" si="8"/>
        <v>354</v>
      </c>
      <c r="N47" s="15"/>
      <c r="O47" s="791"/>
      <c r="P47" s="1311"/>
      <c r="Q47" s="791">
        <f t="shared" si="1"/>
        <v>0</v>
      </c>
      <c r="R47" s="520"/>
      <c r="S47" s="356"/>
      <c r="T47" s="102">
        <f t="shared" si="9"/>
        <v>10153.450000000001</v>
      </c>
      <c r="U47" s="17">
        <f t="shared" si="4"/>
        <v>0</v>
      </c>
      <c r="W47" s="118"/>
      <c r="X47" s="174">
        <f t="shared" si="10"/>
        <v>642</v>
      </c>
      <c r="Y47" s="15"/>
      <c r="Z47" s="791"/>
      <c r="AA47" s="1311"/>
      <c r="AB47" s="791">
        <f t="shared" si="2"/>
        <v>0</v>
      </c>
      <c r="AC47" s="520"/>
      <c r="AD47" s="356"/>
      <c r="AE47" s="102">
        <f t="shared" si="11"/>
        <v>18669.650000000001</v>
      </c>
      <c r="AF47" s="17">
        <f t="shared" si="5"/>
        <v>0</v>
      </c>
    </row>
    <row r="48" spans="1:32" x14ac:dyDescent="0.25">
      <c r="A48" s="118"/>
      <c r="B48" s="174">
        <f t="shared" si="6"/>
        <v>73</v>
      </c>
      <c r="C48" s="15"/>
      <c r="D48" s="791"/>
      <c r="E48" s="1311"/>
      <c r="F48" s="791">
        <f t="shared" si="0"/>
        <v>0</v>
      </c>
      <c r="G48" s="520"/>
      <c r="H48" s="356"/>
      <c r="I48" s="102">
        <f t="shared" si="7"/>
        <v>2032.5000000000034</v>
      </c>
      <c r="J48" s="17">
        <f t="shared" si="3"/>
        <v>0</v>
      </c>
      <c r="L48" s="118"/>
      <c r="M48" s="174">
        <f t="shared" si="8"/>
        <v>354</v>
      </c>
      <c r="N48" s="15"/>
      <c r="O48" s="791"/>
      <c r="P48" s="1311"/>
      <c r="Q48" s="791">
        <f t="shared" si="1"/>
        <v>0</v>
      </c>
      <c r="R48" s="520"/>
      <c r="S48" s="356"/>
      <c r="T48" s="102">
        <f t="shared" si="9"/>
        <v>10153.450000000001</v>
      </c>
      <c r="U48" s="17">
        <f t="shared" si="4"/>
        <v>0</v>
      </c>
      <c r="W48" s="118"/>
      <c r="X48" s="174">
        <f t="shared" si="10"/>
        <v>642</v>
      </c>
      <c r="Y48" s="15"/>
      <c r="Z48" s="791"/>
      <c r="AA48" s="1311"/>
      <c r="AB48" s="791">
        <f t="shared" si="2"/>
        <v>0</v>
      </c>
      <c r="AC48" s="520"/>
      <c r="AD48" s="356"/>
      <c r="AE48" s="102">
        <f t="shared" si="11"/>
        <v>18669.650000000001</v>
      </c>
      <c r="AF48" s="17">
        <f t="shared" si="5"/>
        <v>0</v>
      </c>
    </row>
    <row r="49" spans="1:32" x14ac:dyDescent="0.25">
      <c r="A49" s="118"/>
      <c r="B49" s="174">
        <f t="shared" si="6"/>
        <v>73</v>
      </c>
      <c r="C49" s="15"/>
      <c r="D49" s="791"/>
      <c r="E49" s="1311"/>
      <c r="F49" s="791">
        <f t="shared" si="0"/>
        <v>0</v>
      </c>
      <c r="G49" s="520"/>
      <c r="H49" s="356"/>
      <c r="I49" s="102">
        <f t="shared" si="7"/>
        <v>2032.5000000000034</v>
      </c>
      <c r="J49" s="17">
        <f t="shared" si="3"/>
        <v>0</v>
      </c>
      <c r="L49" s="118"/>
      <c r="M49" s="174">
        <f t="shared" si="8"/>
        <v>354</v>
      </c>
      <c r="N49" s="15"/>
      <c r="O49" s="791"/>
      <c r="P49" s="1311"/>
      <c r="Q49" s="791">
        <f t="shared" si="1"/>
        <v>0</v>
      </c>
      <c r="R49" s="520"/>
      <c r="S49" s="356"/>
      <c r="T49" s="102">
        <f t="shared" si="9"/>
        <v>10153.450000000001</v>
      </c>
      <c r="U49" s="17">
        <f t="shared" si="4"/>
        <v>0</v>
      </c>
      <c r="W49" s="118"/>
      <c r="X49" s="174">
        <f t="shared" si="10"/>
        <v>642</v>
      </c>
      <c r="Y49" s="15"/>
      <c r="Z49" s="791"/>
      <c r="AA49" s="1311"/>
      <c r="AB49" s="791">
        <f t="shared" si="2"/>
        <v>0</v>
      </c>
      <c r="AC49" s="520"/>
      <c r="AD49" s="356"/>
      <c r="AE49" s="102">
        <f t="shared" si="11"/>
        <v>18669.650000000001</v>
      </c>
      <c r="AF49" s="17">
        <f t="shared" si="5"/>
        <v>0</v>
      </c>
    </row>
    <row r="50" spans="1:32" x14ac:dyDescent="0.25">
      <c r="A50" s="118"/>
      <c r="B50" s="174">
        <f t="shared" si="6"/>
        <v>73</v>
      </c>
      <c r="C50" s="15"/>
      <c r="D50" s="791"/>
      <c r="E50" s="1311"/>
      <c r="F50" s="791">
        <f t="shared" si="0"/>
        <v>0</v>
      </c>
      <c r="G50" s="520"/>
      <c r="H50" s="356"/>
      <c r="I50" s="102">
        <f t="shared" si="7"/>
        <v>2032.5000000000034</v>
      </c>
      <c r="J50" s="17">
        <f t="shared" si="3"/>
        <v>0</v>
      </c>
      <c r="L50" s="118"/>
      <c r="M50" s="174">
        <f t="shared" si="8"/>
        <v>354</v>
      </c>
      <c r="N50" s="15"/>
      <c r="O50" s="791"/>
      <c r="P50" s="1311"/>
      <c r="Q50" s="791">
        <f t="shared" si="1"/>
        <v>0</v>
      </c>
      <c r="R50" s="520"/>
      <c r="S50" s="356"/>
      <c r="T50" s="102">
        <f t="shared" si="9"/>
        <v>10153.450000000001</v>
      </c>
      <c r="U50" s="17">
        <f t="shared" si="4"/>
        <v>0</v>
      </c>
      <c r="W50" s="118"/>
      <c r="X50" s="174">
        <f t="shared" si="10"/>
        <v>642</v>
      </c>
      <c r="Y50" s="15"/>
      <c r="Z50" s="791"/>
      <c r="AA50" s="1311"/>
      <c r="AB50" s="791">
        <f t="shared" si="2"/>
        <v>0</v>
      </c>
      <c r="AC50" s="520"/>
      <c r="AD50" s="356"/>
      <c r="AE50" s="102">
        <f t="shared" si="11"/>
        <v>18669.650000000001</v>
      </c>
      <c r="AF50" s="17">
        <f t="shared" si="5"/>
        <v>0</v>
      </c>
    </row>
    <row r="51" spans="1:32" x14ac:dyDescent="0.25">
      <c r="A51" s="118"/>
      <c r="B51" s="174">
        <f t="shared" si="6"/>
        <v>73</v>
      </c>
      <c r="C51" s="15"/>
      <c r="D51" s="791"/>
      <c r="E51" s="1311"/>
      <c r="F51" s="791">
        <f t="shared" si="0"/>
        <v>0</v>
      </c>
      <c r="G51" s="520"/>
      <c r="H51" s="356"/>
      <c r="I51" s="102">
        <f t="shared" si="7"/>
        <v>2032.5000000000034</v>
      </c>
      <c r="J51" s="17">
        <f t="shared" si="3"/>
        <v>0</v>
      </c>
      <c r="L51" s="118"/>
      <c r="M51" s="174">
        <f t="shared" si="8"/>
        <v>354</v>
      </c>
      <c r="N51" s="15"/>
      <c r="O51" s="791"/>
      <c r="P51" s="1311"/>
      <c r="Q51" s="791">
        <f t="shared" si="1"/>
        <v>0</v>
      </c>
      <c r="R51" s="520"/>
      <c r="S51" s="356"/>
      <c r="T51" s="102">
        <f t="shared" si="9"/>
        <v>10153.450000000001</v>
      </c>
      <c r="U51" s="17">
        <f t="shared" si="4"/>
        <v>0</v>
      </c>
      <c r="W51" s="118"/>
      <c r="X51" s="174">
        <f t="shared" si="10"/>
        <v>642</v>
      </c>
      <c r="Y51" s="15"/>
      <c r="Z51" s="791"/>
      <c r="AA51" s="1311"/>
      <c r="AB51" s="791">
        <f t="shared" si="2"/>
        <v>0</v>
      </c>
      <c r="AC51" s="520"/>
      <c r="AD51" s="356"/>
      <c r="AE51" s="102">
        <f t="shared" si="11"/>
        <v>18669.650000000001</v>
      </c>
      <c r="AF51" s="17">
        <f t="shared" si="5"/>
        <v>0</v>
      </c>
    </row>
    <row r="52" spans="1:32" x14ac:dyDescent="0.25">
      <c r="A52" s="118"/>
      <c r="B52" s="174">
        <f t="shared" si="6"/>
        <v>73</v>
      </c>
      <c r="C52" s="15"/>
      <c r="D52" s="791"/>
      <c r="E52" s="1311"/>
      <c r="F52" s="791">
        <f t="shared" si="0"/>
        <v>0</v>
      </c>
      <c r="G52" s="520"/>
      <c r="H52" s="356"/>
      <c r="I52" s="102">
        <f t="shared" si="7"/>
        <v>2032.5000000000034</v>
      </c>
      <c r="J52" s="17">
        <f t="shared" si="3"/>
        <v>0</v>
      </c>
      <c r="L52" s="118"/>
      <c r="M52" s="174">
        <f t="shared" si="8"/>
        <v>354</v>
      </c>
      <c r="N52" s="15"/>
      <c r="O52" s="791"/>
      <c r="P52" s="1311"/>
      <c r="Q52" s="791">
        <f t="shared" si="1"/>
        <v>0</v>
      </c>
      <c r="R52" s="520"/>
      <c r="S52" s="356"/>
      <c r="T52" s="102">
        <f t="shared" si="9"/>
        <v>10153.450000000001</v>
      </c>
      <c r="U52" s="17">
        <f t="shared" si="4"/>
        <v>0</v>
      </c>
      <c r="W52" s="118"/>
      <c r="X52" s="174">
        <f t="shared" si="10"/>
        <v>642</v>
      </c>
      <c r="Y52" s="15"/>
      <c r="Z52" s="791"/>
      <c r="AA52" s="1311"/>
      <c r="AB52" s="791">
        <f t="shared" si="2"/>
        <v>0</v>
      </c>
      <c r="AC52" s="520"/>
      <c r="AD52" s="356"/>
      <c r="AE52" s="102">
        <f t="shared" si="11"/>
        <v>18669.650000000001</v>
      </c>
      <c r="AF52" s="17">
        <f t="shared" si="5"/>
        <v>0</v>
      </c>
    </row>
    <row r="53" spans="1:32" x14ac:dyDescent="0.25">
      <c r="A53" s="118"/>
      <c r="B53" s="174">
        <f t="shared" si="6"/>
        <v>73</v>
      </c>
      <c r="C53" s="15"/>
      <c r="D53" s="791"/>
      <c r="E53" s="1311"/>
      <c r="F53" s="791">
        <f t="shared" si="0"/>
        <v>0</v>
      </c>
      <c r="G53" s="520"/>
      <c r="H53" s="356"/>
      <c r="I53" s="102">
        <f t="shared" si="7"/>
        <v>2032.5000000000034</v>
      </c>
      <c r="J53" s="17">
        <f t="shared" si="3"/>
        <v>0</v>
      </c>
      <c r="L53" s="118"/>
      <c r="M53" s="174">
        <f t="shared" si="8"/>
        <v>354</v>
      </c>
      <c r="N53" s="15"/>
      <c r="O53" s="791"/>
      <c r="P53" s="1311"/>
      <c r="Q53" s="791">
        <f t="shared" si="1"/>
        <v>0</v>
      </c>
      <c r="R53" s="520"/>
      <c r="S53" s="356"/>
      <c r="T53" s="102">
        <f t="shared" si="9"/>
        <v>10153.450000000001</v>
      </c>
      <c r="U53" s="17">
        <f t="shared" si="4"/>
        <v>0</v>
      </c>
      <c r="W53" s="118"/>
      <c r="X53" s="174">
        <f t="shared" si="10"/>
        <v>642</v>
      </c>
      <c r="Y53" s="15"/>
      <c r="Z53" s="791"/>
      <c r="AA53" s="1311"/>
      <c r="AB53" s="791">
        <f t="shared" si="2"/>
        <v>0</v>
      </c>
      <c r="AC53" s="520"/>
      <c r="AD53" s="356"/>
      <c r="AE53" s="102">
        <f t="shared" si="11"/>
        <v>18669.650000000001</v>
      </c>
      <c r="AF53" s="17">
        <f t="shared" si="5"/>
        <v>0</v>
      </c>
    </row>
    <row r="54" spans="1:32" x14ac:dyDescent="0.25">
      <c r="A54" s="118"/>
      <c r="B54" s="174">
        <f t="shared" si="6"/>
        <v>73</v>
      </c>
      <c r="C54" s="15"/>
      <c r="D54" s="791"/>
      <c r="E54" s="1311"/>
      <c r="F54" s="791">
        <f t="shared" si="0"/>
        <v>0</v>
      </c>
      <c r="G54" s="520"/>
      <c r="H54" s="356"/>
      <c r="I54" s="102">
        <f t="shared" si="7"/>
        <v>2032.5000000000034</v>
      </c>
      <c r="J54" s="17">
        <f t="shared" si="3"/>
        <v>0</v>
      </c>
      <c r="L54" s="118"/>
      <c r="M54" s="174">
        <f t="shared" si="8"/>
        <v>354</v>
      </c>
      <c r="N54" s="15"/>
      <c r="O54" s="791"/>
      <c r="P54" s="1311"/>
      <c r="Q54" s="791">
        <f t="shared" si="1"/>
        <v>0</v>
      </c>
      <c r="R54" s="520"/>
      <c r="S54" s="356"/>
      <c r="T54" s="102">
        <f t="shared" si="9"/>
        <v>10153.450000000001</v>
      </c>
      <c r="U54" s="17">
        <f t="shared" si="4"/>
        <v>0</v>
      </c>
      <c r="W54" s="118"/>
      <c r="X54" s="174">
        <f t="shared" si="10"/>
        <v>642</v>
      </c>
      <c r="Y54" s="15"/>
      <c r="Z54" s="791"/>
      <c r="AA54" s="1311"/>
      <c r="AB54" s="791">
        <f t="shared" si="2"/>
        <v>0</v>
      </c>
      <c r="AC54" s="520"/>
      <c r="AD54" s="356"/>
      <c r="AE54" s="102">
        <f t="shared" si="11"/>
        <v>18669.650000000001</v>
      </c>
      <c r="AF54" s="17">
        <f t="shared" si="5"/>
        <v>0</v>
      </c>
    </row>
    <row r="55" spans="1:32" x14ac:dyDescent="0.25">
      <c r="A55" s="118"/>
      <c r="B55" s="174">
        <f t="shared" si="6"/>
        <v>73</v>
      </c>
      <c r="C55" s="15"/>
      <c r="D55" s="791"/>
      <c r="E55" s="1311"/>
      <c r="F55" s="791">
        <f t="shared" si="0"/>
        <v>0</v>
      </c>
      <c r="G55" s="520"/>
      <c r="H55" s="356"/>
      <c r="I55" s="102">
        <f t="shared" si="7"/>
        <v>2032.5000000000034</v>
      </c>
      <c r="J55" s="17">
        <f t="shared" si="3"/>
        <v>0</v>
      </c>
      <c r="L55" s="118"/>
      <c r="M55" s="174">
        <f t="shared" si="8"/>
        <v>354</v>
      </c>
      <c r="N55" s="15"/>
      <c r="O55" s="791"/>
      <c r="P55" s="1311"/>
      <c r="Q55" s="791">
        <f t="shared" si="1"/>
        <v>0</v>
      </c>
      <c r="R55" s="520"/>
      <c r="S55" s="356"/>
      <c r="T55" s="102">
        <f t="shared" si="9"/>
        <v>10153.450000000001</v>
      </c>
      <c r="U55" s="17">
        <f t="shared" si="4"/>
        <v>0</v>
      </c>
      <c r="W55" s="118"/>
      <c r="X55" s="174">
        <f t="shared" si="10"/>
        <v>642</v>
      </c>
      <c r="Y55" s="15"/>
      <c r="Z55" s="791"/>
      <c r="AA55" s="1311"/>
      <c r="AB55" s="791">
        <f t="shared" si="2"/>
        <v>0</v>
      </c>
      <c r="AC55" s="520"/>
      <c r="AD55" s="356"/>
      <c r="AE55" s="102">
        <f t="shared" si="11"/>
        <v>18669.650000000001</v>
      </c>
      <c r="AF55" s="17">
        <f t="shared" si="5"/>
        <v>0</v>
      </c>
    </row>
    <row r="56" spans="1:32" x14ac:dyDescent="0.25">
      <c r="A56" s="118"/>
      <c r="B56" s="174">
        <f t="shared" si="6"/>
        <v>73</v>
      </c>
      <c r="C56" s="15"/>
      <c r="D56" s="791"/>
      <c r="E56" s="1311"/>
      <c r="F56" s="791">
        <f t="shared" si="0"/>
        <v>0</v>
      </c>
      <c r="G56" s="520"/>
      <c r="H56" s="356"/>
      <c r="I56" s="102">
        <f t="shared" si="7"/>
        <v>2032.5000000000034</v>
      </c>
      <c r="J56" s="17">
        <f t="shared" si="3"/>
        <v>0</v>
      </c>
      <c r="L56" s="118"/>
      <c r="M56" s="174">
        <f t="shared" si="8"/>
        <v>354</v>
      </c>
      <c r="N56" s="15"/>
      <c r="O56" s="791"/>
      <c r="P56" s="1311"/>
      <c r="Q56" s="791">
        <f t="shared" si="1"/>
        <v>0</v>
      </c>
      <c r="R56" s="520"/>
      <c r="S56" s="356"/>
      <c r="T56" s="102">
        <f t="shared" si="9"/>
        <v>10153.450000000001</v>
      </c>
      <c r="U56" s="17">
        <f t="shared" si="4"/>
        <v>0</v>
      </c>
      <c r="W56" s="118"/>
      <c r="X56" s="174">
        <f t="shared" si="10"/>
        <v>642</v>
      </c>
      <c r="Y56" s="15"/>
      <c r="Z56" s="791"/>
      <c r="AA56" s="1311"/>
      <c r="AB56" s="791">
        <f t="shared" si="2"/>
        <v>0</v>
      </c>
      <c r="AC56" s="520"/>
      <c r="AD56" s="356"/>
      <c r="AE56" s="102">
        <f t="shared" si="11"/>
        <v>18669.650000000001</v>
      </c>
      <c r="AF56" s="17">
        <f t="shared" si="5"/>
        <v>0</v>
      </c>
    </row>
    <row r="57" spans="1:32" x14ac:dyDescent="0.25">
      <c r="A57" s="118"/>
      <c r="B57" s="174">
        <f t="shared" si="6"/>
        <v>73</v>
      </c>
      <c r="C57" s="15"/>
      <c r="D57" s="791"/>
      <c r="E57" s="1311"/>
      <c r="F57" s="791">
        <f t="shared" si="0"/>
        <v>0</v>
      </c>
      <c r="G57" s="520"/>
      <c r="H57" s="356"/>
      <c r="I57" s="102">
        <f t="shared" si="7"/>
        <v>2032.5000000000034</v>
      </c>
      <c r="J57" s="17">
        <f t="shared" si="3"/>
        <v>0</v>
      </c>
      <c r="L57" s="118"/>
      <c r="M57" s="174">
        <f t="shared" si="8"/>
        <v>354</v>
      </c>
      <c r="N57" s="15"/>
      <c r="O57" s="791"/>
      <c r="P57" s="1311"/>
      <c r="Q57" s="791">
        <f t="shared" si="1"/>
        <v>0</v>
      </c>
      <c r="R57" s="520"/>
      <c r="S57" s="356"/>
      <c r="T57" s="102">
        <f t="shared" si="9"/>
        <v>10153.450000000001</v>
      </c>
      <c r="U57" s="17">
        <f t="shared" si="4"/>
        <v>0</v>
      </c>
      <c r="W57" s="118"/>
      <c r="X57" s="174">
        <f t="shared" si="10"/>
        <v>642</v>
      </c>
      <c r="Y57" s="15"/>
      <c r="Z57" s="791"/>
      <c r="AA57" s="1311"/>
      <c r="AB57" s="791">
        <f t="shared" si="2"/>
        <v>0</v>
      </c>
      <c r="AC57" s="520"/>
      <c r="AD57" s="356"/>
      <c r="AE57" s="102">
        <f t="shared" si="11"/>
        <v>18669.650000000001</v>
      </c>
      <c r="AF57" s="17">
        <f t="shared" si="5"/>
        <v>0</v>
      </c>
    </row>
    <row r="58" spans="1:32" x14ac:dyDescent="0.25">
      <c r="A58" s="118"/>
      <c r="B58" s="174">
        <f t="shared" si="6"/>
        <v>73</v>
      </c>
      <c r="C58" s="15"/>
      <c r="D58" s="791"/>
      <c r="E58" s="1311"/>
      <c r="F58" s="791">
        <v>0</v>
      </c>
      <c r="G58" s="520"/>
      <c r="H58" s="356"/>
      <c r="I58" s="102">
        <f t="shared" si="7"/>
        <v>2032.5000000000034</v>
      </c>
      <c r="J58" s="17">
        <f t="shared" si="3"/>
        <v>0</v>
      </c>
      <c r="L58" s="118"/>
      <c r="M58" s="174">
        <f t="shared" si="8"/>
        <v>354</v>
      </c>
      <c r="N58" s="15"/>
      <c r="O58" s="791"/>
      <c r="P58" s="1311"/>
      <c r="Q58" s="791">
        <v>0</v>
      </c>
      <c r="R58" s="520"/>
      <c r="S58" s="356"/>
      <c r="T58" s="102">
        <f t="shared" si="9"/>
        <v>10153.450000000001</v>
      </c>
      <c r="U58" s="17">
        <f t="shared" si="4"/>
        <v>0</v>
      </c>
      <c r="W58" s="118"/>
      <c r="X58" s="174">
        <f t="shared" si="10"/>
        <v>642</v>
      </c>
      <c r="Y58" s="15"/>
      <c r="Z58" s="791"/>
      <c r="AA58" s="1311"/>
      <c r="AB58" s="791">
        <v>0</v>
      </c>
      <c r="AC58" s="520"/>
      <c r="AD58" s="356"/>
      <c r="AE58" s="102">
        <f t="shared" si="11"/>
        <v>18669.650000000001</v>
      </c>
      <c r="AF58" s="17">
        <f t="shared" si="5"/>
        <v>0</v>
      </c>
    </row>
    <row r="59" spans="1:32" x14ac:dyDescent="0.25">
      <c r="A59" s="118"/>
      <c r="B59" s="174">
        <f t="shared" si="6"/>
        <v>73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2032.5000000000034</v>
      </c>
      <c r="J59" s="17">
        <f t="shared" si="3"/>
        <v>0</v>
      </c>
      <c r="L59" s="118"/>
      <c r="M59" s="174">
        <f t="shared" si="8"/>
        <v>354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10153.450000000001</v>
      </c>
      <c r="U59" s="17">
        <f t="shared" si="4"/>
        <v>0</v>
      </c>
      <c r="W59" s="118"/>
      <c r="X59" s="174">
        <f t="shared" si="10"/>
        <v>642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18669.650000000001</v>
      </c>
      <c r="AF59" s="17">
        <f t="shared" si="5"/>
        <v>0</v>
      </c>
    </row>
    <row r="60" spans="1:32" x14ac:dyDescent="0.25">
      <c r="A60" s="118"/>
      <c r="B60" s="174">
        <f t="shared" si="6"/>
        <v>73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2032.5000000000034</v>
      </c>
      <c r="J60" s="17">
        <f t="shared" si="3"/>
        <v>0</v>
      </c>
      <c r="L60" s="118"/>
      <c r="M60" s="174">
        <f t="shared" si="8"/>
        <v>354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10153.450000000001</v>
      </c>
      <c r="U60" s="17">
        <f t="shared" si="4"/>
        <v>0</v>
      </c>
      <c r="W60" s="118"/>
      <c r="X60" s="174">
        <f t="shared" si="10"/>
        <v>642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18669.650000000001</v>
      </c>
      <c r="AF60" s="17">
        <f t="shared" si="5"/>
        <v>0</v>
      </c>
    </row>
    <row r="61" spans="1:32" x14ac:dyDescent="0.25">
      <c r="A61" s="118"/>
      <c r="B61" s="174">
        <f t="shared" si="6"/>
        <v>73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2032.5000000000034</v>
      </c>
      <c r="J61" s="17">
        <f t="shared" si="3"/>
        <v>0</v>
      </c>
      <c r="L61" s="118"/>
      <c r="M61" s="174">
        <f t="shared" si="8"/>
        <v>354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10153.450000000001</v>
      </c>
      <c r="U61" s="17">
        <f t="shared" si="4"/>
        <v>0</v>
      </c>
      <c r="W61" s="118"/>
      <c r="X61" s="174">
        <f t="shared" si="10"/>
        <v>642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18669.650000000001</v>
      </c>
      <c r="AF61" s="17">
        <f t="shared" si="5"/>
        <v>0</v>
      </c>
    </row>
    <row r="62" spans="1:32" x14ac:dyDescent="0.25">
      <c r="A62" s="118"/>
      <c r="B62" s="174">
        <f t="shared" si="6"/>
        <v>73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2032.5000000000034</v>
      </c>
      <c r="J62" s="17">
        <f t="shared" si="3"/>
        <v>0</v>
      </c>
      <c r="L62" s="118"/>
      <c r="M62" s="174">
        <f t="shared" si="8"/>
        <v>354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10153.450000000001</v>
      </c>
      <c r="U62" s="17">
        <f t="shared" si="4"/>
        <v>0</v>
      </c>
      <c r="W62" s="118"/>
      <c r="X62" s="174">
        <f t="shared" si="10"/>
        <v>642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18669.650000000001</v>
      </c>
      <c r="AF62" s="17">
        <f t="shared" si="5"/>
        <v>0</v>
      </c>
    </row>
    <row r="63" spans="1:32" x14ac:dyDescent="0.25">
      <c r="A63" s="118"/>
      <c r="B63" s="174">
        <f t="shared" si="6"/>
        <v>73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2032.5000000000034</v>
      </c>
      <c r="J63" s="17">
        <f t="shared" si="3"/>
        <v>0</v>
      </c>
      <c r="L63" s="118"/>
      <c r="M63" s="174">
        <f t="shared" si="8"/>
        <v>354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10153.450000000001</v>
      </c>
      <c r="U63" s="17">
        <f t="shared" si="4"/>
        <v>0</v>
      </c>
      <c r="W63" s="118"/>
      <c r="X63" s="174">
        <f t="shared" si="10"/>
        <v>642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18669.650000000001</v>
      </c>
      <c r="AF63" s="17">
        <f t="shared" si="5"/>
        <v>0</v>
      </c>
    </row>
    <row r="64" spans="1:32" x14ac:dyDescent="0.25">
      <c r="A64" s="118"/>
      <c r="B64" s="174">
        <f t="shared" si="6"/>
        <v>73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2032.5000000000034</v>
      </c>
      <c r="J64" s="17">
        <f t="shared" si="3"/>
        <v>0</v>
      </c>
      <c r="L64" s="118"/>
      <c r="M64" s="174">
        <f t="shared" si="8"/>
        <v>354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10153.450000000001</v>
      </c>
      <c r="U64" s="17">
        <f t="shared" si="4"/>
        <v>0</v>
      </c>
      <c r="W64" s="118"/>
      <c r="X64" s="174">
        <f t="shared" si="10"/>
        <v>642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18669.650000000001</v>
      </c>
      <c r="AF64" s="17">
        <f t="shared" si="5"/>
        <v>0</v>
      </c>
    </row>
    <row r="65" spans="1:32" x14ac:dyDescent="0.25">
      <c r="A65" s="118"/>
      <c r="B65" s="174">
        <f t="shared" si="6"/>
        <v>73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2032.5000000000034</v>
      </c>
      <c r="J65" s="17">
        <f t="shared" si="3"/>
        <v>0</v>
      </c>
      <c r="L65" s="118"/>
      <c r="M65" s="174">
        <f t="shared" si="8"/>
        <v>354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10153.450000000001</v>
      </c>
      <c r="U65" s="17">
        <f t="shared" si="4"/>
        <v>0</v>
      </c>
      <c r="W65" s="118"/>
      <c r="X65" s="174">
        <f t="shared" si="10"/>
        <v>642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18669.650000000001</v>
      </c>
      <c r="AF65" s="17">
        <f t="shared" si="5"/>
        <v>0</v>
      </c>
    </row>
    <row r="66" spans="1:32" x14ac:dyDescent="0.25">
      <c r="A66" s="118"/>
      <c r="B66" s="174">
        <f t="shared" si="6"/>
        <v>73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2032.5000000000034</v>
      </c>
      <c r="J66" s="17">
        <f t="shared" si="3"/>
        <v>0</v>
      </c>
      <c r="L66" s="118"/>
      <c r="M66" s="174">
        <f t="shared" si="8"/>
        <v>354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10153.450000000001</v>
      </c>
      <c r="U66" s="17">
        <f t="shared" si="4"/>
        <v>0</v>
      </c>
      <c r="W66" s="118"/>
      <c r="X66" s="174">
        <f t="shared" si="10"/>
        <v>642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18669.650000000001</v>
      </c>
      <c r="AF66" s="17">
        <f t="shared" si="5"/>
        <v>0</v>
      </c>
    </row>
    <row r="67" spans="1:32" x14ac:dyDescent="0.25">
      <c r="A67" s="118"/>
      <c r="B67" s="174">
        <f t="shared" si="6"/>
        <v>73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2032.5000000000034</v>
      </c>
      <c r="J67" s="17">
        <f t="shared" si="3"/>
        <v>0</v>
      </c>
      <c r="L67" s="118"/>
      <c r="M67" s="174">
        <f t="shared" si="8"/>
        <v>354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10153.450000000001</v>
      </c>
      <c r="U67" s="17">
        <f t="shared" si="4"/>
        <v>0</v>
      </c>
      <c r="W67" s="118"/>
      <c r="X67" s="174">
        <f t="shared" si="10"/>
        <v>642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18669.650000000001</v>
      </c>
      <c r="AF67" s="17">
        <f t="shared" si="5"/>
        <v>0</v>
      </c>
    </row>
    <row r="68" spans="1:32" x14ac:dyDescent="0.25">
      <c r="A68" s="118"/>
      <c r="B68" s="174">
        <f t="shared" si="6"/>
        <v>73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2032.5000000000034</v>
      </c>
      <c r="J68" s="17">
        <f t="shared" si="3"/>
        <v>0</v>
      </c>
      <c r="L68" s="118"/>
      <c r="M68" s="174">
        <f t="shared" si="8"/>
        <v>354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10153.450000000001</v>
      </c>
      <c r="U68" s="17">
        <f t="shared" si="4"/>
        <v>0</v>
      </c>
      <c r="W68" s="118"/>
      <c r="X68" s="174">
        <f t="shared" si="10"/>
        <v>642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18669.650000000001</v>
      </c>
      <c r="AF68" s="17">
        <f t="shared" si="5"/>
        <v>0</v>
      </c>
    </row>
    <row r="69" spans="1:32" x14ac:dyDescent="0.25">
      <c r="A69" s="118"/>
      <c r="B69" s="174">
        <f t="shared" si="6"/>
        <v>73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2032.5000000000034</v>
      </c>
      <c r="J69" s="17">
        <f t="shared" si="3"/>
        <v>0</v>
      </c>
      <c r="L69" s="118"/>
      <c r="M69" s="174">
        <f t="shared" si="8"/>
        <v>354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10153.450000000001</v>
      </c>
      <c r="U69" s="17">
        <f t="shared" si="4"/>
        <v>0</v>
      </c>
      <c r="W69" s="118"/>
      <c r="X69" s="174">
        <f t="shared" si="10"/>
        <v>642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18669.650000000001</v>
      </c>
      <c r="AF69" s="17">
        <f t="shared" si="5"/>
        <v>0</v>
      </c>
    </row>
    <row r="70" spans="1:32" x14ac:dyDescent="0.25">
      <c r="A70" s="118"/>
      <c r="B70" s="174">
        <f t="shared" si="6"/>
        <v>73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2032.5000000000034</v>
      </c>
      <c r="J70" s="17">
        <f t="shared" si="3"/>
        <v>0</v>
      </c>
      <c r="L70" s="118"/>
      <c r="M70" s="174">
        <f t="shared" si="8"/>
        <v>354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10153.450000000001</v>
      </c>
      <c r="U70" s="17">
        <f t="shared" si="4"/>
        <v>0</v>
      </c>
      <c r="W70" s="118"/>
      <c r="X70" s="174">
        <f t="shared" si="10"/>
        <v>642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18669.650000000001</v>
      </c>
      <c r="AF70" s="17">
        <f t="shared" si="5"/>
        <v>0</v>
      </c>
    </row>
    <row r="71" spans="1:32" x14ac:dyDescent="0.25">
      <c r="A71" s="118"/>
      <c r="B71" s="174">
        <f t="shared" si="6"/>
        <v>73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2032.5000000000034</v>
      </c>
      <c r="J71" s="17">
        <f t="shared" si="3"/>
        <v>0</v>
      </c>
      <c r="L71" s="118"/>
      <c r="M71" s="174">
        <f t="shared" si="8"/>
        <v>354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10153.450000000001</v>
      </c>
      <c r="U71" s="17">
        <f t="shared" si="4"/>
        <v>0</v>
      </c>
      <c r="W71" s="118"/>
      <c r="X71" s="174">
        <f t="shared" si="10"/>
        <v>642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18669.650000000001</v>
      </c>
      <c r="AF71" s="17">
        <f t="shared" si="5"/>
        <v>0</v>
      </c>
    </row>
    <row r="72" spans="1:32" x14ac:dyDescent="0.25">
      <c r="A72" s="118"/>
      <c r="B72" s="174">
        <f t="shared" si="6"/>
        <v>73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2032.5000000000034</v>
      </c>
      <c r="J72" s="17">
        <f t="shared" si="3"/>
        <v>0</v>
      </c>
      <c r="L72" s="118"/>
      <c r="M72" s="174">
        <f t="shared" si="8"/>
        <v>354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10153.450000000001</v>
      </c>
      <c r="U72" s="17">
        <f t="shared" si="4"/>
        <v>0</v>
      </c>
      <c r="W72" s="118"/>
      <c r="X72" s="174">
        <f t="shared" si="10"/>
        <v>642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18669.650000000001</v>
      </c>
      <c r="AF72" s="17">
        <f t="shared" si="5"/>
        <v>0</v>
      </c>
    </row>
    <row r="73" spans="1:32" x14ac:dyDescent="0.25">
      <c r="A73" s="118"/>
      <c r="B73" s="174">
        <f t="shared" si="6"/>
        <v>73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2032.5000000000034</v>
      </c>
      <c r="J73" s="17">
        <f t="shared" si="3"/>
        <v>0</v>
      </c>
      <c r="L73" s="118"/>
      <c r="M73" s="174">
        <f t="shared" si="8"/>
        <v>354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10153.450000000001</v>
      </c>
      <c r="U73" s="17">
        <f t="shared" si="4"/>
        <v>0</v>
      </c>
      <c r="W73" s="118"/>
      <c r="X73" s="174">
        <f t="shared" si="10"/>
        <v>642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18669.650000000001</v>
      </c>
      <c r="AF73" s="17">
        <f t="shared" si="5"/>
        <v>0</v>
      </c>
    </row>
    <row r="74" spans="1:32" x14ac:dyDescent="0.25">
      <c r="A74" s="118"/>
      <c r="B74" s="174">
        <f t="shared" si="6"/>
        <v>73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2032.5000000000034</v>
      </c>
      <c r="J74" s="17">
        <f t="shared" si="3"/>
        <v>0</v>
      </c>
      <c r="L74" s="118"/>
      <c r="M74" s="174">
        <f t="shared" si="8"/>
        <v>354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10153.450000000001</v>
      </c>
      <c r="U74" s="17">
        <f t="shared" si="4"/>
        <v>0</v>
      </c>
      <c r="W74" s="118"/>
      <c r="X74" s="174">
        <f t="shared" si="10"/>
        <v>642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18669.650000000001</v>
      </c>
      <c r="AF74" s="17">
        <f t="shared" si="5"/>
        <v>0</v>
      </c>
    </row>
    <row r="75" spans="1:32" x14ac:dyDescent="0.25">
      <c r="A75" s="118"/>
      <c r="B75" s="174">
        <f t="shared" si="6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2032.5000000000034</v>
      </c>
      <c r="J75" s="17">
        <f t="shared" ref="J75:J77" si="15">F75*H75</f>
        <v>0</v>
      </c>
      <c r="L75" s="118"/>
      <c r="M75" s="174">
        <f t="shared" si="8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10153.450000000001</v>
      </c>
      <c r="U75" s="17">
        <f t="shared" ref="U75:U77" si="16">Q75*S75</f>
        <v>0</v>
      </c>
      <c r="W75" s="118"/>
      <c r="X75" s="174">
        <f t="shared" si="10"/>
        <v>642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18669.650000000001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2032.5000000000034</v>
      </c>
      <c r="J76" s="17">
        <f t="shared" si="15"/>
        <v>0</v>
      </c>
      <c r="L76" s="118"/>
      <c r="M76" s="174">
        <f t="shared" ref="M76" si="20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10153.450000000001</v>
      </c>
      <c r="U76" s="17">
        <f t="shared" si="16"/>
        <v>0</v>
      </c>
      <c r="W76" s="118"/>
      <c r="X76" s="174">
        <f t="shared" ref="X76" si="22">X75-Y76</f>
        <v>642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18669.650000000001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2032.5000000000034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10153.450000000001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18669.650000000001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  <c r="Z82" s="45" t="s">
        <v>4</v>
      </c>
      <c r="AA82" s="55">
        <f>AB5+AB6-Y79+AB7+AB4</f>
        <v>642</v>
      </c>
    </row>
    <row r="83" spans="3:28" ht="15.75" thickBot="1" x14ac:dyDescent="0.3"/>
    <row r="84" spans="3:28" ht="15.75" thickBot="1" x14ac:dyDescent="0.3">
      <c r="C84" s="1647" t="s">
        <v>11</v>
      </c>
      <c r="D84" s="1648"/>
      <c r="E84" s="56">
        <f>E5+E6-F79+E7+E4</f>
        <v>2032.500000000003</v>
      </c>
      <c r="F84" s="1113"/>
      <c r="N84" s="1647" t="s">
        <v>11</v>
      </c>
      <c r="O84" s="1648"/>
      <c r="P84" s="56">
        <f>P5+P6-Q79+P7+P4</f>
        <v>10153.450000000001</v>
      </c>
      <c r="Q84" s="1319"/>
      <c r="Y84" s="1647" t="s">
        <v>11</v>
      </c>
      <c r="Z84" s="1648"/>
      <c r="AA84" s="56">
        <f>AA5+AA6-AB79+AA7+AA4</f>
        <v>18669.650000000001</v>
      </c>
      <c r="AB84" s="1319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52"/>
      <c r="B5" s="1652"/>
      <c r="C5" s="216"/>
      <c r="D5" s="568"/>
      <c r="E5" s="633"/>
      <c r="F5" s="653"/>
      <c r="G5" s="5"/>
    </row>
    <row r="6" spans="1:10" x14ac:dyDescent="0.25">
      <c r="A6" s="1652"/>
      <c r="B6" s="1652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652"/>
      <c r="B7" s="957"/>
      <c r="C7" s="1133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84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34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47" t="s">
        <v>11</v>
      </c>
      <c r="D40" s="1648"/>
      <c r="E40" s="56">
        <f>E5+E6-F35+E7</f>
        <v>0</v>
      </c>
      <c r="F40" s="108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49" t="s">
        <v>52</v>
      </c>
      <c r="B5" s="1664" t="s">
        <v>88</v>
      </c>
      <c r="C5" s="216"/>
      <c r="D5" s="130"/>
      <c r="E5" s="77"/>
      <c r="F5" s="61"/>
      <c r="G5" s="5"/>
    </row>
    <row r="6" spans="1:9" x14ac:dyDescent="0.25">
      <c r="A6" s="1649"/>
      <c r="B6" s="1664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4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1"/>
      <c r="E34" s="1042"/>
      <c r="F34" s="1043"/>
      <c r="G34" s="1044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47" t="s">
        <v>11</v>
      </c>
      <c r="D40" s="164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49" t="s">
        <v>80</v>
      </c>
      <c r="B5" s="1665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649"/>
      <c r="B6" s="1665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647" t="s">
        <v>11</v>
      </c>
      <c r="D40" s="1648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666" t="s">
        <v>378</v>
      </c>
      <c r="C4" s="12">
        <v>58</v>
      </c>
      <c r="D4" s="1430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649" t="s">
        <v>52</v>
      </c>
      <c r="B5" s="1667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649"/>
      <c r="B6" s="1667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35"/>
      <c r="C34" s="1136"/>
      <c r="D34" s="1137"/>
      <c r="E34" s="1138"/>
      <c r="F34" s="1139"/>
      <c r="G34" s="1140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647" t="s">
        <v>11</v>
      </c>
      <c r="D40" s="1648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654"/>
      <c r="B5" s="1668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654"/>
      <c r="B6" s="1668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47" t="s">
        <v>11</v>
      </c>
      <c r="D40" s="164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13"/>
      <c r="G4" s="38"/>
    </row>
    <row r="5" spans="1:10" ht="15" customHeight="1" x14ac:dyDescent="0.25">
      <c r="A5" s="1649" t="s">
        <v>105</v>
      </c>
      <c r="B5" s="1668" t="s">
        <v>72</v>
      </c>
      <c r="C5" s="448">
        <v>62</v>
      </c>
      <c r="D5" s="501">
        <v>45163</v>
      </c>
      <c r="E5" s="449">
        <v>300</v>
      </c>
      <c r="F5" s="1112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649"/>
      <c r="B6" s="1669"/>
      <c r="C6" s="152"/>
      <c r="D6" s="145"/>
      <c r="E6" s="128"/>
      <c r="F6" s="1113"/>
    </row>
    <row r="7" spans="1:10" ht="16.5" customHeight="1" thickTop="1" thickBot="1" x14ac:dyDescent="0.3">
      <c r="A7" s="1113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86" t="s">
        <v>33</v>
      </c>
      <c r="B11" s="478">
        <f t="shared" si="2"/>
        <v>30</v>
      </c>
      <c r="C11" s="613"/>
      <c r="D11" s="555">
        <v>0</v>
      </c>
      <c r="E11" s="1184"/>
      <c r="F11" s="1185">
        <f t="shared" si="1"/>
        <v>0</v>
      </c>
      <c r="G11" s="1177"/>
      <c r="H11" s="1178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5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5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5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13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638" t="s">
        <v>21</v>
      </c>
      <c r="E38" s="1639"/>
      <c r="F38" s="137">
        <f>E4+E5-F36+E6</f>
        <v>300</v>
      </c>
    </row>
    <row r="39" spans="1:9" ht="15.75" thickBot="1" x14ac:dyDescent="0.3">
      <c r="A39" s="121"/>
      <c r="D39" s="1109" t="s">
        <v>4</v>
      </c>
      <c r="E39" s="1110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54"/>
      <c r="B6" s="1670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54"/>
      <c r="B7" s="1671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38" t="s">
        <v>21</v>
      </c>
      <c r="E43" s="1639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54"/>
      <c r="B5" s="167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54"/>
      <c r="B6" s="167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6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6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6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8" t="s">
        <v>21</v>
      </c>
      <c r="E31" s="163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C7" sqref="H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44" t="s">
        <v>305</v>
      </c>
      <c r="L1" s="1644"/>
      <c r="M1" s="1644"/>
      <c r="N1" s="1644"/>
      <c r="O1" s="1644"/>
      <c r="P1" s="1644"/>
      <c r="Q1" s="1644"/>
      <c r="R1" s="254">
        <f>I1+1</f>
        <v>1</v>
      </c>
      <c r="S1" s="254"/>
      <c r="U1" s="1642" t="s">
        <v>306</v>
      </c>
      <c r="V1" s="1642"/>
      <c r="W1" s="1642"/>
      <c r="X1" s="1642"/>
      <c r="Y1" s="1642"/>
      <c r="Z1" s="1642"/>
      <c r="AA1" s="1642"/>
      <c r="AB1" s="254">
        <f>R1+1</f>
        <v>2</v>
      </c>
      <c r="AC1" s="362"/>
      <c r="AE1" s="1642" t="str">
        <f>U1</f>
        <v xml:space="preserve">ENTRADA DEL MES DE  AGOSTO   2023 </v>
      </c>
      <c r="AF1" s="1642"/>
      <c r="AG1" s="1642"/>
      <c r="AH1" s="1642"/>
      <c r="AI1" s="1642"/>
      <c r="AJ1" s="1642"/>
      <c r="AK1" s="1642"/>
      <c r="AL1" s="254">
        <f>AB1+1</f>
        <v>3</v>
      </c>
      <c r="AM1" s="254"/>
      <c r="AO1" s="1642" t="str">
        <f>AE1</f>
        <v xml:space="preserve">ENTRADA DEL MES DE  AGOSTO   2023 </v>
      </c>
      <c r="AP1" s="1642"/>
      <c r="AQ1" s="1642"/>
      <c r="AR1" s="1642"/>
      <c r="AS1" s="1642"/>
      <c r="AT1" s="1642"/>
      <c r="AU1" s="1642"/>
      <c r="AV1" s="254">
        <f>AL1+1</f>
        <v>4</v>
      </c>
      <c r="AW1" s="362"/>
      <c r="AY1" s="1642" t="str">
        <f>AO1</f>
        <v xml:space="preserve">ENTRADA DEL MES DE  AGOSTO   2023 </v>
      </c>
      <c r="AZ1" s="1642"/>
      <c r="BA1" s="1642"/>
      <c r="BB1" s="1642"/>
      <c r="BC1" s="1642"/>
      <c r="BD1" s="1642"/>
      <c r="BE1" s="1642"/>
      <c r="BF1" s="254">
        <f>AV1+1</f>
        <v>5</v>
      </c>
      <c r="BG1" s="374"/>
      <c r="BI1" s="1642" t="str">
        <f>AY1</f>
        <v xml:space="preserve">ENTRADA DEL MES DE  AGOSTO   2023 </v>
      </c>
      <c r="BJ1" s="1642"/>
      <c r="BK1" s="1642"/>
      <c r="BL1" s="1642"/>
      <c r="BM1" s="1642"/>
      <c r="BN1" s="1642"/>
      <c r="BO1" s="1642"/>
      <c r="BP1" s="254">
        <f>BF1+1</f>
        <v>6</v>
      </c>
      <c r="BQ1" s="362"/>
      <c r="BS1" s="1642" t="str">
        <f>BI1</f>
        <v xml:space="preserve">ENTRADA DEL MES DE  AGOSTO   2023 </v>
      </c>
      <c r="BT1" s="1642"/>
      <c r="BU1" s="1642"/>
      <c r="BV1" s="1642"/>
      <c r="BW1" s="1642"/>
      <c r="BX1" s="1642"/>
      <c r="BY1" s="1642"/>
      <c r="BZ1" s="254">
        <f>BP1+1</f>
        <v>7</v>
      </c>
      <c r="CC1" s="1642" t="str">
        <f>BS1</f>
        <v xml:space="preserve">ENTRADA DEL MES DE  AGOSTO   2023 </v>
      </c>
      <c r="CD1" s="1642"/>
      <c r="CE1" s="1642"/>
      <c r="CF1" s="1642"/>
      <c r="CG1" s="1642"/>
      <c r="CH1" s="1642"/>
      <c r="CI1" s="1642"/>
      <c r="CJ1" s="254">
        <f>BZ1+1</f>
        <v>8</v>
      </c>
      <c r="CM1" s="1642" t="str">
        <f>CC1</f>
        <v xml:space="preserve">ENTRADA DEL MES DE  AGOSTO   2023 </v>
      </c>
      <c r="CN1" s="1642"/>
      <c r="CO1" s="1642"/>
      <c r="CP1" s="1642"/>
      <c r="CQ1" s="1642"/>
      <c r="CR1" s="1642"/>
      <c r="CS1" s="1642"/>
      <c r="CT1" s="254">
        <f>CJ1+1</f>
        <v>9</v>
      </c>
      <c r="CU1" s="362"/>
      <c r="CW1" s="1642" t="str">
        <f>CM1</f>
        <v xml:space="preserve">ENTRADA DEL MES DE  AGOSTO   2023 </v>
      </c>
      <c r="CX1" s="1642"/>
      <c r="CY1" s="1642"/>
      <c r="CZ1" s="1642"/>
      <c r="DA1" s="1642"/>
      <c r="DB1" s="1642"/>
      <c r="DC1" s="1642"/>
      <c r="DD1" s="254">
        <f>CT1+1</f>
        <v>10</v>
      </c>
      <c r="DE1" s="362"/>
      <c r="DG1" s="1642" t="str">
        <f>CW1</f>
        <v xml:space="preserve">ENTRADA DEL MES DE  AGOSTO   2023 </v>
      </c>
      <c r="DH1" s="1642"/>
      <c r="DI1" s="1642"/>
      <c r="DJ1" s="1642"/>
      <c r="DK1" s="1642"/>
      <c r="DL1" s="1642"/>
      <c r="DM1" s="1642"/>
      <c r="DN1" s="254">
        <f>DD1+1</f>
        <v>11</v>
      </c>
      <c r="DO1" s="362"/>
      <c r="DQ1" s="1642" t="str">
        <f>DG1</f>
        <v xml:space="preserve">ENTRADA DEL MES DE  AGOSTO   2023 </v>
      </c>
      <c r="DR1" s="1642"/>
      <c r="DS1" s="1642"/>
      <c r="DT1" s="1642"/>
      <c r="DU1" s="1642"/>
      <c r="DV1" s="1642"/>
      <c r="DW1" s="1642"/>
      <c r="DX1" s="254">
        <f>DN1+1</f>
        <v>12</v>
      </c>
      <c r="EA1" s="1642" t="str">
        <f>DQ1</f>
        <v xml:space="preserve">ENTRADA DEL MES DE  AGOSTO   2023 </v>
      </c>
      <c r="EB1" s="1642"/>
      <c r="EC1" s="1642"/>
      <c r="ED1" s="1642"/>
      <c r="EE1" s="1642"/>
      <c r="EF1" s="1642"/>
      <c r="EG1" s="1642"/>
      <c r="EH1" s="254">
        <f>DX1+1</f>
        <v>13</v>
      </c>
      <c r="EI1" s="362"/>
      <c r="EK1" s="1642" t="str">
        <f>EA1</f>
        <v xml:space="preserve">ENTRADA DEL MES DE  AGOSTO   2023 </v>
      </c>
      <c r="EL1" s="1642"/>
      <c r="EM1" s="1642"/>
      <c r="EN1" s="1642"/>
      <c r="EO1" s="1642"/>
      <c r="EP1" s="1642"/>
      <c r="EQ1" s="1642"/>
      <c r="ER1" s="254">
        <f>EH1+1</f>
        <v>14</v>
      </c>
      <c r="ES1" s="362"/>
      <c r="EU1" s="1642" t="str">
        <f>EK1</f>
        <v xml:space="preserve">ENTRADA DEL MES DE  AGOSTO   2023 </v>
      </c>
      <c r="EV1" s="1642"/>
      <c r="EW1" s="1642"/>
      <c r="EX1" s="1642"/>
      <c r="EY1" s="1642"/>
      <c r="EZ1" s="1642"/>
      <c r="FA1" s="1642"/>
      <c r="FB1" s="254">
        <f>ER1+1</f>
        <v>15</v>
      </c>
      <c r="FC1" s="362"/>
      <c r="FE1" s="1642" t="str">
        <f>EU1</f>
        <v xml:space="preserve">ENTRADA DEL MES DE  AGOSTO   2023 </v>
      </c>
      <c r="FF1" s="1642"/>
      <c r="FG1" s="1642"/>
      <c r="FH1" s="1642"/>
      <c r="FI1" s="1642"/>
      <c r="FJ1" s="1642"/>
      <c r="FK1" s="1642"/>
      <c r="FL1" s="254">
        <f>FB1+1</f>
        <v>16</v>
      </c>
      <c r="FM1" s="362"/>
      <c r="FO1" s="1642" t="str">
        <f>FE1</f>
        <v xml:space="preserve">ENTRADA DEL MES DE  AGOSTO   2023 </v>
      </c>
      <c r="FP1" s="1642"/>
      <c r="FQ1" s="1642"/>
      <c r="FR1" s="1642"/>
      <c r="FS1" s="1642"/>
      <c r="FT1" s="1642"/>
      <c r="FU1" s="1642"/>
      <c r="FV1" s="254">
        <f>FL1+1</f>
        <v>17</v>
      </c>
      <c r="FW1" s="362"/>
      <c r="FY1" s="1642" t="str">
        <f>FO1</f>
        <v xml:space="preserve">ENTRADA DEL MES DE  AGOSTO   2023 </v>
      </c>
      <c r="FZ1" s="1642"/>
      <c r="GA1" s="1642"/>
      <c r="GB1" s="1642"/>
      <c r="GC1" s="1642"/>
      <c r="GD1" s="1642"/>
      <c r="GE1" s="1642"/>
      <c r="GF1" s="254">
        <f>FV1+1</f>
        <v>18</v>
      </c>
      <c r="GG1" s="362"/>
      <c r="GH1" s="74" t="s">
        <v>37</v>
      </c>
      <c r="GI1" s="1642" t="str">
        <f>FY1</f>
        <v xml:space="preserve">ENTRADA DEL MES DE  AGOSTO   2023 </v>
      </c>
      <c r="GJ1" s="1642"/>
      <c r="GK1" s="1642"/>
      <c r="GL1" s="1642"/>
      <c r="GM1" s="1642"/>
      <c r="GN1" s="1642"/>
      <c r="GO1" s="1642"/>
      <c r="GP1" s="254">
        <f>GF1+1</f>
        <v>19</v>
      </c>
      <c r="GQ1" s="362"/>
      <c r="GS1" s="1642" t="str">
        <f>GI1</f>
        <v xml:space="preserve">ENTRADA DEL MES DE  AGOSTO   2023 </v>
      </c>
      <c r="GT1" s="1642"/>
      <c r="GU1" s="1642"/>
      <c r="GV1" s="1642"/>
      <c r="GW1" s="1642"/>
      <c r="GX1" s="1642"/>
      <c r="GY1" s="1642"/>
      <c r="GZ1" s="254">
        <f>GP1+1</f>
        <v>20</v>
      </c>
      <c r="HA1" s="362"/>
      <c r="HC1" s="1642" t="str">
        <f>GS1</f>
        <v xml:space="preserve">ENTRADA DEL MES DE  AGOSTO   2023 </v>
      </c>
      <c r="HD1" s="1642"/>
      <c r="HE1" s="1642"/>
      <c r="HF1" s="1642"/>
      <c r="HG1" s="1642"/>
      <c r="HH1" s="1642"/>
      <c r="HI1" s="1642"/>
      <c r="HJ1" s="254">
        <f>GZ1+1</f>
        <v>21</v>
      </c>
      <c r="HK1" s="362"/>
      <c r="HM1" s="1642" t="str">
        <f>HC1</f>
        <v xml:space="preserve">ENTRADA DEL MES DE  AGOSTO   2023 </v>
      </c>
      <c r="HN1" s="1642"/>
      <c r="HO1" s="1642"/>
      <c r="HP1" s="1642"/>
      <c r="HQ1" s="1642"/>
      <c r="HR1" s="1642"/>
      <c r="HS1" s="1642"/>
      <c r="HT1" s="254">
        <f>HJ1+1</f>
        <v>22</v>
      </c>
      <c r="HU1" s="362"/>
      <c r="HW1" s="1642" t="str">
        <f>HM1</f>
        <v xml:space="preserve">ENTRADA DEL MES DE  AGOSTO   2023 </v>
      </c>
      <c r="HX1" s="1642"/>
      <c r="HY1" s="1642"/>
      <c r="HZ1" s="1642"/>
      <c r="IA1" s="1642"/>
      <c r="IB1" s="1642"/>
      <c r="IC1" s="1642"/>
      <c r="ID1" s="254">
        <f>HT1+1</f>
        <v>23</v>
      </c>
      <c r="IE1" s="362"/>
      <c r="IG1" s="1642" t="str">
        <f>HW1</f>
        <v xml:space="preserve">ENTRADA DEL MES DE  AGOSTO   2023 </v>
      </c>
      <c r="IH1" s="1642"/>
      <c r="II1" s="1642"/>
      <c r="IJ1" s="1642"/>
      <c r="IK1" s="1642"/>
      <c r="IL1" s="1642"/>
      <c r="IM1" s="1642"/>
      <c r="IN1" s="254">
        <f>ID1+1</f>
        <v>24</v>
      </c>
      <c r="IO1" s="362"/>
      <c r="IQ1" s="1642" t="str">
        <f>IG1</f>
        <v xml:space="preserve">ENTRADA DEL MES DE  AGOSTO   2023 </v>
      </c>
      <c r="IR1" s="1642"/>
      <c r="IS1" s="1642"/>
      <c r="IT1" s="1642"/>
      <c r="IU1" s="1642"/>
      <c r="IV1" s="1642"/>
      <c r="IW1" s="1642"/>
      <c r="IX1" s="254">
        <f>IN1+1</f>
        <v>25</v>
      </c>
      <c r="IY1" s="362"/>
      <c r="JA1" s="1642" t="str">
        <f>IQ1</f>
        <v xml:space="preserve">ENTRADA DEL MES DE  AGOSTO   2023 </v>
      </c>
      <c r="JB1" s="1642"/>
      <c r="JC1" s="1642"/>
      <c r="JD1" s="1642"/>
      <c r="JE1" s="1642"/>
      <c r="JF1" s="1642"/>
      <c r="JG1" s="1642"/>
      <c r="JH1" s="254">
        <f>IX1+1</f>
        <v>26</v>
      </c>
      <c r="JI1" s="362"/>
      <c r="JK1" s="1643" t="str">
        <f>JA1</f>
        <v xml:space="preserve">ENTRADA DEL MES DE  AGOSTO   2023 </v>
      </c>
      <c r="JL1" s="1643"/>
      <c r="JM1" s="1643"/>
      <c r="JN1" s="1643"/>
      <c r="JO1" s="1643"/>
      <c r="JP1" s="1643"/>
      <c r="JQ1" s="1643"/>
      <c r="JR1" s="254">
        <f>JH1+1</f>
        <v>27</v>
      </c>
      <c r="JS1" s="362"/>
      <c r="JU1" s="1642" t="str">
        <f>JK1</f>
        <v xml:space="preserve">ENTRADA DEL MES DE  AGOSTO   2023 </v>
      </c>
      <c r="JV1" s="1642"/>
      <c r="JW1" s="1642"/>
      <c r="JX1" s="1642"/>
      <c r="JY1" s="1642"/>
      <c r="JZ1" s="1642"/>
      <c r="KA1" s="1642"/>
      <c r="KB1" s="254">
        <f>JR1+1</f>
        <v>28</v>
      </c>
      <c r="KC1" s="362"/>
      <c r="KE1" s="1642" t="str">
        <f>JU1</f>
        <v xml:space="preserve">ENTRADA DEL MES DE  AGOSTO   2023 </v>
      </c>
      <c r="KF1" s="1642"/>
      <c r="KG1" s="1642"/>
      <c r="KH1" s="1642"/>
      <c r="KI1" s="1642"/>
      <c r="KJ1" s="1642"/>
      <c r="KK1" s="1642"/>
      <c r="KL1" s="254">
        <f>KB1+1</f>
        <v>29</v>
      </c>
      <c r="KM1" s="362"/>
      <c r="KO1" s="1642" t="str">
        <f>KE1</f>
        <v xml:space="preserve">ENTRADA DEL MES DE  AGOSTO   2023 </v>
      </c>
      <c r="KP1" s="1642"/>
      <c r="KQ1" s="1642"/>
      <c r="KR1" s="1642"/>
      <c r="KS1" s="1642"/>
      <c r="KT1" s="1642"/>
      <c r="KU1" s="1642"/>
      <c r="KV1" s="254">
        <f>KL1+1</f>
        <v>30</v>
      </c>
      <c r="KW1" s="362"/>
      <c r="KY1" s="1642" t="str">
        <f>KO1</f>
        <v xml:space="preserve">ENTRADA DEL MES DE  AGOSTO   2023 </v>
      </c>
      <c r="KZ1" s="1642"/>
      <c r="LA1" s="1642"/>
      <c r="LB1" s="1642"/>
      <c r="LC1" s="1642"/>
      <c r="LD1" s="1642"/>
      <c r="LE1" s="1642"/>
      <c r="LF1" s="254">
        <f>KV1+1</f>
        <v>31</v>
      </c>
      <c r="LG1" s="362"/>
      <c r="LI1" s="1642" t="str">
        <f>KY1</f>
        <v xml:space="preserve">ENTRADA DEL MES DE  AGOSTO   2023 </v>
      </c>
      <c r="LJ1" s="1642"/>
      <c r="LK1" s="1642"/>
      <c r="LL1" s="1642"/>
      <c r="LM1" s="1642"/>
      <c r="LN1" s="1642"/>
      <c r="LO1" s="1642"/>
      <c r="LP1" s="254">
        <f>LF1+1</f>
        <v>32</v>
      </c>
      <c r="LQ1" s="362"/>
      <c r="LS1" s="1642" t="str">
        <f>LI1</f>
        <v xml:space="preserve">ENTRADA DEL MES DE  AGOSTO   2023 </v>
      </c>
      <c r="LT1" s="1642"/>
      <c r="LU1" s="1642"/>
      <c r="LV1" s="1642"/>
      <c r="LW1" s="1642"/>
      <c r="LX1" s="1642"/>
      <c r="LY1" s="1642"/>
      <c r="LZ1" s="254">
        <f>LP1+1</f>
        <v>33</v>
      </c>
      <c r="MC1" s="1642" t="str">
        <f>LS1</f>
        <v xml:space="preserve">ENTRADA DEL MES DE  AGOSTO   2023 </v>
      </c>
      <c r="MD1" s="1642"/>
      <c r="ME1" s="1642"/>
      <c r="MF1" s="1642"/>
      <c r="MG1" s="1642"/>
      <c r="MH1" s="1642"/>
      <c r="MI1" s="1642"/>
      <c r="MJ1" s="254">
        <f>LZ1+1</f>
        <v>34</v>
      </c>
      <c r="MK1" s="254"/>
      <c r="MM1" s="1642" t="str">
        <f>MC1</f>
        <v xml:space="preserve">ENTRADA DEL MES DE  AGOSTO   2023 </v>
      </c>
      <c r="MN1" s="1642"/>
      <c r="MO1" s="1642"/>
      <c r="MP1" s="1642"/>
      <c r="MQ1" s="1642"/>
      <c r="MR1" s="1642"/>
      <c r="MS1" s="1642"/>
      <c r="MT1" s="254">
        <f>MJ1+1</f>
        <v>35</v>
      </c>
      <c r="MU1" s="254"/>
      <c r="MW1" s="1642" t="str">
        <f>MM1</f>
        <v xml:space="preserve">ENTRADA DEL MES DE  AGOSTO   2023 </v>
      </c>
      <c r="MX1" s="1642"/>
      <c r="MY1" s="1642"/>
      <c r="MZ1" s="1642"/>
      <c r="NA1" s="1642"/>
      <c r="NB1" s="1642"/>
      <c r="NC1" s="1642"/>
      <c r="ND1" s="254">
        <f>MT1+1</f>
        <v>36</v>
      </c>
      <c r="NE1" s="254"/>
      <c r="NG1" s="1642" t="str">
        <f>MW1</f>
        <v xml:space="preserve">ENTRADA DEL MES DE  AGOSTO   2023 </v>
      </c>
      <c r="NH1" s="1642"/>
      <c r="NI1" s="1642"/>
      <c r="NJ1" s="1642"/>
      <c r="NK1" s="1642"/>
      <c r="NL1" s="1642"/>
      <c r="NM1" s="1642"/>
      <c r="NN1" s="254">
        <f>ND1+1</f>
        <v>37</v>
      </c>
      <c r="NO1" s="254"/>
      <c r="NQ1" s="1642" t="str">
        <f>NG1</f>
        <v xml:space="preserve">ENTRADA DEL MES DE  AGOSTO   2023 </v>
      </c>
      <c r="NR1" s="1642"/>
      <c r="NS1" s="1642"/>
      <c r="NT1" s="1642"/>
      <c r="NU1" s="1642"/>
      <c r="NV1" s="1642"/>
      <c r="NW1" s="1642"/>
      <c r="NX1" s="254">
        <f>NN1+1</f>
        <v>38</v>
      </c>
      <c r="NY1" s="254"/>
      <c r="OA1" s="1642" t="str">
        <f>NQ1</f>
        <v xml:space="preserve">ENTRADA DEL MES DE  AGOSTO   2023 </v>
      </c>
      <c r="OB1" s="1642"/>
      <c r="OC1" s="1642"/>
      <c r="OD1" s="1642"/>
      <c r="OE1" s="1642"/>
      <c r="OF1" s="1642"/>
      <c r="OG1" s="1642"/>
      <c r="OH1" s="254">
        <f>NX1+1</f>
        <v>39</v>
      </c>
      <c r="OI1" s="254"/>
      <c r="OK1" s="1642" t="str">
        <f>OA1</f>
        <v xml:space="preserve">ENTRADA DEL MES DE  AGOSTO   2023 </v>
      </c>
      <c r="OL1" s="1642"/>
      <c r="OM1" s="1642"/>
      <c r="ON1" s="1642"/>
      <c r="OO1" s="1642"/>
      <c r="OP1" s="1642"/>
      <c r="OQ1" s="1642"/>
      <c r="OR1" s="254">
        <f>OH1+1</f>
        <v>40</v>
      </c>
      <c r="OS1" s="254"/>
      <c r="OU1" s="1642" t="str">
        <f>OK1</f>
        <v xml:space="preserve">ENTRADA DEL MES DE  AGOSTO   2023 </v>
      </c>
      <c r="OV1" s="1642"/>
      <c r="OW1" s="1642"/>
      <c r="OX1" s="1642"/>
      <c r="OY1" s="1642"/>
      <c r="OZ1" s="1642"/>
      <c r="PA1" s="1642"/>
      <c r="PB1" s="254">
        <f>OR1+1</f>
        <v>41</v>
      </c>
      <c r="PC1" s="254"/>
      <c r="PE1" s="1642" t="str">
        <f>OU1</f>
        <v xml:space="preserve">ENTRADA DEL MES DE  AGOSTO   2023 </v>
      </c>
      <c r="PF1" s="1642"/>
      <c r="PG1" s="1642"/>
      <c r="PH1" s="1642"/>
      <c r="PI1" s="1642"/>
      <c r="PJ1" s="1642"/>
      <c r="PK1" s="1642"/>
      <c r="PL1" s="254">
        <f>PB1+1</f>
        <v>42</v>
      </c>
      <c r="PM1" s="254"/>
      <c r="PN1" s="254"/>
      <c r="PP1" s="1642" t="str">
        <f>PE1</f>
        <v xml:space="preserve">ENTRADA DEL MES DE  AGOSTO   2023 </v>
      </c>
      <c r="PQ1" s="1642"/>
      <c r="PR1" s="1642"/>
      <c r="PS1" s="1642"/>
      <c r="PT1" s="1642"/>
      <c r="PU1" s="1642"/>
      <c r="PV1" s="1642"/>
      <c r="PW1" s="254">
        <f>PL1+1</f>
        <v>43</v>
      </c>
      <c r="PX1" s="254"/>
      <c r="PZ1" s="1642" t="str">
        <f>PP1</f>
        <v xml:space="preserve">ENTRADA DEL MES DE  AGOSTO   2023 </v>
      </c>
      <c r="QA1" s="1642"/>
      <c r="QB1" s="1642"/>
      <c r="QC1" s="1642"/>
      <c r="QD1" s="1642"/>
      <c r="QE1" s="1642"/>
      <c r="QF1" s="1642"/>
      <c r="QG1" s="254">
        <f>PW1+1</f>
        <v>44</v>
      </c>
      <c r="QH1" s="254"/>
      <c r="QJ1" s="1642" t="str">
        <f>PZ1</f>
        <v xml:space="preserve">ENTRADA DEL MES DE  AGOSTO   2023 </v>
      </c>
      <c r="QK1" s="1642"/>
      <c r="QL1" s="1642"/>
      <c r="QM1" s="1642"/>
      <c r="QN1" s="1642"/>
      <c r="QO1" s="1642"/>
      <c r="QP1" s="1642"/>
      <c r="QQ1" s="254">
        <f>QG1+1</f>
        <v>45</v>
      </c>
      <c r="QR1" s="254"/>
      <c r="QT1" s="1642" t="str">
        <f>QJ1</f>
        <v xml:space="preserve">ENTRADA DEL MES DE  AGOSTO   2023 </v>
      </c>
      <c r="QU1" s="1642"/>
      <c r="QV1" s="1642"/>
      <c r="QW1" s="1642"/>
      <c r="QX1" s="1642"/>
      <c r="QY1" s="1642"/>
      <c r="QZ1" s="1642"/>
      <c r="RA1" s="254">
        <f>QQ1+1</f>
        <v>46</v>
      </c>
      <c r="RB1" s="254"/>
      <c r="RD1" s="1642" t="str">
        <f>QT1</f>
        <v xml:space="preserve">ENTRADA DEL MES DE  AGOSTO   2023 </v>
      </c>
      <c r="RE1" s="1642"/>
      <c r="RF1" s="1642"/>
      <c r="RG1" s="1642"/>
      <c r="RH1" s="1642"/>
      <c r="RI1" s="1642"/>
      <c r="RJ1" s="1642"/>
      <c r="RK1" s="254">
        <f>RA1+1</f>
        <v>47</v>
      </c>
      <c r="RL1" s="254"/>
      <c r="RN1" s="1642" t="str">
        <f>RD1</f>
        <v xml:space="preserve">ENTRADA DEL MES DE  AGOSTO   2023 </v>
      </c>
      <c r="RO1" s="1642"/>
      <c r="RP1" s="1642"/>
      <c r="RQ1" s="1642"/>
      <c r="RR1" s="1642"/>
      <c r="RS1" s="1642"/>
      <c r="RT1" s="1642"/>
      <c r="RU1" s="254">
        <f>RK1+1</f>
        <v>48</v>
      </c>
      <c r="RV1" s="254"/>
      <c r="RX1" s="1642" t="str">
        <f>RN1</f>
        <v xml:space="preserve">ENTRADA DEL MES DE  AGOSTO   2023 </v>
      </c>
      <c r="RY1" s="1642"/>
      <c r="RZ1" s="1642"/>
      <c r="SA1" s="1642"/>
      <c r="SB1" s="1642"/>
      <c r="SC1" s="1642"/>
      <c r="SD1" s="1642"/>
      <c r="SE1" s="254">
        <f>RU1+1</f>
        <v>49</v>
      </c>
      <c r="SF1" s="254"/>
      <c r="SH1" s="1642" t="str">
        <f>RX1</f>
        <v xml:space="preserve">ENTRADA DEL MES DE  AGOSTO   2023 </v>
      </c>
      <c r="SI1" s="1642"/>
      <c r="SJ1" s="1642"/>
      <c r="SK1" s="1642"/>
      <c r="SL1" s="1642"/>
      <c r="SM1" s="1642"/>
      <c r="SN1" s="1642"/>
      <c r="SO1" s="254">
        <f>SE1+1</f>
        <v>50</v>
      </c>
      <c r="SP1" s="254"/>
      <c r="SR1" s="1642" t="str">
        <f>SH1</f>
        <v xml:space="preserve">ENTRADA DEL MES DE  AGOSTO   2023 </v>
      </c>
      <c r="SS1" s="1642"/>
      <c r="ST1" s="1642"/>
      <c r="SU1" s="1642"/>
      <c r="SV1" s="1642"/>
      <c r="SW1" s="1642"/>
      <c r="SX1" s="1642"/>
      <c r="SY1" s="254">
        <f>SO1+1</f>
        <v>51</v>
      </c>
      <c r="SZ1" s="254"/>
      <c r="TB1" s="1642" t="str">
        <f>SR1</f>
        <v xml:space="preserve">ENTRADA DEL MES DE  AGOSTO   2023 </v>
      </c>
      <c r="TC1" s="1642"/>
      <c r="TD1" s="1642"/>
      <c r="TE1" s="1642"/>
      <c r="TF1" s="1642"/>
      <c r="TG1" s="1642"/>
      <c r="TH1" s="1642"/>
      <c r="TI1" s="254">
        <f>SY1+1</f>
        <v>52</v>
      </c>
      <c r="TJ1" s="254"/>
      <c r="TL1" s="1642" t="str">
        <f>TB1</f>
        <v xml:space="preserve">ENTRADA DEL MES DE  AGOSTO   2023 </v>
      </c>
      <c r="TM1" s="1642"/>
      <c r="TN1" s="1642"/>
      <c r="TO1" s="1642"/>
      <c r="TP1" s="1642"/>
      <c r="TQ1" s="1642"/>
      <c r="TR1" s="1642"/>
      <c r="TS1" s="254">
        <f>TI1+1</f>
        <v>53</v>
      </c>
      <c r="TT1" s="254"/>
      <c r="TV1" s="1642" t="str">
        <f>TL1</f>
        <v xml:space="preserve">ENTRADA DEL MES DE  AGOSTO   2023 </v>
      </c>
      <c r="TW1" s="1642"/>
      <c r="TX1" s="1642"/>
      <c r="TY1" s="1642"/>
      <c r="TZ1" s="1642"/>
      <c r="UA1" s="1642"/>
      <c r="UB1" s="1642"/>
      <c r="UC1" s="254">
        <f>TS1+1</f>
        <v>54</v>
      </c>
      <c r="UE1" s="1642" t="str">
        <f>TV1</f>
        <v xml:space="preserve">ENTRADA DEL MES DE  AGOSTO   2023 </v>
      </c>
      <c r="UF1" s="1642"/>
      <c r="UG1" s="1642"/>
      <c r="UH1" s="1642"/>
      <c r="UI1" s="1642"/>
      <c r="UJ1" s="1642"/>
      <c r="UK1" s="1642"/>
      <c r="UL1" s="254">
        <f>UC1+1</f>
        <v>55</v>
      </c>
      <c r="UN1" s="1642" t="str">
        <f>UE1</f>
        <v xml:space="preserve">ENTRADA DEL MES DE  AGOSTO   2023 </v>
      </c>
      <c r="UO1" s="1642"/>
      <c r="UP1" s="1642"/>
      <c r="UQ1" s="1642"/>
      <c r="UR1" s="1642"/>
      <c r="US1" s="1642"/>
      <c r="UT1" s="1642"/>
      <c r="UU1" s="254">
        <f>UL1+1</f>
        <v>56</v>
      </c>
      <c r="UW1" s="1642" t="str">
        <f>UN1</f>
        <v xml:space="preserve">ENTRADA DEL MES DE  AGOSTO   2023 </v>
      </c>
      <c r="UX1" s="1642"/>
      <c r="UY1" s="1642"/>
      <c r="UZ1" s="1642"/>
      <c r="VA1" s="1642"/>
      <c r="VB1" s="1642"/>
      <c r="VC1" s="1642"/>
      <c r="VD1" s="254">
        <f>UU1+1</f>
        <v>57</v>
      </c>
      <c r="VF1" s="1642" t="str">
        <f>UW1</f>
        <v xml:space="preserve">ENTRADA DEL MES DE  AGOSTO   2023 </v>
      </c>
      <c r="VG1" s="1642"/>
      <c r="VH1" s="1642"/>
      <c r="VI1" s="1642"/>
      <c r="VJ1" s="1642"/>
      <c r="VK1" s="1642"/>
      <c r="VL1" s="1642"/>
      <c r="VM1" s="254">
        <f>VD1+1</f>
        <v>58</v>
      </c>
      <c r="VO1" s="1642" t="str">
        <f>VF1</f>
        <v xml:space="preserve">ENTRADA DEL MES DE  AGOSTO   2023 </v>
      </c>
      <c r="VP1" s="1642"/>
      <c r="VQ1" s="1642"/>
      <c r="VR1" s="1642"/>
      <c r="VS1" s="1642"/>
      <c r="VT1" s="1642"/>
      <c r="VU1" s="1642"/>
      <c r="VV1" s="254">
        <f>VM1+1</f>
        <v>59</v>
      </c>
      <c r="VX1" s="1642" t="str">
        <f>VO1</f>
        <v xml:space="preserve">ENTRADA DEL MES DE  AGOSTO   2023 </v>
      </c>
      <c r="VY1" s="1642"/>
      <c r="VZ1" s="1642"/>
      <c r="WA1" s="1642"/>
      <c r="WB1" s="1642"/>
      <c r="WC1" s="1642"/>
      <c r="WD1" s="1642"/>
      <c r="WE1" s="254">
        <f>VV1+1</f>
        <v>60</v>
      </c>
      <c r="WG1" s="1642" t="str">
        <f>VX1</f>
        <v xml:space="preserve">ENTRADA DEL MES DE  AGOSTO   2023 </v>
      </c>
      <c r="WH1" s="1642"/>
      <c r="WI1" s="1642"/>
      <c r="WJ1" s="1642"/>
      <c r="WK1" s="1642"/>
      <c r="WL1" s="1642"/>
      <c r="WM1" s="1642"/>
      <c r="WN1" s="254">
        <f>WE1+1</f>
        <v>61</v>
      </c>
      <c r="WP1" s="1642" t="str">
        <f>WG1</f>
        <v xml:space="preserve">ENTRADA DEL MES DE  AGOSTO   2023 </v>
      </c>
      <c r="WQ1" s="1642"/>
      <c r="WR1" s="1642"/>
      <c r="WS1" s="1642"/>
      <c r="WT1" s="1642"/>
      <c r="WU1" s="1642"/>
      <c r="WV1" s="1642"/>
      <c r="WW1" s="254">
        <f>WN1+1</f>
        <v>62</v>
      </c>
      <c r="WY1" s="1642" t="str">
        <f>WP1</f>
        <v xml:space="preserve">ENTRADA DEL MES DE  AGOSTO   2023 </v>
      </c>
      <c r="WZ1" s="1642"/>
      <c r="XA1" s="1642"/>
      <c r="XB1" s="1642"/>
      <c r="XC1" s="1642"/>
      <c r="XD1" s="1642"/>
      <c r="XE1" s="1642"/>
      <c r="XF1" s="254">
        <f>WW1+1</f>
        <v>63</v>
      </c>
      <c r="XH1" s="1642" t="str">
        <f>WY1</f>
        <v xml:space="preserve">ENTRADA DEL MES DE  AGOSTO   2023 </v>
      </c>
      <c r="XI1" s="1642"/>
      <c r="XJ1" s="1642"/>
      <c r="XK1" s="1642"/>
      <c r="XL1" s="1642"/>
      <c r="XM1" s="1642"/>
      <c r="XN1" s="1642"/>
      <c r="XO1" s="254">
        <f>XF1+1</f>
        <v>64</v>
      </c>
      <c r="XQ1" s="1642" t="str">
        <f>XH1</f>
        <v xml:space="preserve">ENTRADA DEL MES DE  AGOSTO   2023 </v>
      </c>
      <c r="XR1" s="1642"/>
      <c r="XS1" s="1642"/>
      <c r="XT1" s="1642"/>
      <c r="XU1" s="1642"/>
      <c r="XV1" s="1642"/>
      <c r="XW1" s="1642"/>
      <c r="XX1" s="254">
        <f>XO1+1</f>
        <v>65</v>
      </c>
      <c r="XZ1" s="1642" t="str">
        <f>XQ1</f>
        <v xml:space="preserve">ENTRADA DEL MES DE  AGOSTO   2023 </v>
      </c>
      <c r="YA1" s="1642"/>
      <c r="YB1" s="1642"/>
      <c r="YC1" s="1642"/>
      <c r="YD1" s="1642"/>
      <c r="YE1" s="1642"/>
      <c r="YF1" s="1642"/>
      <c r="YG1" s="254">
        <f>XX1+1</f>
        <v>66</v>
      </c>
      <c r="YI1" s="1642" t="str">
        <f>XZ1</f>
        <v xml:space="preserve">ENTRADA DEL MES DE  AGOSTO   2023 </v>
      </c>
      <c r="YJ1" s="1642"/>
      <c r="YK1" s="1642"/>
      <c r="YL1" s="1642"/>
      <c r="YM1" s="1642"/>
      <c r="YN1" s="1642"/>
      <c r="YO1" s="1642"/>
      <c r="YP1" s="254">
        <f>YG1+1</f>
        <v>67</v>
      </c>
      <c r="YR1" s="1642" t="str">
        <f>YI1</f>
        <v xml:space="preserve">ENTRADA DEL MES DE  AGOSTO   2023 </v>
      </c>
      <c r="YS1" s="1642"/>
      <c r="YT1" s="1642"/>
      <c r="YU1" s="1642"/>
      <c r="YV1" s="1642"/>
      <c r="YW1" s="1642"/>
      <c r="YX1" s="1642"/>
      <c r="YY1" s="254">
        <f>YP1+1</f>
        <v>68</v>
      </c>
      <c r="ZA1" s="1642" t="str">
        <f>YR1</f>
        <v xml:space="preserve">ENTRADA DEL MES DE  AGOSTO   2023 </v>
      </c>
      <c r="ZB1" s="1642"/>
      <c r="ZC1" s="1642"/>
      <c r="ZD1" s="1642"/>
      <c r="ZE1" s="1642"/>
      <c r="ZF1" s="1642"/>
      <c r="ZG1" s="1642"/>
      <c r="ZH1" s="254">
        <f>YY1+1</f>
        <v>69</v>
      </c>
      <c r="ZJ1" s="1642" t="str">
        <f>ZA1</f>
        <v xml:space="preserve">ENTRADA DEL MES DE  AGOSTO   2023 </v>
      </c>
      <c r="ZK1" s="1642"/>
      <c r="ZL1" s="1642"/>
      <c r="ZM1" s="1642"/>
      <c r="ZN1" s="1642"/>
      <c r="ZO1" s="1642"/>
      <c r="ZP1" s="1642"/>
      <c r="ZQ1" s="254">
        <f>ZH1+1</f>
        <v>70</v>
      </c>
      <c r="ZS1" s="1642" t="str">
        <f>ZJ1</f>
        <v xml:space="preserve">ENTRADA DEL MES DE  AGOSTO   2023 </v>
      </c>
      <c r="ZT1" s="1642"/>
      <c r="ZU1" s="1642"/>
      <c r="ZV1" s="1642"/>
      <c r="ZW1" s="1642"/>
      <c r="ZX1" s="1642"/>
      <c r="ZY1" s="1642"/>
      <c r="ZZ1" s="254">
        <f>ZQ1+1</f>
        <v>71</v>
      </c>
      <c r="AAB1" s="1642" t="str">
        <f>ZS1</f>
        <v xml:space="preserve">ENTRADA DEL MES DE  AGOSTO   2023 </v>
      </c>
      <c r="AAC1" s="1642"/>
      <c r="AAD1" s="1642"/>
      <c r="AAE1" s="1642"/>
      <c r="AAF1" s="1642"/>
      <c r="AAG1" s="1642"/>
      <c r="AAH1" s="1642"/>
      <c r="AAI1" s="254">
        <f>ZZ1+1</f>
        <v>72</v>
      </c>
      <c r="AAK1" s="1642" t="str">
        <f>AAB1</f>
        <v xml:space="preserve">ENTRADA DEL MES DE  AGOSTO   2023 </v>
      </c>
      <c r="AAL1" s="1642"/>
      <c r="AAM1" s="1642"/>
      <c r="AAN1" s="1642"/>
      <c r="AAO1" s="1642"/>
      <c r="AAP1" s="1642"/>
      <c r="AAQ1" s="1642"/>
      <c r="AAR1" s="254">
        <f>AAI1+1</f>
        <v>73</v>
      </c>
      <c r="AAT1" s="1642" t="str">
        <f>AAK1</f>
        <v xml:space="preserve">ENTRADA DEL MES DE  AGOSTO   2023 </v>
      </c>
      <c r="AAU1" s="1642"/>
      <c r="AAV1" s="1642"/>
      <c r="AAW1" s="1642"/>
      <c r="AAX1" s="1642"/>
      <c r="AAY1" s="1642"/>
      <c r="AAZ1" s="1642"/>
      <c r="ABA1" s="254">
        <f>AAR1+1</f>
        <v>74</v>
      </c>
      <c r="ABC1" s="1642" t="str">
        <f>AAT1</f>
        <v xml:space="preserve">ENTRADA DEL MES DE  AGOSTO   2023 </v>
      </c>
      <c r="ABD1" s="1642"/>
      <c r="ABE1" s="1642"/>
      <c r="ABF1" s="1642"/>
      <c r="ABG1" s="1642"/>
      <c r="ABH1" s="1642"/>
      <c r="ABI1" s="1642"/>
      <c r="ABJ1" s="254">
        <f>ABA1+1</f>
        <v>75</v>
      </c>
      <c r="ABL1" s="1642" t="str">
        <f>ABC1</f>
        <v xml:space="preserve">ENTRADA DEL MES DE  AGOSTO   2023 </v>
      </c>
      <c r="ABM1" s="1642"/>
      <c r="ABN1" s="1642"/>
      <c r="ABO1" s="1642"/>
      <c r="ABP1" s="1642"/>
      <c r="ABQ1" s="1642"/>
      <c r="ABR1" s="1642"/>
      <c r="ABS1" s="254">
        <f>ABJ1+1</f>
        <v>76</v>
      </c>
      <c r="ABU1" s="1642" t="str">
        <f>ABL1</f>
        <v xml:space="preserve">ENTRADA DEL MES DE  AGOSTO   2023 </v>
      </c>
      <c r="ABV1" s="1642"/>
      <c r="ABW1" s="1642"/>
      <c r="ABX1" s="1642"/>
      <c r="ABY1" s="1642"/>
      <c r="ABZ1" s="1642"/>
      <c r="ACA1" s="1642"/>
      <c r="ACB1" s="254">
        <f>ABS1+1</f>
        <v>77</v>
      </c>
      <c r="ACD1" s="1642" t="str">
        <f>ABU1</f>
        <v xml:space="preserve">ENTRADA DEL MES DE  AGOSTO   2023 </v>
      </c>
      <c r="ACE1" s="1642"/>
      <c r="ACF1" s="1642"/>
      <c r="ACG1" s="1642"/>
      <c r="ACH1" s="1642"/>
      <c r="ACI1" s="1642"/>
      <c r="ACJ1" s="1642"/>
      <c r="ACK1" s="254">
        <f>ACB1+1</f>
        <v>78</v>
      </c>
      <c r="ACM1" s="1642" t="str">
        <f>ACD1</f>
        <v xml:space="preserve">ENTRADA DEL MES DE  AGOSTO   2023 </v>
      </c>
      <c r="ACN1" s="1642"/>
      <c r="ACO1" s="1642"/>
      <c r="ACP1" s="1642"/>
      <c r="ACQ1" s="1642"/>
      <c r="ACR1" s="1642"/>
      <c r="ACS1" s="1642"/>
      <c r="ACT1" s="254">
        <f>ACK1+1</f>
        <v>79</v>
      </c>
      <c r="ACV1" s="1642" t="str">
        <f>ACM1</f>
        <v xml:space="preserve">ENTRADA DEL MES DE  AGOSTO   2023 </v>
      </c>
      <c r="ACW1" s="1642"/>
      <c r="ACX1" s="1642"/>
      <c r="ACY1" s="1642"/>
      <c r="ACZ1" s="1642"/>
      <c r="ADA1" s="1642"/>
      <c r="ADB1" s="1642"/>
      <c r="ADC1" s="254">
        <f>ACT1+1</f>
        <v>80</v>
      </c>
      <c r="ADE1" s="1642" t="str">
        <f>ACV1</f>
        <v xml:space="preserve">ENTRADA DEL MES DE  AGOSTO   2023 </v>
      </c>
      <c r="ADF1" s="1642"/>
      <c r="ADG1" s="1642"/>
      <c r="ADH1" s="1642"/>
      <c r="ADI1" s="1642"/>
      <c r="ADJ1" s="1642"/>
      <c r="ADK1" s="1642"/>
      <c r="ADL1" s="254">
        <f>ADC1+1</f>
        <v>81</v>
      </c>
      <c r="ADN1" s="1642" t="str">
        <f>ADE1</f>
        <v xml:space="preserve">ENTRADA DEL MES DE  AGOSTO   2023 </v>
      </c>
      <c r="ADO1" s="1642"/>
      <c r="ADP1" s="1642"/>
      <c r="ADQ1" s="1642"/>
      <c r="ADR1" s="1642"/>
      <c r="ADS1" s="1642"/>
      <c r="ADT1" s="1642"/>
      <c r="ADU1" s="254">
        <f>ADL1+1</f>
        <v>82</v>
      </c>
      <c r="ADW1" s="1642" t="str">
        <f>ADN1</f>
        <v xml:space="preserve">ENTRADA DEL MES DE  AGOSTO   2023 </v>
      </c>
      <c r="ADX1" s="1642"/>
      <c r="ADY1" s="1642"/>
      <c r="ADZ1" s="1642"/>
      <c r="AEA1" s="1642"/>
      <c r="AEB1" s="1642"/>
      <c r="AEC1" s="1642"/>
      <c r="AED1" s="254">
        <f>ADU1+1</f>
        <v>83</v>
      </c>
      <c r="AEF1" s="1642" t="str">
        <f>ADW1</f>
        <v xml:space="preserve">ENTRADA DEL MES DE  AGOSTO   2023 </v>
      </c>
      <c r="AEG1" s="1642"/>
      <c r="AEH1" s="1642"/>
      <c r="AEI1" s="1642"/>
      <c r="AEJ1" s="1642"/>
      <c r="AEK1" s="1642"/>
      <c r="AEL1" s="1642"/>
      <c r="AEM1" s="254">
        <f>AED1+1</f>
        <v>84</v>
      </c>
      <c r="AEO1" s="1642" t="str">
        <f>AEF1</f>
        <v xml:space="preserve">ENTRADA DEL MES DE  AGOSTO   2023 </v>
      </c>
      <c r="AEP1" s="1642"/>
      <c r="AEQ1" s="1642"/>
      <c r="AER1" s="1642"/>
      <c r="AES1" s="1642"/>
      <c r="AET1" s="1642"/>
      <c r="AEU1" s="1642"/>
      <c r="AEV1" s="254">
        <f>AEM1+1</f>
        <v>85</v>
      </c>
      <c r="AEX1" s="1642" t="str">
        <f>AEO1</f>
        <v xml:space="preserve">ENTRADA DEL MES DE  AGOSTO   2023 </v>
      </c>
      <c r="AEY1" s="1642"/>
      <c r="AEZ1" s="1642"/>
      <c r="AFA1" s="1642"/>
      <c r="AFB1" s="1642"/>
      <c r="AFC1" s="1642"/>
      <c r="AFD1" s="164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16" t="str">
        <f t="shared" si="0"/>
        <v>PED. 101044869</v>
      </c>
      <c r="E4" s="1117">
        <f t="shared" si="0"/>
        <v>45132</v>
      </c>
      <c r="F4" s="1118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0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08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39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5" t="s">
        <v>198</v>
      </c>
      <c r="L5" s="1175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75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75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75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75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75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3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40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75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62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40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64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65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65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436</v>
      </c>
      <c r="FF5" s="1364" t="s">
        <v>199</v>
      </c>
      <c r="FG5" s="572" t="s">
        <v>437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75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75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64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36" t="s">
        <v>198</v>
      </c>
      <c r="GT5" s="1175" t="s">
        <v>199</v>
      </c>
      <c r="GU5" s="566" t="s">
        <v>439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35" t="s">
        <v>444</v>
      </c>
      <c r="HD5" s="1175" t="s">
        <v>199</v>
      </c>
      <c r="HE5" s="572" t="s">
        <v>442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75" t="s">
        <v>199</v>
      </c>
      <c r="HO5" s="572" t="s">
        <v>443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36" t="s">
        <v>198</v>
      </c>
      <c r="HX5" s="566" t="s">
        <v>199</v>
      </c>
      <c r="HY5" s="572" t="s">
        <v>446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35" t="s">
        <v>199</v>
      </c>
      <c r="II5" s="567" t="s">
        <v>448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36" t="s">
        <v>199</v>
      </c>
      <c r="IS5" s="567" t="s">
        <v>450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75" t="s">
        <v>199</v>
      </c>
      <c r="JC5" s="567" t="s">
        <v>452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1482" t="s">
        <v>199</v>
      </c>
      <c r="JM5" s="567" t="s">
        <v>454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 t="s">
        <v>198</v>
      </c>
      <c r="JV5" s="1175" t="s">
        <v>199</v>
      </c>
      <c r="JW5" s="567" t="s">
        <v>483</v>
      </c>
      <c r="JX5" s="568">
        <v>45168</v>
      </c>
      <c r="JY5" s="569">
        <v>19104.28</v>
      </c>
      <c r="JZ5" s="566">
        <v>21</v>
      </c>
      <c r="KA5" s="721">
        <v>19097</v>
      </c>
      <c r="KB5" s="134">
        <f>JY5-KA5</f>
        <v>7.2799999999988358</v>
      </c>
      <c r="KC5" s="364"/>
      <c r="KE5" s="565" t="s">
        <v>198</v>
      </c>
      <c r="KF5" s="1175" t="s">
        <v>199</v>
      </c>
      <c r="KG5" s="572" t="s">
        <v>487</v>
      </c>
      <c r="KH5" s="568">
        <v>45168</v>
      </c>
      <c r="KI5" s="569">
        <v>18800.060000000001</v>
      </c>
      <c r="KJ5" s="566">
        <v>21</v>
      </c>
      <c r="KK5" s="721">
        <v>18806.599999999999</v>
      </c>
      <c r="KL5" s="134">
        <f>KI5-KK5</f>
        <v>-6.5399999999972351</v>
      </c>
      <c r="KM5" s="364"/>
      <c r="KO5" s="565" t="s">
        <v>198</v>
      </c>
      <c r="KP5" s="1175" t="s">
        <v>199</v>
      </c>
      <c r="KQ5" s="567" t="s">
        <v>489</v>
      </c>
      <c r="KR5" s="568">
        <v>45168</v>
      </c>
      <c r="KS5" s="569">
        <v>19225.21</v>
      </c>
      <c r="KT5" s="566">
        <v>21</v>
      </c>
      <c r="KU5" s="721">
        <v>19196.5</v>
      </c>
      <c r="KV5" s="134">
        <f>KS5-KU5</f>
        <v>28.709999999999127</v>
      </c>
      <c r="KW5" s="364"/>
      <c r="KY5" s="565" t="s">
        <v>198</v>
      </c>
      <c r="KZ5" s="1175" t="s">
        <v>199</v>
      </c>
      <c r="LA5" s="567" t="s">
        <v>491</v>
      </c>
      <c r="LB5" s="570">
        <v>45168</v>
      </c>
      <c r="LC5" s="569">
        <v>18900.490000000002</v>
      </c>
      <c r="LD5" s="566">
        <v>21</v>
      </c>
      <c r="LE5" s="721">
        <v>18867</v>
      </c>
      <c r="LF5" s="134">
        <f>LC5-LE5</f>
        <v>33.490000000001601</v>
      </c>
      <c r="LG5" s="364"/>
      <c r="LH5" s="74" t="s">
        <v>41</v>
      </c>
      <c r="LI5" s="571" t="s">
        <v>493</v>
      </c>
      <c r="LJ5" s="1175" t="s">
        <v>199</v>
      </c>
      <c r="LK5" s="572" t="s">
        <v>494</v>
      </c>
      <c r="LL5" s="568">
        <v>45169</v>
      </c>
      <c r="LM5" s="569">
        <v>18678.36</v>
      </c>
      <c r="LN5" s="566">
        <v>21</v>
      </c>
      <c r="LO5" s="721">
        <v>18733.3</v>
      </c>
      <c r="LP5" s="134">
        <f>LM5-LO5</f>
        <v>-54.93999999999869</v>
      </c>
      <c r="LQ5" s="364"/>
      <c r="LS5" s="571" t="s">
        <v>496</v>
      </c>
      <c r="LT5" s="1175" t="s">
        <v>497</v>
      </c>
      <c r="LU5" s="573" t="s">
        <v>498</v>
      </c>
      <c r="LV5" s="568">
        <v>45169</v>
      </c>
      <c r="LW5" s="569">
        <v>19042.830000000002</v>
      </c>
      <c r="LX5" s="566">
        <v>21</v>
      </c>
      <c r="LY5" s="721">
        <v>19126</v>
      </c>
      <c r="LZ5" s="134">
        <f>LW5-LY5</f>
        <v>-83.169999999998254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7" t="s">
        <v>202</v>
      </c>
      <c r="L6" s="574"/>
      <c r="M6" s="571"/>
      <c r="N6" s="571"/>
      <c r="O6" s="571"/>
      <c r="P6" s="571"/>
      <c r="Q6" s="566"/>
      <c r="S6" s="230"/>
      <c r="U6" s="1322" t="s">
        <v>321</v>
      </c>
      <c r="V6" s="574"/>
      <c r="W6" s="571"/>
      <c r="X6" s="571"/>
      <c r="Y6" s="571"/>
      <c r="Z6" s="571"/>
      <c r="AA6" s="566"/>
      <c r="AC6" s="230"/>
      <c r="AE6" s="1323" t="s">
        <v>325</v>
      </c>
      <c r="AF6" s="722"/>
      <c r="AG6" s="571"/>
      <c r="AH6" s="571"/>
      <c r="AI6" s="571"/>
      <c r="AJ6" s="571"/>
      <c r="AK6" s="566"/>
      <c r="AM6" s="230"/>
      <c r="AO6" s="1327" t="s">
        <v>328</v>
      </c>
      <c r="AP6" s="574"/>
      <c r="AQ6" s="571"/>
      <c r="AR6" s="571"/>
      <c r="AS6" s="571"/>
      <c r="AT6" s="571"/>
      <c r="AU6" s="566"/>
      <c r="AY6" s="1327">
        <v>11531</v>
      </c>
      <c r="AZ6" s="574"/>
      <c r="BA6" s="571"/>
      <c r="BB6" s="571"/>
      <c r="BC6" s="571"/>
      <c r="BD6" s="571"/>
      <c r="BE6" s="566"/>
      <c r="BI6" s="1327" t="s">
        <v>335</v>
      </c>
      <c r="BJ6" s="574"/>
      <c r="BK6" s="571"/>
      <c r="BL6" s="571"/>
      <c r="BM6" s="571"/>
      <c r="BN6" s="571"/>
      <c r="BO6" s="566"/>
      <c r="BQ6" s="230"/>
      <c r="BS6" s="1329" t="s">
        <v>338</v>
      </c>
      <c r="BT6" s="574"/>
      <c r="BU6" s="571"/>
      <c r="BV6" s="571"/>
      <c r="BW6" s="571"/>
      <c r="BX6" s="571"/>
      <c r="BY6" s="566"/>
      <c r="CA6" s="230"/>
      <c r="CB6" s="230"/>
      <c r="CC6" s="1322" t="s">
        <v>340</v>
      </c>
      <c r="CD6" s="574"/>
      <c r="CE6" s="571"/>
      <c r="CF6" s="571"/>
      <c r="CG6" s="571"/>
      <c r="CH6" s="571"/>
      <c r="CI6" s="566"/>
      <c r="CK6" s="230"/>
      <c r="CL6" s="230"/>
      <c r="CM6" s="1331" t="s">
        <v>342</v>
      </c>
      <c r="CN6" s="575"/>
      <c r="CO6" s="571"/>
      <c r="CP6" s="571"/>
      <c r="CQ6" s="571"/>
      <c r="CR6" s="571"/>
      <c r="CS6" s="566"/>
      <c r="CU6" s="230"/>
      <c r="CW6" s="1361" t="s">
        <v>370</v>
      </c>
      <c r="CX6" s="574"/>
      <c r="CY6" s="571"/>
      <c r="CZ6" s="571"/>
      <c r="DA6" s="571"/>
      <c r="DB6" s="571"/>
      <c r="DC6" s="566"/>
      <c r="DE6" s="230"/>
      <c r="DG6" s="1248" t="s">
        <v>372</v>
      </c>
      <c r="DH6" s="574"/>
      <c r="DI6" s="571"/>
      <c r="DJ6" s="571"/>
      <c r="DK6" s="571"/>
      <c r="DL6" s="571"/>
      <c r="DM6" s="566"/>
      <c r="DO6" s="230"/>
      <c r="DQ6" s="1322" t="s">
        <v>374</v>
      </c>
      <c r="DR6" s="574"/>
      <c r="DS6" s="571"/>
      <c r="DT6" s="571"/>
      <c r="DU6" s="571"/>
      <c r="DV6" s="571"/>
      <c r="DW6" s="566"/>
      <c r="DY6" s="230"/>
      <c r="EA6" s="1361" t="s">
        <v>376</v>
      </c>
      <c r="EB6" s="574"/>
      <c r="EC6" s="571"/>
      <c r="ED6" s="571"/>
      <c r="EE6" s="571"/>
      <c r="EF6" s="571"/>
      <c r="EG6" s="566"/>
      <c r="EI6" s="230"/>
      <c r="EK6" s="1327">
        <v>11940</v>
      </c>
      <c r="EL6" s="574"/>
      <c r="EM6" s="571"/>
      <c r="EN6" s="571"/>
      <c r="EO6" s="571"/>
      <c r="EP6" s="571"/>
      <c r="EQ6" s="566"/>
      <c r="ES6" s="230"/>
      <c r="EU6" s="1396">
        <v>11645</v>
      </c>
      <c r="EV6" s="574"/>
      <c r="EW6" s="571"/>
      <c r="EX6" s="571"/>
      <c r="EY6" s="571"/>
      <c r="EZ6" s="571"/>
      <c r="FA6" s="566"/>
      <c r="FC6" s="230"/>
      <c r="FE6" s="1396" t="s">
        <v>438</v>
      </c>
      <c r="FF6" s="574"/>
      <c r="FG6" s="571"/>
      <c r="FH6" s="571"/>
      <c r="FI6" s="571"/>
      <c r="FJ6" s="571"/>
      <c r="FK6" s="566"/>
      <c r="FM6" s="230"/>
      <c r="FO6" s="1396" t="s">
        <v>406</v>
      </c>
      <c r="FP6" s="574"/>
      <c r="FQ6" s="571"/>
      <c r="FR6" s="571"/>
      <c r="FS6" s="571"/>
      <c r="FT6" s="571"/>
      <c r="FU6" s="566"/>
      <c r="FW6" s="230"/>
      <c r="FY6" s="1239" t="s">
        <v>409</v>
      </c>
      <c r="FZ6" s="574"/>
      <c r="GA6" s="571"/>
      <c r="GB6" s="571"/>
      <c r="GC6" s="571"/>
      <c r="GD6" s="571"/>
      <c r="GE6" s="566"/>
      <c r="GG6" s="230"/>
      <c r="GI6" s="1397" t="s">
        <v>411</v>
      </c>
      <c r="GJ6" s="609"/>
      <c r="GK6" s="571"/>
      <c r="GL6" s="571"/>
      <c r="GM6" s="571"/>
      <c r="GN6" s="571"/>
      <c r="GO6" s="566"/>
      <c r="GQ6" s="230"/>
      <c r="GS6" s="1329" t="s">
        <v>440</v>
      </c>
      <c r="GT6" s="580"/>
      <c r="GU6" s="571"/>
      <c r="GV6" s="571"/>
      <c r="GW6" s="571"/>
      <c r="GX6" s="571"/>
      <c r="GY6" s="566"/>
      <c r="HA6" s="230"/>
      <c r="HC6" s="1431" t="s">
        <v>505</v>
      </c>
      <c r="HD6" s="574"/>
      <c r="HE6" s="571"/>
      <c r="HF6" s="571"/>
      <c r="HG6" s="571"/>
      <c r="HH6" s="571"/>
      <c r="HI6" s="566"/>
      <c r="HK6" s="230"/>
      <c r="HM6" s="1433" t="s">
        <v>445</v>
      </c>
      <c r="HN6" s="574"/>
      <c r="HO6" s="571"/>
      <c r="HP6" s="571"/>
      <c r="HQ6" s="571"/>
      <c r="HR6" s="571"/>
      <c r="HS6" s="566"/>
      <c r="HU6" s="230"/>
      <c r="HW6" s="1434" t="s">
        <v>447</v>
      </c>
      <c r="HX6" s="571"/>
      <c r="HY6" s="571"/>
      <c r="HZ6" s="571"/>
      <c r="IA6" s="571"/>
      <c r="IB6" s="571"/>
      <c r="IC6" s="566"/>
      <c r="IE6" s="230"/>
      <c r="IG6" s="1322" t="s">
        <v>449</v>
      </c>
      <c r="IH6" s="574"/>
      <c r="II6" s="571"/>
      <c r="IJ6" s="571"/>
      <c r="IK6" s="571"/>
      <c r="IL6" s="571"/>
      <c r="IM6" s="566"/>
      <c r="IO6" s="230"/>
      <c r="IQ6" s="1437" t="s">
        <v>451</v>
      </c>
      <c r="IR6" s="574"/>
      <c r="IS6" s="571"/>
      <c r="IT6" s="571"/>
      <c r="IU6" s="571"/>
      <c r="IV6" s="571"/>
      <c r="IW6" s="566"/>
      <c r="IY6" s="230"/>
      <c r="JA6" s="1327" t="s">
        <v>453</v>
      </c>
      <c r="JB6" s="571"/>
      <c r="JC6" s="571"/>
      <c r="JD6" s="571"/>
      <c r="JE6" s="571"/>
      <c r="JF6" s="571"/>
      <c r="JG6" s="566"/>
      <c r="JI6" s="230"/>
      <c r="JK6" s="1439" t="s">
        <v>455</v>
      </c>
      <c r="JL6" s="574"/>
      <c r="JM6" s="571"/>
      <c r="JN6" s="571"/>
      <c r="JO6" s="571"/>
      <c r="JP6" s="571"/>
      <c r="JQ6" s="566"/>
      <c r="JS6" s="230"/>
      <c r="JU6" s="1471" t="s">
        <v>484</v>
      </c>
      <c r="JV6" s="574"/>
      <c r="JW6" s="571"/>
      <c r="JX6" s="571"/>
      <c r="JY6" s="571"/>
      <c r="JZ6" s="571"/>
      <c r="KA6" s="566"/>
      <c r="KC6" s="230"/>
      <c r="KE6" s="1483" t="s">
        <v>488</v>
      </c>
      <c r="KF6" s="574"/>
      <c r="KG6" s="571"/>
      <c r="KH6" s="571"/>
      <c r="KI6" s="571"/>
      <c r="KJ6" s="571"/>
      <c r="KK6" s="566"/>
      <c r="KM6" s="230"/>
      <c r="KO6" s="1470" t="s">
        <v>490</v>
      </c>
      <c r="KP6" s="574"/>
      <c r="KQ6" s="571"/>
      <c r="KR6" s="571"/>
      <c r="KS6" s="571"/>
      <c r="KT6" s="571"/>
      <c r="KU6" s="566"/>
      <c r="KW6" s="230"/>
      <c r="KY6" s="1483" t="s">
        <v>492</v>
      </c>
      <c r="KZ6" s="722"/>
      <c r="LA6" s="571"/>
      <c r="LB6" s="571"/>
      <c r="LC6" s="571"/>
      <c r="LD6" s="571"/>
      <c r="LE6" s="566"/>
      <c r="LG6" s="230"/>
      <c r="LI6" s="689" t="s">
        <v>495</v>
      </c>
      <c r="LJ6" s="574"/>
      <c r="LK6" s="571"/>
      <c r="LL6" s="571"/>
      <c r="LM6" s="571"/>
      <c r="LN6" s="571"/>
      <c r="LO6" s="566"/>
      <c r="LS6" s="581" t="s">
        <v>499</v>
      </c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 t="s">
        <v>486</v>
      </c>
      <c r="JW8" s="15">
        <v>1</v>
      </c>
      <c r="JX8" s="91">
        <v>881.8</v>
      </c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>
        <v>884.5</v>
      </c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>
        <v>875.9</v>
      </c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>
        <v>880.4</v>
      </c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>
        <v>917.2</v>
      </c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>
        <v>940.7</v>
      </c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 t="s">
        <v>486</v>
      </c>
      <c r="JW9" s="15">
        <v>2</v>
      </c>
      <c r="JX9" s="68">
        <v>894.5</v>
      </c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>
        <v>893.6</v>
      </c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>
        <v>931.2</v>
      </c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>
        <v>880.9</v>
      </c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>
        <v>893.6</v>
      </c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>
        <v>928</v>
      </c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 t="s">
        <v>486</v>
      </c>
      <c r="JW10" s="15">
        <v>3</v>
      </c>
      <c r="JX10" s="68">
        <v>890.9</v>
      </c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>
        <v>896.3</v>
      </c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>
        <v>914.9</v>
      </c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>
        <v>880.9</v>
      </c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>
        <v>868.2</v>
      </c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>
        <v>889</v>
      </c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41"/>
      <c r="P11" s="1242"/>
      <c r="Q11" s="1243"/>
      <c r="R11" s="1244"/>
      <c r="S11" s="1245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 t="s">
        <v>486</v>
      </c>
      <c r="JW11" s="15">
        <v>4</v>
      </c>
      <c r="JX11" s="68">
        <v>920.8</v>
      </c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>
        <v>861.8</v>
      </c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>
        <v>904.9</v>
      </c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>
        <v>880.9</v>
      </c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>
        <v>897.2</v>
      </c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>
        <v>913.5</v>
      </c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 t="s">
        <v>486</v>
      </c>
      <c r="JW12" s="15">
        <v>5</v>
      </c>
      <c r="JX12" s="68">
        <v>934.4</v>
      </c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>
        <v>919</v>
      </c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>
        <v>919.4</v>
      </c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>
        <v>883.1</v>
      </c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>
        <v>883.6</v>
      </c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>
        <v>914.4</v>
      </c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 t="s">
        <v>486</v>
      </c>
      <c r="JW13" s="15">
        <v>6</v>
      </c>
      <c r="JX13" s="68">
        <v>898.1</v>
      </c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>
        <v>925.3</v>
      </c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>
        <v>919.4</v>
      </c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>
        <v>885.4</v>
      </c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>
        <v>883.6</v>
      </c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>
        <v>929</v>
      </c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 t="s">
        <v>486</v>
      </c>
      <c r="JW14" s="15">
        <v>7</v>
      </c>
      <c r="JX14" s="68">
        <v>911.7</v>
      </c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>
        <v>907.2</v>
      </c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>
        <v>939.8</v>
      </c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>
        <v>925.3</v>
      </c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>
        <v>861.8</v>
      </c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>
        <v>910.8</v>
      </c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41"/>
      <c r="P15" s="1242"/>
      <c r="Q15" s="1243"/>
      <c r="R15" s="1244"/>
      <c r="S15" s="1245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 t="s">
        <v>486</v>
      </c>
      <c r="JW15" s="15">
        <v>8</v>
      </c>
      <c r="JX15" s="68">
        <v>921.7</v>
      </c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>
        <v>888.1</v>
      </c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>
        <v>911.3</v>
      </c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>
        <v>914.4</v>
      </c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>
        <v>898.1</v>
      </c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>
        <v>909.9</v>
      </c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 t="s">
        <v>486</v>
      </c>
      <c r="JW16" s="15">
        <v>9</v>
      </c>
      <c r="JX16" s="68">
        <v>896.3</v>
      </c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>
        <v>861.8</v>
      </c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>
        <v>939.8</v>
      </c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>
        <v>900.8</v>
      </c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>
        <v>869.1</v>
      </c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>
        <v>940.7</v>
      </c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 t="s">
        <v>486</v>
      </c>
      <c r="JW17" s="15">
        <v>10</v>
      </c>
      <c r="JX17" s="68">
        <v>923.5</v>
      </c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>
        <v>902.6</v>
      </c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>
        <v>904.5</v>
      </c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>
        <v>873.6</v>
      </c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>
        <v>880</v>
      </c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>
        <v>925.3</v>
      </c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 t="s">
        <v>485</v>
      </c>
      <c r="JW18" s="15">
        <v>11</v>
      </c>
      <c r="JX18" s="68">
        <v>910.8</v>
      </c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>
        <v>927.1</v>
      </c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>
        <v>936.7</v>
      </c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>
        <v>938.9</v>
      </c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>
        <v>888.1</v>
      </c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>
        <v>883.6</v>
      </c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103" t="s">
        <v>485</v>
      </c>
      <c r="JW19" s="15">
        <v>12</v>
      </c>
      <c r="JX19" s="68">
        <v>921.7</v>
      </c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>
        <v>883.6</v>
      </c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>
        <v>905.4</v>
      </c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>
        <v>865.9</v>
      </c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>
        <v>872.7</v>
      </c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>
        <v>899</v>
      </c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103" t="s">
        <v>485</v>
      </c>
      <c r="JW20" s="15">
        <v>13</v>
      </c>
      <c r="JX20" s="68">
        <v>934.4</v>
      </c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>
        <v>928</v>
      </c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>
        <v>916.3</v>
      </c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>
        <v>928</v>
      </c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>
        <v>907.2</v>
      </c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>
        <v>892.7</v>
      </c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103" t="s">
        <v>485</v>
      </c>
      <c r="JW21" s="15">
        <v>14</v>
      </c>
      <c r="JX21" s="68">
        <v>934.4</v>
      </c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>
        <v>861.8</v>
      </c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>
        <v>898.6</v>
      </c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>
        <v>904</v>
      </c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>
        <v>891.8</v>
      </c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>
        <v>883.6</v>
      </c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103" t="s">
        <v>485</v>
      </c>
      <c r="JW22" s="15">
        <v>15</v>
      </c>
      <c r="JX22" s="68">
        <v>914.4</v>
      </c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>
        <v>938</v>
      </c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>
        <v>920.3</v>
      </c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>
        <v>886.3</v>
      </c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>
        <v>940.7</v>
      </c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>
        <v>909</v>
      </c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103" t="s">
        <v>485</v>
      </c>
      <c r="JW23" s="15">
        <v>16</v>
      </c>
      <c r="JX23" s="68">
        <v>940.7</v>
      </c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>
        <v>879.1</v>
      </c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>
        <v>939.4</v>
      </c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>
        <v>909</v>
      </c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>
        <v>880.9</v>
      </c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>
        <v>919.9</v>
      </c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103" t="s">
        <v>485</v>
      </c>
      <c r="JW24" s="15">
        <v>17</v>
      </c>
      <c r="JX24" s="68">
        <v>896.3</v>
      </c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>
        <v>938.9</v>
      </c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>
        <v>924</v>
      </c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>
        <v>879.5</v>
      </c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>
        <v>897.2</v>
      </c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>
        <v>891.8</v>
      </c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103" t="s">
        <v>485</v>
      </c>
      <c r="JW25" s="15">
        <v>18</v>
      </c>
      <c r="JX25" s="68">
        <v>889.9</v>
      </c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>
        <v>893.6</v>
      </c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>
        <v>920.3</v>
      </c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>
        <v>930.3</v>
      </c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>
        <v>915.3</v>
      </c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>
        <v>929</v>
      </c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103" t="s">
        <v>485</v>
      </c>
      <c r="JW26" s="15">
        <v>19</v>
      </c>
      <c r="JX26" s="68">
        <v>907.2</v>
      </c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>
        <v>880</v>
      </c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>
        <v>868.2</v>
      </c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>
        <v>897.7</v>
      </c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>
        <v>909.9</v>
      </c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>
        <v>895.4</v>
      </c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103" t="s">
        <v>485</v>
      </c>
      <c r="JW27" s="15">
        <v>20</v>
      </c>
      <c r="JX27" s="68">
        <v>896.3</v>
      </c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>
        <v>874.5</v>
      </c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>
        <v>893.1</v>
      </c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>
        <v>892.7</v>
      </c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>
        <v>912.6</v>
      </c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>
        <v>880</v>
      </c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23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103" t="s">
        <v>485</v>
      </c>
      <c r="JW28" s="15">
        <v>21</v>
      </c>
      <c r="JX28" s="68">
        <v>877.2</v>
      </c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>
        <v>861.8</v>
      </c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>
        <v>913.1</v>
      </c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>
        <v>929</v>
      </c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>
        <v>864.5</v>
      </c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>
        <v>940.7</v>
      </c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33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24"/>
      <c r="DB31" s="286"/>
      <c r="DC31" s="1225"/>
      <c r="DD31" s="755"/>
      <c r="DE31" s="1226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19097</v>
      </c>
      <c r="JZ32" s="102">
        <f>SUM(JZ8:JZ31)</f>
        <v>0</v>
      </c>
      <c r="KH32" s="102">
        <f>SUM(KH8:KH31)</f>
        <v>18806.600000000002</v>
      </c>
      <c r="KJ32" s="102">
        <f>SUM(KJ8:KJ31)</f>
        <v>0</v>
      </c>
      <c r="KR32" s="102">
        <f>SUM(KR8:KR31)</f>
        <v>19196.499999999996</v>
      </c>
      <c r="KT32" s="102">
        <f>SUM(KT8:KT31)</f>
        <v>0</v>
      </c>
      <c r="LB32" s="102">
        <f>SUM(LB8:LB31)</f>
        <v>18866.999999999996</v>
      </c>
      <c r="LD32" s="102">
        <f>SUM(LD8:LD31)</f>
        <v>0</v>
      </c>
      <c r="LL32" s="85">
        <f>SUM(LL8:LL31)</f>
        <v>18733.300000000003</v>
      </c>
      <c r="LN32" s="102">
        <f>SUM(LN8:LN31)</f>
        <v>0</v>
      </c>
      <c r="LU32" s="136"/>
      <c r="LV32" s="85">
        <f>SUM(LV8:LV31)</f>
        <v>19126.000000000004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31" t="s">
        <v>21</v>
      </c>
      <c r="O33" s="1232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25" t="s">
        <v>21</v>
      </c>
      <c r="FS33" s="1426"/>
      <c r="FT33" s="205">
        <f>FR32-FT32</f>
        <v>19083.399999999994</v>
      </c>
      <c r="GB33" s="1425" t="s">
        <v>21</v>
      </c>
      <c r="GC33" s="1426"/>
      <c r="GD33" s="137">
        <f>GB32-GD32</f>
        <v>19066.000000000004</v>
      </c>
      <c r="GL33" s="1425" t="s">
        <v>21</v>
      </c>
      <c r="GM33" s="1426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19097</v>
      </c>
      <c r="KH33" s="246" t="s">
        <v>21</v>
      </c>
      <c r="KI33" s="247"/>
      <c r="KJ33" s="137">
        <f>KK5-KJ32</f>
        <v>18806.599999999999</v>
      </c>
      <c r="KR33" s="246" t="s">
        <v>21</v>
      </c>
      <c r="KS33" s="247"/>
      <c r="KT33" s="137">
        <f>KU5-KT32</f>
        <v>19196.5</v>
      </c>
      <c r="LB33" s="246" t="s">
        <v>21</v>
      </c>
      <c r="LC33" s="247"/>
      <c r="LD33" s="205">
        <f>LE5-LD32</f>
        <v>18867</v>
      </c>
      <c r="LL33" s="246" t="s">
        <v>21</v>
      </c>
      <c r="LM33" s="247"/>
      <c r="LN33" s="137">
        <f>LO5-LN32</f>
        <v>18733.3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38" t="s">
        <v>21</v>
      </c>
      <c r="SB33" s="1639"/>
      <c r="SC33" s="137">
        <f>SUM(SD5-SC32)</f>
        <v>0</v>
      </c>
      <c r="SK33" s="1638" t="s">
        <v>21</v>
      </c>
      <c r="SL33" s="1639"/>
      <c r="SM33" s="137">
        <f>SUM(SN5-SM32)</f>
        <v>0</v>
      </c>
      <c r="SU33" s="1638" t="s">
        <v>21</v>
      </c>
      <c r="SV33" s="1639"/>
      <c r="SW33" s="205">
        <f>SUM(SX5-SW32)</f>
        <v>0</v>
      </c>
      <c r="TE33" s="1638" t="s">
        <v>21</v>
      </c>
      <c r="TF33" s="1639"/>
      <c r="TG33" s="137">
        <f>SUM(TH5-TG32)</f>
        <v>0</v>
      </c>
      <c r="TO33" s="1638" t="s">
        <v>21</v>
      </c>
      <c r="TP33" s="1639"/>
      <c r="TQ33" s="137">
        <f>SUM(TR5-TQ32)</f>
        <v>0</v>
      </c>
      <c r="TY33" s="1638" t="s">
        <v>21</v>
      </c>
      <c r="TZ33" s="1639"/>
      <c r="UA33" s="137">
        <f>SUM(UB5-UA32)</f>
        <v>0</v>
      </c>
      <c r="UH33" s="1638" t="s">
        <v>21</v>
      </c>
      <c r="UI33" s="1639"/>
      <c r="UJ33" s="137">
        <f>SUM(UK5-UJ32)</f>
        <v>0</v>
      </c>
      <c r="UQ33" s="1638" t="s">
        <v>21</v>
      </c>
      <c r="UR33" s="1639"/>
      <c r="US33" s="137">
        <f>SUM(UT5-US32)</f>
        <v>0</v>
      </c>
      <c r="UZ33" s="1638" t="s">
        <v>21</v>
      </c>
      <c r="VA33" s="163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38" t="s">
        <v>21</v>
      </c>
      <c r="WB33" s="1639"/>
      <c r="WC33" s="137">
        <f>WD5-WC32</f>
        <v>-22</v>
      </c>
      <c r="WJ33" s="1638" t="s">
        <v>21</v>
      </c>
      <c r="WK33" s="1639"/>
      <c r="WL33" s="137">
        <f>WM5-WL32</f>
        <v>-22</v>
      </c>
      <c r="WS33" s="1638" t="s">
        <v>21</v>
      </c>
      <c r="WT33" s="1639"/>
      <c r="WU33" s="137">
        <f>WV5-WU32</f>
        <v>-22</v>
      </c>
      <c r="XB33" s="1638" t="s">
        <v>21</v>
      </c>
      <c r="XC33" s="1639"/>
      <c r="XD33" s="137">
        <f>XE5-XD32</f>
        <v>-22</v>
      </c>
      <c r="XK33" s="1638" t="s">
        <v>21</v>
      </c>
      <c r="XL33" s="1639"/>
      <c r="XM33" s="137">
        <f>XN5-XM32</f>
        <v>-22</v>
      </c>
      <c r="XT33" s="1638" t="s">
        <v>21</v>
      </c>
      <c r="XU33" s="1639"/>
      <c r="XV33" s="137">
        <f>XW5-XV32</f>
        <v>-22</v>
      </c>
      <c r="YC33" s="1638" t="s">
        <v>21</v>
      </c>
      <c r="YD33" s="1639"/>
      <c r="YE33" s="137">
        <f>YF5-YE32</f>
        <v>-22</v>
      </c>
      <c r="YL33" s="1638" t="s">
        <v>21</v>
      </c>
      <c r="YM33" s="1639"/>
      <c r="YN33" s="137">
        <f>YO5-YN32</f>
        <v>-22</v>
      </c>
      <c r="YU33" s="1638" t="s">
        <v>21</v>
      </c>
      <c r="YV33" s="1639"/>
      <c r="YW33" s="137">
        <f>YX5-YW32</f>
        <v>-22</v>
      </c>
      <c r="ZD33" s="1638" t="s">
        <v>21</v>
      </c>
      <c r="ZE33" s="1639"/>
      <c r="ZF33" s="137">
        <f>ZG5-ZF32</f>
        <v>-22</v>
      </c>
      <c r="ZM33" s="1638" t="s">
        <v>21</v>
      </c>
      <c r="ZN33" s="1639"/>
      <c r="ZO33" s="137">
        <f>ZP5-ZO32</f>
        <v>-22</v>
      </c>
      <c r="ZV33" s="1638" t="s">
        <v>21</v>
      </c>
      <c r="ZW33" s="1639"/>
      <c r="ZX33" s="137">
        <f>ZY5-ZX32</f>
        <v>-22</v>
      </c>
      <c r="AAE33" s="1638" t="s">
        <v>21</v>
      </c>
      <c r="AAF33" s="1639"/>
      <c r="AAG33" s="137">
        <f>AAH5-AAG32</f>
        <v>-22</v>
      </c>
      <c r="AAN33" s="1638" t="s">
        <v>21</v>
      </c>
      <c r="AAO33" s="1639"/>
      <c r="AAP33" s="137">
        <f>AAQ5-AAP32</f>
        <v>-22</v>
      </c>
      <c r="AAW33" s="1638" t="s">
        <v>21</v>
      </c>
      <c r="AAX33" s="1639"/>
      <c r="AAY33" s="137">
        <f>AAZ5-AAY32</f>
        <v>-22</v>
      </c>
      <c r="ABF33" s="1638" t="s">
        <v>21</v>
      </c>
      <c r="ABG33" s="1639"/>
      <c r="ABH33" s="137">
        <f>ABH32-ABF32</f>
        <v>22</v>
      </c>
      <c r="ABO33" s="1638" t="s">
        <v>21</v>
      </c>
      <c r="ABP33" s="1639"/>
      <c r="ABQ33" s="137">
        <f>ABR5-ABQ32</f>
        <v>-22</v>
      </c>
      <c r="ABX33" s="1638" t="s">
        <v>21</v>
      </c>
      <c r="ABY33" s="1639"/>
      <c r="ABZ33" s="137">
        <f>ACA5-ABZ32</f>
        <v>-22</v>
      </c>
      <c r="ACG33" s="1638" t="s">
        <v>21</v>
      </c>
      <c r="ACH33" s="1639"/>
      <c r="ACI33" s="137">
        <f>ACJ5-ACI32</f>
        <v>-22</v>
      </c>
      <c r="ACP33" s="1638" t="s">
        <v>21</v>
      </c>
      <c r="ACQ33" s="1639"/>
      <c r="ACR33" s="137">
        <f>ACS5-ACR32</f>
        <v>-22</v>
      </c>
      <c r="ACY33" s="1638" t="s">
        <v>21</v>
      </c>
      <c r="ACZ33" s="1639"/>
      <c r="ADA33" s="137">
        <f>ADB5-ADA32</f>
        <v>-22</v>
      </c>
      <c r="ADH33" s="1638" t="s">
        <v>21</v>
      </c>
      <c r="ADI33" s="1639"/>
      <c r="ADJ33" s="137">
        <f>ADK5-ADJ32</f>
        <v>-22</v>
      </c>
      <c r="ADQ33" s="1638" t="s">
        <v>21</v>
      </c>
      <c r="ADR33" s="1639"/>
      <c r="ADS33" s="137">
        <f>ADT5-ADS32</f>
        <v>-22</v>
      </c>
      <c r="ADZ33" s="1638" t="s">
        <v>21</v>
      </c>
      <c r="AEA33" s="1639"/>
      <c r="AEB33" s="137">
        <f>AEC5-AEB32</f>
        <v>-22</v>
      </c>
      <c r="AEI33" s="1638" t="s">
        <v>21</v>
      </c>
      <c r="AEJ33" s="1639"/>
      <c r="AEK33" s="137">
        <f>AEL5-AEK32</f>
        <v>-22</v>
      </c>
      <c r="AER33" s="1638" t="s">
        <v>21</v>
      </c>
      <c r="AES33" s="1639"/>
      <c r="AET33" s="137">
        <f>AEU5-AET32</f>
        <v>-22</v>
      </c>
      <c r="AFA33" s="1638" t="s">
        <v>21</v>
      </c>
      <c r="AFB33" s="1639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33" t="s">
        <v>4</v>
      </c>
      <c r="O34" s="1234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7" t="s">
        <v>4</v>
      </c>
      <c r="FS34" s="1428"/>
      <c r="FT34" s="49"/>
      <c r="GB34" s="1427" t="s">
        <v>4</v>
      </c>
      <c r="GC34" s="1428"/>
      <c r="GD34" s="49"/>
      <c r="GL34" s="1427" t="s">
        <v>4</v>
      </c>
      <c r="GM34" s="1428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19126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40" t="s">
        <v>4</v>
      </c>
      <c r="SB34" s="1641"/>
      <c r="SC34" s="49"/>
      <c r="SK34" s="1640" t="s">
        <v>4</v>
      </c>
      <c r="SL34" s="1641"/>
      <c r="SM34" s="49"/>
      <c r="SU34" s="1640" t="s">
        <v>4</v>
      </c>
      <c r="SV34" s="1641"/>
      <c r="SW34" s="49"/>
      <c r="TE34" s="1640" t="s">
        <v>4</v>
      </c>
      <c r="TF34" s="1641"/>
      <c r="TG34" s="49"/>
      <c r="TO34" s="1640" t="s">
        <v>4</v>
      </c>
      <c r="TP34" s="1641"/>
      <c r="TQ34" s="49"/>
      <c r="TY34" s="1640" t="s">
        <v>4</v>
      </c>
      <c r="TZ34" s="1641"/>
      <c r="UA34" s="49"/>
      <c r="UH34" s="1640" t="s">
        <v>4</v>
      </c>
      <c r="UI34" s="1641"/>
      <c r="UJ34" s="49"/>
      <c r="UQ34" s="1640" t="s">
        <v>4</v>
      </c>
      <c r="UR34" s="1641"/>
      <c r="US34" s="49"/>
      <c r="UZ34" s="1640" t="s">
        <v>4</v>
      </c>
      <c r="VA34" s="164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40" t="s">
        <v>4</v>
      </c>
      <c r="WB34" s="1641"/>
      <c r="WC34" s="49"/>
      <c r="WJ34" s="1640" t="s">
        <v>4</v>
      </c>
      <c r="WK34" s="1641"/>
      <c r="WL34" s="49"/>
      <c r="WS34" s="1640" t="s">
        <v>4</v>
      </c>
      <c r="WT34" s="1641"/>
      <c r="WU34" s="49"/>
      <c r="XB34" s="1640" t="s">
        <v>4</v>
      </c>
      <c r="XC34" s="1641"/>
      <c r="XD34" s="49"/>
      <c r="XK34" s="1640" t="s">
        <v>4</v>
      </c>
      <c r="XL34" s="1641"/>
      <c r="XM34" s="49"/>
      <c r="XT34" s="1640" t="s">
        <v>4</v>
      </c>
      <c r="XU34" s="1641"/>
      <c r="XV34" s="49"/>
      <c r="YC34" s="1640" t="s">
        <v>4</v>
      </c>
      <c r="YD34" s="1641"/>
      <c r="YE34" s="49"/>
      <c r="YL34" s="1640" t="s">
        <v>4</v>
      </c>
      <c r="YM34" s="1641"/>
      <c r="YN34" s="49"/>
      <c r="YU34" s="1640" t="s">
        <v>4</v>
      </c>
      <c r="YV34" s="1641"/>
      <c r="YW34" s="49"/>
      <c r="ZD34" s="1640" t="s">
        <v>4</v>
      </c>
      <c r="ZE34" s="1641"/>
      <c r="ZF34" s="49"/>
      <c r="ZM34" s="1640" t="s">
        <v>4</v>
      </c>
      <c r="ZN34" s="1641"/>
      <c r="ZO34" s="49"/>
      <c r="ZV34" s="1640" t="s">
        <v>4</v>
      </c>
      <c r="ZW34" s="1641"/>
      <c r="ZX34" s="49"/>
      <c r="AAE34" s="1640" t="s">
        <v>4</v>
      </c>
      <c r="AAF34" s="1641"/>
      <c r="AAG34" s="49"/>
      <c r="AAN34" s="1640" t="s">
        <v>4</v>
      </c>
      <c r="AAO34" s="1641"/>
      <c r="AAP34" s="49"/>
      <c r="AAW34" s="1640" t="s">
        <v>4</v>
      </c>
      <c r="AAX34" s="1641"/>
      <c r="AAY34" s="49"/>
      <c r="ABF34" s="1640" t="s">
        <v>4</v>
      </c>
      <c r="ABG34" s="1641"/>
      <c r="ABH34" s="49"/>
      <c r="ABO34" s="1640" t="s">
        <v>4</v>
      </c>
      <c r="ABP34" s="1641"/>
      <c r="ABQ34" s="49"/>
      <c r="ABX34" s="1640" t="s">
        <v>4</v>
      </c>
      <c r="ABY34" s="1641"/>
      <c r="ABZ34" s="49"/>
      <c r="ACG34" s="1640" t="s">
        <v>4</v>
      </c>
      <c r="ACH34" s="1641"/>
      <c r="ACI34" s="49"/>
      <c r="ACP34" s="1640" t="s">
        <v>4</v>
      </c>
      <c r="ACQ34" s="1641"/>
      <c r="ACR34" s="49"/>
      <c r="ACY34" s="1640" t="s">
        <v>4</v>
      </c>
      <c r="ACZ34" s="1641"/>
      <c r="ADA34" s="49"/>
      <c r="ADH34" s="1640" t="s">
        <v>4</v>
      </c>
      <c r="ADI34" s="1641"/>
      <c r="ADJ34" s="49"/>
      <c r="ADQ34" s="1640" t="s">
        <v>4</v>
      </c>
      <c r="ADR34" s="1641"/>
      <c r="ADS34" s="49"/>
      <c r="ADZ34" s="1640" t="s">
        <v>4</v>
      </c>
      <c r="AEA34" s="1641"/>
      <c r="AEB34" s="49"/>
      <c r="AEI34" s="1640" t="s">
        <v>4</v>
      </c>
      <c r="AEJ34" s="1641"/>
      <c r="AEK34" s="49"/>
      <c r="AER34" s="1640" t="s">
        <v>4</v>
      </c>
      <c r="AES34" s="1641"/>
      <c r="AET34" s="49"/>
      <c r="AFA34" s="1640" t="s">
        <v>4</v>
      </c>
      <c r="AFB34" s="1641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74" t="s">
        <v>74</v>
      </c>
      <c r="C4" s="124"/>
      <c r="D4" s="130"/>
      <c r="E4" s="172"/>
      <c r="F4" s="133"/>
      <c r="G4" s="38"/>
    </row>
    <row r="5" spans="1:15" ht="15.75" x14ac:dyDescent="0.25">
      <c r="A5" s="1654"/>
      <c r="B5" s="167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5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38" t="s">
        <v>21</v>
      </c>
      <c r="E31" s="163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38" t="s">
        <v>21</v>
      </c>
      <c r="E31" s="163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54" t="s">
        <v>106</v>
      </c>
      <c r="B5" s="1670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54"/>
      <c r="B6" s="1671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38" t="s">
        <v>21</v>
      </c>
      <c r="E42" s="1639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5" t="s">
        <v>197</v>
      </c>
      <c r="B1" s="1675"/>
      <c r="C1" s="1675"/>
      <c r="D1" s="1675"/>
      <c r="E1" s="1675"/>
      <c r="F1" s="1675"/>
      <c r="G1" s="1675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649" t="s">
        <v>95</v>
      </c>
      <c r="B5" s="1676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649"/>
      <c r="B6" s="1676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0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0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0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0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0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0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0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0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41">
        <f t="shared" si="3"/>
        <v>50</v>
      </c>
      <c r="E33" s="1142">
        <v>45110</v>
      </c>
      <c r="F33" s="1143">
        <f t="shared" si="0"/>
        <v>50</v>
      </c>
      <c r="G33" s="1144" t="s">
        <v>204</v>
      </c>
      <c r="H33" s="1145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41">
        <f t="shared" si="3"/>
        <v>30</v>
      </c>
      <c r="E34" s="1142">
        <v>45113</v>
      </c>
      <c r="F34" s="1143">
        <f t="shared" si="0"/>
        <v>30</v>
      </c>
      <c r="G34" s="1144" t="s">
        <v>210</v>
      </c>
      <c r="H34" s="1145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41">
        <f t="shared" si="3"/>
        <v>80</v>
      </c>
      <c r="E35" s="1142">
        <v>45117</v>
      </c>
      <c r="F35" s="1143">
        <f t="shared" si="0"/>
        <v>80</v>
      </c>
      <c r="G35" s="1144" t="s">
        <v>218</v>
      </c>
      <c r="H35" s="1145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41">
        <f t="shared" si="3"/>
        <v>50</v>
      </c>
      <c r="E36" s="1142">
        <v>45118</v>
      </c>
      <c r="F36" s="1143">
        <f t="shared" si="0"/>
        <v>50</v>
      </c>
      <c r="G36" s="1144" t="s">
        <v>222</v>
      </c>
      <c r="H36" s="1145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41">
        <f t="shared" si="3"/>
        <v>10</v>
      </c>
      <c r="E37" s="1142">
        <v>45119</v>
      </c>
      <c r="F37" s="1143">
        <f t="shared" si="0"/>
        <v>10</v>
      </c>
      <c r="G37" s="1144" t="s">
        <v>227</v>
      </c>
      <c r="H37" s="1145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41">
        <f t="shared" si="3"/>
        <v>20</v>
      </c>
      <c r="E38" s="1146">
        <v>45121</v>
      </c>
      <c r="F38" s="1143">
        <f t="shared" si="0"/>
        <v>20</v>
      </c>
      <c r="G38" s="1144" t="s">
        <v>237</v>
      </c>
      <c r="H38" s="1145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41">
        <f t="shared" si="3"/>
        <v>100</v>
      </c>
      <c r="E39" s="1146">
        <v>45122</v>
      </c>
      <c r="F39" s="1143">
        <f t="shared" si="0"/>
        <v>100</v>
      </c>
      <c r="G39" s="1144" t="s">
        <v>241</v>
      </c>
      <c r="H39" s="1145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41">
        <f t="shared" si="3"/>
        <v>50</v>
      </c>
      <c r="E40" s="1146">
        <v>45122</v>
      </c>
      <c r="F40" s="1143">
        <f t="shared" si="0"/>
        <v>50</v>
      </c>
      <c r="G40" s="1144" t="s">
        <v>244</v>
      </c>
      <c r="H40" s="1145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41">
        <f t="shared" si="3"/>
        <v>80</v>
      </c>
      <c r="E41" s="1146">
        <v>45125</v>
      </c>
      <c r="F41" s="1143">
        <f t="shared" si="0"/>
        <v>80</v>
      </c>
      <c r="G41" s="1144" t="s">
        <v>253</v>
      </c>
      <c r="H41" s="1145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41">
        <f t="shared" si="3"/>
        <v>500</v>
      </c>
      <c r="E42" s="1146">
        <v>45125</v>
      </c>
      <c r="F42" s="1143">
        <f t="shared" si="0"/>
        <v>500</v>
      </c>
      <c r="G42" s="1144" t="s">
        <v>255</v>
      </c>
      <c r="H42" s="1145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41">
        <f t="shared" si="3"/>
        <v>60</v>
      </c>
      <c r="E43" s="1146">
        <v>45128</v>
      </c>
      <c r="F43" s="1143">
        <f t="shared" si="0"/>
        <v>60</v>
      </c>
      <c r="G43" s="1144" t="s">
        <v>263</v>
      </c>
      <c r="H43" s="1145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41">
        <f t="shared" si="3"/>
        <v>30</v>
      </c>
      <c r="E44" s="1146">
        <v>45129</v>
      </c>
      <c r="F44" s="1143">
        <f t="shared" si="0"/>
        <v>30</v>
      </c>
      <c r="G44" s="1144" t="s">
        <v>268</v>
      </c>
      <c r="H44" s="1145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41">
        <f t="shared" si="3"/>
        <v>60</v>
      </c>
      <c r="E45" s="1146">
        <v>45129</v>
      </c>
      <c r="F45" s="1143">
        <f t="shared" si="0"/>
        <v>60</v>
      </c>
      <c r="G45" s="1144" t="s">
        <v>269</v>
      </c>
      <c r="H45" s="1145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41">
        <f t="shared" si="3"/>
        <v>10</v>
      </c>
      <c r="E46" s="1146">
        <v>45129</v>
      </c>
      <c r="F46" s="1143">
        <f t="shared" si="0"/>
        <v>10</v>
      </c>
      <c r="G46" s="1144" t="s">
        <v>271</v>
      </c>
      <c r="H46" s="1145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41">
        <f t="shared" si="3"/>
        <v>60</v>
      </c>
      <c r="E47" s="1146">
        <v>45131</v>
      </c>
      <c r="F47" s="1143">
        <f t="shared" si="0"/>
        <v>60</v>
      </c>
      <c r="G47" s="1144" t="s">
        <v>273</v>
      </c>
      <c r="H47" s="1145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41">
        <f t="shared" si="3"/>
        <v>80</v>
      </c>
      <c r="E48" s="1146">
        <v>45134</v>
      </c>
      <c r="F48" s="1143">
        <f t="shared" si="0"/>
        <v>80</v>
      </c>
      <c r="G48" s="1144" t="s">
        <v>287</v>
      </c>
      <c r="H48" s="1145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41">
        <f t="shared" si="3"/>
        <v>40</v>
      </c>
      <c r="E49" s="1146">
        <v>45136</v>
      </c>
      <c r="F49" s="1143">
        <f t="shared" si="0"/>
        <v>40</v>
      </c>
      <c r="G49" s="1144" t="s">
        <v>300</v>
      </c>
      <c r="H49" s="1145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41">
        <f t="shared" si="3"/>
        <v>10</v>
      </c>
      <c r="E50" s="1146">
        <v>45136</v>
      </c>
      <c r="F50" s="1143">
        <f t="shared" si="0"/>
        <v>10</v>
      </c>
      <c r="G50" s="1144" t="s">
        <v>304</v>
      </c>
      <c r="H50" s="1145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41">
        <f t="shared" si="3"/>
        <v>0</v>
      </c>
      <c r="E51" s="1146"/>
      <c r="F51" s="1143">
        <f t="shared" si="0"/>
        <v>0</v>
      </c>
      <c r="G51" s="1144"/>
      <c r="H51" s="1145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12">
        <f t="shared" si="3"/>
        <v>0</v>
      </c>
      <c r="E52" s="1313"/>
      <c r="F52" s="1314">
        <f t="shared" si="0"/>
        <v>0</v>
      </c>
      <c r="G52" s="1315"/>
      <c r="H52" s="121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12">
        <f t="shared" si="3"/>
        <v>0</v>
      </c>
      <c r="E53" s="1313"/>
      <c r="F53" s="1314">
        <f t="shared" si="0"/>
        <v>0</v>
      </c>
      <c r="G53" s="1315"/>
      <c r="H53" s="121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12">
        <f t="shared" si="3"/>
        <v>0</v>
      </c>
      <c r="E54" s="1313"/>
      <c r="F54" s="1314">
        <f t="shared" si="0"/>
        <v>0</v>
      </c>
      <c r="G54" s="1315"/>
      <c r="H54" s="121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12">
        <f t="shared" si="3"/>
        <v>0</v>
      </c>
      <c r="E55" s="1313"/>
      <c r="F55" s="1314">
        <f t="shared" si="0"/>
        <v>0</v>
      </c>
      <c r="G55" s="1315"/>
      <c r="H55" s="121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12">
        <f t="shared" si="3"/>
        <v>0</v>
      </c>
      <c r="E56" s="1313"/>
      <c r="F56" s="1314">
        <f t="shared" si="0"/>
        <v>0</v>
      </c>
      <c r="G56" s="1315"/>
      <c r="H56" s="121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12">
        <f t="shared" si="3"/>
        <v>0</v>
      </c>
      <c r="E57" s="1313"/>
      <c r="F57" s="1314">
        <f t="shared" si="0"/>
        <v>0</v>
      </c>
      <c r="G57" s="1315"/>
      <c r="H57" s="121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12">
        <f t="shared" si="3"/>
        <v>0</v>
      </c>
      <c r="E58" s="1313"/>
      <c r="F58" s="1314">
        <f t="shared" si="0"/>
        <v>0</v>
      </c>
      <c r="G58" s="1315"/>
      <c r="H58" s="121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12">
        <f t="shared" si="3"/>
        <v>0</v>
      </c>
      <c r="E59" s="1313"/>
      <c r="F59" s="1314">
        <f t="shared" si="0"/>
        <v>0</v>
      </c>
      <c r="G59" s="1315"/>
      <c r="H59" s="121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12">
        <f t="shared" si="3"/>
        <v>0</v>
      </c>
      <c r="E60" s="1313"/>
      <c r="F60" s="1314">
        <f t="shared" si="0"/>
        <v>0</v>
      </c>
      <c r="G60" s="1315"/>
      <c r="H60" s="121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12">
        <f t="shared" si="3"/>
        <v>0</v>
      </c>
      <c r="E61" s="1313"/>
      <c r="F61" s="1314">
        <f t="shared" si="0"/>
        <v>0</v>
      </c>
      <c r="G61" s="1315"/>
      <c r="H61" s="121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12">
        <f t="shared" si="3"/>
        <v>0</v>
      </c>
      <c r="E62" s="1313"/>
      <c r="F62" s="1314">
        <f t="shared" si="0"/>
        <v>0</v>
      </c>
      <c r="G62" s="1315"/>
      <c r="H62" s="121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12">
        <f t="shared" si="3"/>
        <v>0</v>
      </c>
      <c r="E63" s="1313"/>
      <c r="F63" s="1314">
        <f t="shared" si="0"/>
        <v>0</v>
      </c>
      <c r="G63" s="1315"/>
      <c r="H63" s="121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12">
        <f t="shared" si="3"/>
        <v>0</v>
      </c>
      <c r="E64" s="1313"/>
      <c r="F64" s="1314">
        <f t="shared" si="0"/>
        <v>0</v>
      </c>
      <c r="G64" s="1315"/>
      <c r="H64" s="121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12">
        <f t="shared" si="3"/>
        <v>0</v>
      </c>
      <c r="E65" s="1313"/>
      <c r="F65" s="1314">
        <f t="shared" si="0"/>
        <v>0</v>
      </c>
      <c r="G65" s="1315"/>
      <c r="H65" s="121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12">
        <f t="shared" si="3"/>
        <v>0</v>
      </c>
      <c r="E66" s="1313"/>
      <c r="F66" s="1314">
        <f t="shared" si="0"/>
        <v>0</v>
      </c>
      <c r="G66" s="1315"/>
      <c r="H66" s="121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12">
        <f t="shared" si="3"/>
        <v>0</v>
      </c>
      <c r="E67" s="1313"/>
      <c r="F67" s="1314">
        <f t="shared" si="0"/>
        <v>0</v>
      </c>
      <c r="G67" s="1315"/>
      <c r="H67" s="1210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12">
        <f t="shared" si="3"/>
        <v>0</v>
      </c>
      <c r="E68" s="1313"/>
      <c r="F68" s="1314">
        <f t="shared" si="0"/>
        <v>0</v>
      </c>
      <c r="G68" s="1315"/>
      <c r="H68" s="121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38" t="s">
        <v>21</v>
      </c>
      <c r="E72" s="1639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42" t="s">
        <v>93</v>
      </c>
      <c r="B1" s="1642"/>
      <c r="C1" s="1642"/>
      <c r="D1" s="1642"/>
      <c r="E1" s="1642"/>
      <c r="F1" s="1642"/>
      <c r="G1" s="1642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649"/>
      <c r="B5" s="1677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649"/>
      <c r="B6" s="1677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38" t="s">
        <v>21</v>
      </c>
      <c r="E32" s="163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38" t="s">
        <v>21</v>
      </c>
      <c r="E29" s="163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5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8" t="s">
        <v>310</v>
      </c>
      <c r="B1" s="1678"/>
      <c r="C1" s="1678"/>
      <c r="D1" s="1678"/>
      <c r="E1" s="1678"/>
      <c r="F1" s="1678"/>
      <c r="G1" s="167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05"/>
      <c r="G4" s="1206"/>
      <c r="H4" s="144"/>
      <c r="I4" s="367"/>
    </row>
    <row r="5" spans="1:10" ht="14.25" customHeight="1" x14ac:dyDescent="0.25">
      <c r="A5" s="1649" t="s">
        <v>95</v>
      </c>
      <c r="B5" s="1677" t="s">
        <v>136</v>
      </c>
      <c r="C5" s="360">
        <v>350</v>
      </c>
      <c r="D5" s="130">
        <v>45131</v>
      </c>
      <c r="E5" s="85">
        <v>14400</v>
      </c>
      <c r="F5" s="1205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649"/>
      <c r="B6" s="1677"/>
      <c r="C6" s="361"/>
      <c r="D6" s="130"/>
      <c r="E6" s="74"/>
      <c r="F6" s="1205"/>
      <c r="G6" s="1205"/>
      <c r="H6" s="74"/>
      <c r="I6" s="230"/>
    </row>
    <row r="7" spans="1:10" ht="15.75" thickBot="1" x14ac:dyDescent="0.3">
      <c r="A7" s="213"/>
      <c r="B7" s="1677"/>
      <c r="C7" s="361"/>
      <c r="D7" s="130"/>
      <c r="E7" s="74"/>
      <c r="F7" s="1205"/>
      <c r="G7" s="1205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09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76">
        <f t="shared" si="0"/>
        <v>0</v>
      </c>
      <c r="E13" s="1277"/>
      <c r="F13" s="1276">
        <f t="shared" si="1"/>
        <v>0</v>
      </c>
      <c r="G13" s="1131"/>
      <c r="H13" s="1132"/>
      <c r="I13" s="1278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76">
        <f t="shared" si="0"/>
        <v>0</v>
      </c>
      <c r="E14" s="1277"/>
      <c r="F14" s="1276">
        <f t="shared" si="1"/>
        <v>0</v>
      </c>
      <c r="G14" s="1131"/>
      <c r="H14" s="1132"/>
      <c r="I14" s="1278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76">
        <f t="shared" si="0"/>
        <v>0</v>
      </c>
      <c r="E15" s="1277"/>
      <c r="F15" s="1276">
        <f t="shared" si="1"/>
        <v>0</v>
      </c>
      <c r="G15" s="1131"/>
      <c r="H15" s="1132"/>
      <c r="I15" s="1278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76">
        <f>10*C16</f>
        <v>0</v>
      </c>
      <c r="E16" s="1277"/>
      <c r="F16" s="1276">
        <f t="shared" si="1"/>
        <v>0</v>
      </c>
      <c r="G16" s="1131"/>
      <c r="H16" s="1132"/>
      <c r="I16" s="1278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76">
        <f t="shared" ref="D17:D68" si="5">10*C17</f>
        <v>0</v>
      </c>
      <c r="E17" s="1277"/>
      <c r="F17" s="1276">
        <f t="shared" si="1"/>
        <v>0</v>
      </c>
      <c r="G17" s="1131"/>
      <c r="H17" s="1132"/>
      <c r="I17" s="1278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76">
        <f t="shared" si="5"/>
        <v>0</v>
      </c>
      <c r="E18" s="1277"/>
      <c r="F18" s="1276">
        <f t="shared" si="1"/>
        <v>0</v>
      </c>
      <c r="G18" s="1131"/>
      <c r="H18" s="1132"/>
      <c r="I18" s="1278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76">
        <f t="shared" si="5"/>
        <v>0</v>
      </c>
      <c r="E19" s="1277"/>
      <c r="F19" s="1276">
        <f t="shared" si="1"/>
        <v>0</v>
      </c>
      <c r="G19" s="1131"/>
      <c r="H19" s="1132"/>
      <c r="I19" s="1278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76">
        <f t="shared" si="5"/>
        <v>0</v>
      </c>
      <c r="E20" s="1277"/>
      <c r="F20" s="1276">
        <f t="shared" si="1"/>
        <v>0</v>
      </c>
      <c r="G20" s="1131"/>
      <c r="H20" s="1132"/>
      <c r="I20" s="1278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76">
        <f t="shared" si="5"/>
        <v>0</v>
      </c>
      <c r="E21" s="1277"/>
      <c r="F21" s="1276">
        <f t="shared" si="1"/>
        <v>0</v>
      </c>
      <c r="G21" s="1131"/>
      <c r="H21" s="1132"/>
      <c r="I21" s="1278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76">
        <f t="shared" si="5"/>
        <v>0</v>
      </c>
      <c r="E22" s="1277"/>
      <c r="F22" s="1276">
        <f t="shared" si="1"/>
        <v>0</v>
      </c>
      <c r="G22" s="1131"/>
      <c r="H22" s="1132"/>
      <c r="I22" s="1278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76">
        <f t="shared" si="5"/>
        <v>0</v>
      </c>
      <c r="E23" s="1279"/>
      <c r="F23" s="1276">
        <f t="shared" si="1"/>
        <v>0</v>
      </c>
      <c r="G23" s="1131"/>
      <c r="H23" s="1132"/>
      <c r="I23" s="1278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76">
        <f t="shared" si="5"/>
        <v>0</v>
      </c>
      <c r="E24" s="1279"/>
      <c r="F24" s="1276">
        <f t="shared" si="1"/>
        <v>0</v>
      </c>
      <c r="G24" s="1131"/>
      <c r="H24" s="1132"/>
      <c r="I24" s="1278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76">
        <f t="shared" si="5"/>
        <v>0</v>
      </c>
      <c r="E25" s="1279"/>
      <c r="F25" s="1276">
        <f t="shared" si="1"/>
        <v>0</v>
      </c>
      <c r="G25" s="1131"/>
      <c r="H25" s="1132"/>
      <c r="I25" s="1278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76">
        <f t="shared" si="5"/>
        <v>0</v>
      </c>
      <c r="E26" s="1279"/>
      <c r="F26" s="1276">
        <f t="shared" si="1"/>
        <v>0</v>
      </c>
      <c r="G26" s="1131"/>
      <c r="H26" s="1132"/>
      <c r="I26" s="1278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76">
        <f t="shared" si="5"/>
        <v>0</v>
      </c>
      <c r="E27" s="1279"/>
      <c r="F27" s="1276">
        <f t="shared" si="1"/>
        <v>0</v>
      </c>
      <c r="G27" s="1131"/>
      <c r="H27" s="1132"/>
      <c r="I27" s="1278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76">
        <f t="shared" si="5"/>
        <v>0</v>
      </c>
      <c r="E28" s="1279"/>
      <c r="F28" s="1276">
        <f t="shared" si="1"/>
        <v>0</v>
      </c>
      <c r="G28" s="1131"/>
      <c r="H28" s="1132"/>
      <c r="I28" s="1278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76">
        <f t="shared" si="5"/>
        <v>0</v>
      </c>
      <c r="E29" s="1279"/>
      <c r="F29" s="1276">
        <f t="shared" si="1"/>
        <v>0</v>
      </c>
      <c r="G29" s="1131"/>
      <c r="H29" s="1132"/>
      <c r="I29" s="1278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76">
        <f t="shared" si="5"/>
        <v>0</v>
      </c>
      <c r="E30" s="1279"/>
      <c r="F30" s="1276">
        <f t="shared" si="1"/>
        <v>0</v>
      </c>
      <c r="G30" s="1131"/>
      <c r="H30" s="1132"/>
      <c r="I30" s="1278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76">
        <f t="shared" si="5"/>
        <v>0</v>
      </c>
      <c r="E31" s="1279"/>
      <c r="F31" s="1276">
        <f t="shared" si="1"/>
        <v>0</v>
      </c>
      <c r="G31" s="1131"/>
      <c r="H31" s="1132"/>
      <c r="I31" s="1278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76">
        <f t="shared" si="5"/>
        <v>0</v>
      </c>
      <c r="E32" s="1279"/>
      <c r="F32" s="1276">
        <f t="shared" si="1"/>
        <v>0</v>
      </c>
      <c r="G32" s="1131"/>
      <c r="H32" s="1132"/>
      <c r="I32" s="1278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76">
        <f t="shared" si="5"/>
        <v>0</v>
      </c>
      <c r="E33" s="1279"/>
      <c r="F33" s="1276">
        <f t="shared" si="1"/>
        <v>0</v>
      </c>
      <c r="G33" s="1131"/>
      <c r="H33" s="1132"/>
      <c r="I33" s="1278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76">
        <f t="shared" si="5"/>
        <v>0</v>
      </c>
      <c r="E34" s="1279"/>
      <c r="F34" s="1276">
        <f t="shared" si="1"/>
        <v>0</v>
      </c>
      <c r="G34" s="1131"/>
      <c r="H34" s="1132"/>
      <c r="I34" s="1278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76">
        <f t="shared" si="5"/>
        <v>0</v>
      </c>
      <c r="E35" s="1279"/>
      <c r="F35" s="1276">
        <f t="shared" si="1"/>
        <v>0</v>
      </c>
      <c r="G35" s="1131"/>
      <c r="H35" s="1132"/>
      <c r="I35" s="1278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11">
        <f t="shared" si="5"/>
        <v>0</v>
      </c>
      <c r="E54" s="1212"/>
      <c r="F54" s="1211">
        <f t="shared" si="1"/>
        <v>0</v>
      </c>
      <c r="G54" s="1213"/>
      <c r="H54" s="1210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11">
        <f t="shared" si="5"/>
        <v>0</v>
      </c>
      <c r="E55" s="1212"/>
      <c r="F55" s="1211">
        <f t="shared" si="1"/>
        <v>0</v>
      </c>
      <c r="G55" s="1213"/>
      <c r="H55" s="1210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11">
        <f t="shared" si="5"/>
        <v>0</v>
      </c>
      <c r="E56" s="1212"/>
      <c r="F56" s="1211">
        <f t="shared" si="1"/>
        <v>0</v>
      </c>
      <c r="G56" s="1213"/>
      <c r="H56" s="1210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11">
        <f t="shared" si="5"/>
        <v>0</v>
      </c>
      <c r="E57" s="1212"/>
      <c r="F57" s="1211">
        <f t="shared" si="1"/>
        <v>0</v>
      </c>
      <c r="G57" s="1213"/>
      <c r="H57" s="1210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11">
        <f t="shared" si="5"/>
        <v>0</v>
      </c>
      <c r="E58" s="1212"/>
      <c r="F58" s="1211">
        <f t="shared" si="1"/>
        <v>0</v>
      </c>
      <c r="G58" s="1213"/>
      <c r="H58" s="1210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11">
        <f t="shared" si="5"/>
        <v>0</v>
      </c>
      <c r="E59" s="1212"/>
      <c r="F59" s="1211">
        <f t="shared" si="1"/>
        <v>0</v>
      </c>
      <c r="G59" s="1213"/>
      <c r="H59" s="1210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14">
        <f t="shared" si="5"/>
        <v>0</v>
      </c>
      <c r="E60" s="1215"/>
      <c r="F60" s="1214">
        <f t="shared" si="1"/>
        <v>0</v>
      </c>
      <c r="G60" s="1216"/>
      <c r="H60" s="1147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14">
        <f t="shared" si="5"/>
        <v>0</v>
      </c>
      <c r="E61" s="1215"/>
      <c r="F61" s="1214">
        <f t="shared" si="1"/>
        <v>0</v>
      </c>
      <c r="G61" s="1216"/>
      <c r="H61" s="1147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14">
        <f t="shared" si="5"/>
        <v>0</v>
      </c>
      <c r="E62" s="1215"/>
      <c r="F62" s="1214">
        <f t="shared" si="1"/>
        <v>0</v>
      </c>
      <c r="G62" s="1216"/>
      <c r="H62" s="1147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14">
        <f t="shared" si="5"/>
        <v>0</v>
      </c>
      <c r="E63" s="1215"/>
      <c r="F63" s="1214">
        <f t="shared" si="1"/>
        <v>0</v>
      </c>
      <c r="G63" s="1216"/>
      <c r="H63" s="1147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14">
        <f t="shared" si="5"/>
        <v>0</v>
      </c>
      <c r="E64" s="1215"/>
      <c r="F64" s="1214">
        <f t="shared" si="1"/>
        <v>0</v>
      </c>
      <c r="G64" s="1216"/>
      <c r="H64" s="1147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14">
        <f t="shared" si="5"/>
        <v>0</v>
      </c>
      <c r="E65" s="1215"/>
      <c r="F65" s="1214">
        <f t="shared" si="1"/>
        <v>0</v>
      </c>
      <c r="G65" s="1216"/>
      <c r="H65" s="1147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14">
        <f t="shared" si="5"/>
        <v>0</v>
      </c>
      <c r="E66" s="1215"/>
      <c r="F66" s="1214">
        <f t="shared" si="1"/>
        <v>0</v>
      </c>
      <c r="G66" s="1216"/>
      <c r="H66" s="1147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05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38" t="s">
        <v>21</v>
      </c>
      <c r="E78" s="1639"/>
      <c r="F78" s="137">
        <f>G5-F76</f>
        <v>0</v>
      </c>
    </row>
    <row r="79" spans="1:10" ht="15.75" thickBot="1" x14ac:dyDescent="0.3">
      <c r="A79" s="121"/>
      <c r="D79" s="1203" t="s">
        <v>4</v>
      </c>
      <c r="E79" s="1204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78" t="s">
        <v>311</v>
      </c>
      <c r="B1" s="1678"/>
      <c r="C1" s="1678"/>
      <c r="D1" s="1678"/>
      <c r="E1" s="1678"/>
      <c r="F1" s="1678"/>
      <c r="G1" s="167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679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649" t="s">
        <v>95</v>
      </c>
      <c r="B5" s="1679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649"/>
      <c r="B6" s="1679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79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0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0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0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0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5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5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49">
        <f t="shared" si="3"/>
        <v>30</v>
      </c>
      <c r="E30" s="1150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49">
        <f t="shared" si="3"/>
        <v>20</v>
      </c>
      <c r="E31" s="1150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49">
        <f t="shared" si="3"/>
        <v>20</v>
      </c>
      <c r="E32" s="1150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49">
        <f t="shared" si="3"/>
        <v>0</v>
      </c>
      <c r="E33" s="1150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49">
        <f t="shared" si="3"/>
        <v>20</v>
      </c>
      <c r="E34" s="1150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49">
        <f t="shared" si="3"/>
        <v>30</v>
      </c>
      <c r="E35" s="1150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49">
        <f t="shared" si="3"/>
        <v>100</v>
      </c>
      <c r="E36" s="1150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49">
        <f t="shared" si="3"/>
        <v>100</v>
      </c>
      <c r="E37" s="1150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49">
        <f t="shared" si="3"/>
        <v>0</v>
      </c>
      <c r="E38" s="1150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4">
        <f t="shared" si="3"/>
        <v>0</v>
      </c>
      <c r="E39" s="1280"/>
      <c r="F39" s="1281">
        <f t="shared" si="0"/>
        <v>0</v>
      </c>
      <c r="G39" s="1032"/>
      <c r="H39" s="1033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4">
        <f t="shared" si="3"/>
        <v>0</v>
      </c>
      <c r="E40" s="1280"/>
      <c r="F40" s="1281">
        <f t="shared" si="0"/>
        <v>0</v>
      </c>
      <c r="G40" s="1032"/>
      <c r="H40" s="1033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4">
        <f t="shared" si="3"/>
        <v>0</v>
      </c>
      <c r="E41" s="1280"/>
      <c r="F41" s="1281">
        <f t="shared" si="0"/>
        <v>0</v>
      </c>
      <c r="G41" s="1032"/>
      <c r="H41" s="1033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4">
        <f t="shared" si="3"/>
        <v>0</v>
      </c>
      <c r="E42" s="1280"/>
      <c r="F42" s="1281">
        <f t="shared" si="0"/>
        <v>0</v>
      </c>
      <c r="G42" s="1032"/>
      <c r="H42" s="1033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4">
        <f t="shared" si="3"/>
        <v>0</v>
      </c>
      <c r="E43" s="1280"/>
      <c r="F43" s="1281">
        <f t="shared" si="0"/>
        <v>0</v>
      </c>
      <c r="G43" s="1032"/>
      <c r="H43" s="1033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4">
        <f t="shared" si="3"/>
        <v>0</v>
      </c>
      <c r="E44" s="1280"/>
      <c r="F44" s="1281">
        <f t="shared" si="0"/>
        <v>0</v>
      </c>
      <c r="G44" s="1032"/>
      <c r="H44" s="1033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4">
        <f t="shared" si="3"/>
        <v>0</v>
      </c>
      <c r="E45" s="1280"/>
      <c r="F45" s="1281">
        <f t="shared" si="0"/>
        <v>0</v>
      </c>
      <c r="G45" s="1032"/>
      <c r="H45" s="1033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4">
        <f t="shared" si="3"/>
        <v>0</v>
      </c>
      <c r="E46" s="1280"/>
      <c r="F46" s="1281">
        <f t="shared" si="0"/>
        <v>0</v>
      </c>
      <c r="G46" s="1032"/>
      <c r="H46" s="1033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4">
        <f t="shared" si="3"/>
        <v>0</v>
      </c>
      <c r="E47" s="1282"/>
      <c r="F47" s="1283">
        <f t="shared" si="0"/>
        <v>0</v>
      </c>
      <c r="G47" s="1035"/>
      <c r="H47" s="1036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4">
        <f t="shared" si="3"/>
        <v>0</v>
      </c>
      <c r="E48" s="1282"/>
      <c r="F48" s="1283">
        <f t="shared" si="0"/>
        <v>0</v>
      </c>
      <c r="G48" s="1035"/>
      <c r="H48" s="1036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4">
        <f t="shared" si="3"/>
        <v>0</v>
      </c>
      <c r="E49" s="1285"/>
      <c r="F49" s="1286">
        <f t="shared" si="0"/>
        <v>0</v>
      </c>
      <c r="G49" s="1287"/>
      <c r="H49" s="1288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38" t="s">
        <v>21</v>
      </c>
      <c r="E52" s="1639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654" t="s">
        <v>323</v>
      </c>
      <c r="B5" s="1680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654"/>
      <c r="B6" s="1680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81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638" t="s">
        <v>21</v>
      </c>
      <c r="E32" s="1639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selection activeCell="M15" sqref="M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655" t="s">
        <v>312</v>
      </c>
      <c r="B1" s="1655"/>
      <c r="C1" s="1655"/>
      <c r="D1" s="1655"/>
      <c r="E1" s="1655"/>
      <c r="F1" s="1655"/>
      <c r="G1" s="1655"/>
      <c r="H1" s="11">
        <v>1</v>
      </c>
      <c r="K1" s="1645" t="s">
        <v>333</v>
      </c>
      <c r="L1" s="1645"/>
      <c r="M1" s="1645"/>
      <c r="N1" s="1645"/>
      <c r="O1" s="1645"/>
      <c r="P1" s="1645"/>
      <c r="Q1" s="164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649" t="s">
        <v>96</v>
      </c>
      <c r="B5" s="1683" t="s">
        <v>97</v>
      </c>
      <c r="C5" s="880">
        <v>63</v>
      </c>
      <c r="D5" s="130">
        <v>45112</v>
      </c>
      <c r="E5" s="433">
        <v>1178.1600000000001</v>
      </c>
      <c r="F5" s="1113">
        <v>35</v>
      </c>
      <c r="G5" s="1115"/>
      <c r="K5" s="1682" t="s">
        <v>96</v>
      </c>
      <c r="L5" s="1683" t="s">
        <v>97</v>
      </c>
      <c r="M5" s="880">
        <v>63</v>
      </c>
      <c r="N5" s="130">
        <v>45141</v>
      </c>
      <c r="O5" s="433">
        <v>562.75</v>
      </c>
      <c r="P5" s="1319">
        <v>17</v>
      </c>
      <c r="Q5" s="1321"/>
    </row>
    <row r="6" spans="1:19" ht="15.75" customHeight="1" thickBot="1" x14ac:dyDescent="0.35">
      <c r="A6" s="1649"/>
      <c r="B6" s="1683"/>
      <c r="C6" s="880">
        <v>63</v>
      </c>
      <c r="D6" s="130">
        <v>45133</v>
      </c>
      <c r="E6" s="866">
        <v>666.16</v>
      </c>
      <c r="F6" s="1113">
        <v>20</v>
      </c>
      <c r="G6" s="87">
        <f>F39</f>
        <v>1838.7700000000002</v>
      </c>
      <c r="H6" s="7">
        <f>E6-G6+E5+E7+E4</f>
        <v>432.28999999999996</v>
      </c>
      <c r="K6" s="1682"/>
      <c r="L6" s="1683"/>
      <c r="M6" s="880">
        <v>66</v>
      </c>
      <c r="N6" s="130">
        <v>45154</v>
      </c>
      <c r="O6" s="866">
        <v>632.07000000000005</v>
      </c>
      <c r="P6" s="1319">
        <v>20</v>
      </c>
      <c r="Q6" s="87">
        <f>P39</f>
        <v>0</v>
      </c>
      <c r="R6" s="7">
        <f>O6-Q6+O5+O7+O4</f>
        <v>2552.34</v>
      </c>
    </row>
    <row r="7" spans="1:19" ht="30.75" thickBot="1" x14ac:dyDescent="0.35">
      <c r="B7" s="1328" t="s">
        <v>109</v>
      </c>
      <c r="C7" s="1684" t="s">
        <v>332</v>
      </c>
      <c r="D7" s="1684"/>
      <c r="E7" s="172">
        <v>88.67</v>
      </c>
      <c r="F7" s="133">
        <v>6</v>
      </c>
      <c r="L7" s="1476"/>
      <c r="M7" s="1477">
        <v>65</v>
      </c>
      <c r="N7" s="1478">
        <v>45164</v>
      </c>
      <c r="O7" s="1481">
        <v>1357.52</v>
      </c>
      <c r="P7" s="1479">
        <v>40</v>
      </c>
      <c r="Q7" s="1480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1" t="s">
        <v>7</v>
      </c>
      <c r="M8" s="304" t="s">
        <v>8</v>
      </c>
      <c r="N8" s="1473" t="s">
        <v>17</v>
      </c>
      <c r="O8" s="175" t="s">
        <v>2</v>
      </c>
      <c r="P8" s="1474" t="s">
        <v>18</v>
      </c>
      <c r="Q8" s="1475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77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2552.34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77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2552.34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77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2552.34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77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2552.34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77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2552.34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77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2552.34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77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2552.34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77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2552.34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77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2552.34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77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2552.34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77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2552.34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77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2552.34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77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2552.34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77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2552.34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77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2552.34</v>
      </c>
    </row>
    <row r="24" spans="2:19" x14ac:dyDescent="0.25">
      <c r="B24" s="713">
        <f t="shared" si="7"/>
        <v>13</v>
      </c>
      <c r="C24" s="566"/>
      <c r="D24" s="1271">
        <v>0</v>
      </c>
      <c r="E24" s="1291"/>
      <c r="F24" s="1101">
        <f t="shared" si="2"/>
        <v>0</v>
      </c>
      <c r="G24" s="1273"/>
      <c r="H24" s="1274"/>
      <c r="I24" s="550">
        <f t="shared" si="9"/>
        <v>432.29000000000019</v>
      </c>
      <c r="L24" s="713">
        <f t="shared" si="8"/>
        <v>77</v>
      </c>
      <c r="M24" s="566"/>
      <c r="N24" s="555">
        <v>0</v>
      </c>
      <c r="O24" s="1291"/>
      <c r="P24" s="586">
        <f t="shared" si="1"/>
        <v>0</v>
      </c>
      <c r="Q24" s="1273"/>
      <c r="R24" s="1274"/>
      <c r="S24" s="550">
        <f t="shared" si="10"/>
        <v>2552.34</v>
      </c>
    </row>
    <row r="25" spans="2:19" x14ac:dyDescent="0.25">
      <c r="B25" s="713">
        <f t="shared" si="7"/>
        <v>13</v>
      </c>
      <c r="C25" s="566"/>
      <c r="D25" s="1271">
        <v>0</v>
      </c>
      <c r="E25" s="1291"/>
      <c r="F25" s="1101">
        <f t="shared" si="2"/>
        <v>0</v>
      </c>
      <c r="G25" s="1273"/>
      <c r="H25" s="1274"/>
      <c r="I25" s="550">
        <f t="shared" si="9"/>
        <v>432.29000000000019</v>
      </c>
      <c r="L25" s="713">
        <f t="shared" si="8"/>
        <v>77</v>
      </c>
      <c r="M25" s="566"/>
      <c r="N25" s="555">
        <v>0</v>
      </c>
      <c r="O25" s="1291"/>
      <c r="P25" s="586">
        <f t="shared" si="1"/>
        <v>0</v>
      </c>
      <c r="Q25" s="1273"/>
      <c r="R25" s="1274"/>
      <c r="S25" s="550">
        <f t="shared" si="10"/>
        <v>2552.34</v>
      </c>
    </row>
    <row r="26" spans="2:19" x14ac:dyDescent="0.25">
      <c r="B26" s="713">
        <f t="shared" si="7"/>
        <v>13</v>
      </c>
      <c r="C26" s="566"/>
      <c r="D26" s="1271">
        <v>0</v>
      </c>
      <c r="E26" s="1291"/>
      <c r="F26" s="1101">
        <f t="shared" si="2"/>
        <v>0</v>
      </c>
      <c r="G26" s="1273"/>
      <c r="H26" s="1274"/>
      <c r="I26" s="550">
        <f t="shared" si="9"/>
        <v>432.29000000000019</v>
      </c>
      <c r="L26" s="713">
        <f t="shared" si="8"/>
        <v>77</v>
      </c>
      <c r="M26" s="566"/>
      <c r="N26" s="555">
        <v>0</v>
      </c>
      <c r="O26" s="1291"/>
      <c r="P26" s="586">
        <f t="shared" si="1"/>
        <v>0</v>
      </c>
      <c r="Q26" s="1273"/>
      <c r="R26" s="1274"/>
      <c r="S26" s="550">
        <f t="shared" si="10"/>
        <v>2552.34</v>
      </c>
    </row>
    <row r="27" spans="2:19" x14ac:dyDescent="0.25">
      <c r="B27" s="713">
        <f t="shared" si="7"/>
        <v>13</v>
      </c>
      <c r="C27" s="566"/>
      <c r="D27" s="1271">
        <v>0</v>
      </c>
      <c r="E27" s="1291"/>
      <c r="F27" s="1101">
        <f t="shared" si="2"/>
        <v>0</v>
      </c>
      <c r="G27" s="1273"/>
      <c r="H27" s="1274"/>
      <c r="I27" s="550">
        <f t="shared" si="9"/>
        <v>432.29000000000019</v>
      </c>
      <c r="L27" s="713">
        <f t="shared" si="8"/>
        <v>77</v>
      </c>
      <c r="M27" s="566"/>
      <c r="N27" s="555">
        <v>0</v>
      </c>
      <c r="O27" s="1291"/>
      <c r="P27" s="586">
        <f t="shared" si="1"/>
        <v>0</v>
      </c>
      <c r="Q27" s="1273"/>
      <c r="R27" s="1274"/>
      <c r="S27" s="550">
        <f t="shared" si="10"/>
        <v>2552.34</v>
      </c>
    </row>
    <row r="28" spans="2:19" x14ac:dyDescent="0.25">
      <c r="B28" s="713">
        <f t="shared" si="7"/>
        <v>13</v>
      </c>
      <c r="C28" s="566"/>
      <c r="D28" s="1271">
        <v>0</v>
      </c>
      <c r="E28" s="1291"/>
      <c r="F28" s="1101">
        <f t="shared" si="2"/>
        <v>0</v>
      </c>
      <c r="G28" s="1273"/>
      <c r="H28" s="1274"/>
      <c r="I28" s="550">
        <f t="shared" si="9"/>
        <v>432.29000000000019</v>
      </c>
      <c r="L28" s="713">
        <f t="shared" si="8"/>
        <v>77</v>
      </c>
      <c r="M28" s="566"/>
      <c r="N28" s="555">
        <v>0</v>
      </c>
      <c r="O28" s="1291"/>
      <c r="P28" s="586">
        <f t="shared" si="1"/>
        <v>0</v>
      </c>
      <c r="Q28" s="1273"/>
      <c r="R28" s="1274"/>
      <c r="S28" s="550">
        <f t="shared" si="10"/>
        <v>2552.34</v>
      </c>
    </row>
    <row r="29" spans="2:19" x14ac:dyDescent="0.25">
      <c r="B29" s="713">
        <f t="shared" si="7"/>
        <v>13</v>
      </c>
      <c r="C29" s="566"/>
      <c r="D29" s="1271">
        <v>0</v>
      </c>
      <c r="E29" s="1291"/>
      <c r="F29" s="1101">
        <f t="shared" si="2"/>
        <v>0</v>
      </c>
      <c r="G29" s="1273"/>
      <c r="H29" s="1274"/>
      <c r="I29" s="550">
        <f t="shared" si="9"/>
        <v>432.29000000000019</v>
      </c>
      <c r="L29" s="713">
        <f t="shared" si="8"/>
        <v>77</v>
      </c>
      <c r="M29" s="566"/>
      <c r="N29" s="555">
        <v>0</v>
      </c>
      <c r="O29" s="1291"/>
      <c r="P29" s="586">
        <f t="shared" si="1"/>
        <v>0</v>
      </c>
      <c r="Q29" s="1273"/>
      <c r="R29" s="1274"/>
      <c r="S29" s="550">
        <f t="shared" si="10"/>
        <v>2552.34</v>
      </c>
    </row>
    <row r="30" spans="2:19" x14ac:dyDescent="0.25">
      <c r="B30" s="713">
        <f t="shared" si="7"/>
        <v>13</v>
      </c>
      <c r="C30" s="566"/>
      <c r="D30" s="1271">
        <v>0</v>
      </c>
      <c r="E30" s="1291"/>
      <c r="F30" s="1101">
        <f t="shared" si="2"/>
        <v>0</v>
      </c>
      <c r="G30" s="1273"/>
      <c r="H30" s="1274"/>
      <c r="I30" s="550">
        <f t="shared" si="9"/>
        <v>432.29000000000019</v>
      </c>
      <c r="L30" s="713">
        <f t="shared" si="8"/>
        <v>77</v>
      </c>
      <c r="M30" s="566"/>
      <c r="N30" s="555">
        <v>0</v>
      </c>
      <c r="O30" s="1291"/>
      <c r="P30" s="586">
        <f t="shared" si="1"/>
        <v>0</v>
      </c>
      <c r="Q30" s="1273"/>
      <c r="R30" s="1274"/>
      <c r="S30" s="550">
        <f t="shared" si="10"/>
        <v>2552.34</v>
      </c>
    </row>
    <row r="31" spans="2:19" x14ac:dyDescent="0.25">
      <c r="B31" s="713">
        <f t="shared" si="7"/>
        <v>13</v>
      </c>
      <c r="C31" s="566"/>
      <c r="D31" s="1271">
        <v>0</v>
      </c>
      <c r="E31" s="1291"/>
      <c r="F31" s="1101">
        <f t="shared" si="2"/>
        <v>0</v>
      </c>
      <c r="G31" s="1273"/>
      <c r="H31" s="1274"/>
      <c r="I31" s="550">
        <f t="shared" si="9"/>
        <v>432.29000000000019</v>
      </c>
      <c r="L31" s="713">
        <f t="shared" si="8"/>
        <v>77</v>
      </c>
      <c r="M31" s="566"/>
      <c r="N31" s="555">
        <v>0</v>
      </c>
      <c r="O31" s="1291"/>
      <c r="P31" s="586">
        <f t="shared" si="1"/>
        <v>0</v>
      </c>
      <c r="Q31" s="1273"/>
      <c r="R31" s="1274"/>
      <c r="S31" s="550">
        <f t="shared" si="10"/>
        <v>2552.34</v>
      </c>
    </row>
    <row r="32" spans="2:19" x14ac:dyDescent="0.25">
      <c r="B32" s="713">
        <f t="shared" si="7"/>
        <v>13</v>
      </c>
      <c r="C32" s="566"/>
      <c r="D32" s="1271">
        <v>0</v>
      </c>
      <c r="E32" s="1291"/>
      <c r="F32" s="1101">
        <f t="shared" si="2"/>
        <v>0</v>
      </c>
      <c r="G32" s="1273"/>
      <c r="H32" s="1274"/>
      <c r="I32" s="550">
        <f t="shared" si="9"/>
        <v>432.29000000000019</v>
      </c>
      <c r="L32" s="713">
        <f t="shared" si="8"/>
        <v>77</v>
      </c>
      <c r="M32" s="566"/>
      <c r="N32" s="555">
        <v>0</v>
      </c>
      <c r="O32" s="1291"/>
      <c r="P32" s="586">
        <f t="shared" si="1"/>
        <v>0</v>
      </c>
      <c r="Q32" s="1273"/>
      <c r="R32" s="1274"/>
      <c r="S32" s="550">
        <f t="shared" si="10"/>
        <v>2552.34</v>
      </c>
    </row>
    <row r="33" spans="1:19" x14ac:dyDescent="0.25">
      <c r="B33" s="713">
        <f t="shared" si="7"/>
        <v>13</v>
      </c>
      <c r="C33" s="566"/>
      <c r="D33" s="1271">
        <v>0</v>
      </c>
      <c r="E33" s="1291"/>
      <c r="F33" s="1101">
        <f t="shared" si="2"/>
        <v>0</v>
      </c>
      <c r="G33" s="1273"/>
      <c r="H33" s="1274"/>
      <c r="I33" s="550">
        <f t="shared" si="9"/>
        <v>432.29000000000019</v>
      </c>
      <c r="L33" s="713">
        <f t="shared" si="8"/>
        <v>77</v>
      </c>
      <c r="M33" s="566"/>
      <c r="N33" s="555">
        <v>0</v>
      </c>
      <c r="O33" s="1291"/>
      <c r="P33" s="586">
        <f t="shared" si="1"/>
        <v>0</v>
      </c>
      <c r="Q33" s="1273"/>
      <c r="R33" s="1274"/>
      <c r="S33" s="550">
        <f t="shared" si="10"/>
        <v>2552.34</v>
      </c>
    </row>
    <row r="34" spans="1:19" x14ac:dyDescent="0.25">
      <c r="B34" s="713">
        <f t="shared" si="7"/>
        <v>13</v>
      </c>
      <c r="C34" s="566"/>
      <c r="D34" s="1271">
        <v>0</v>
      </c>
      <c r="E34" s="1291"/>
      <c r="F34" s="1101">
        <f t="shared" si="2"/>
        <v>0</v>
      </c>
      <c r="G34" s="1273"/>
      <c r="H34" s="1274"/>
      <c r="I34" s="550">
        <f t="shared" si="9"/>
        <v>432.29000000000019</v>
      </c>
      <c r="L34" s="713">
        <f t="shared" si="8"/>
        <v>77</v>
      </c>
      <c r="M34" s="566"/>
      <c r="N34" s="555">
        <v>0</v>
      </c>
      <c r="O34" s="1291"/>
      <c r="P34" s="586">
        <f t="shared" si="1"/>
        <v>0</v>
      </c>
      <c r="Q34" s="1273"/>
      <c r="R34" s="1274"/>
      <c r="S34" s="550">
        <f t="shared" si="10"/>
        <v>2552.34</v>
      </c>
    </row>
    <row r="35" spans="1:19" x14ac:dyDescent="0.25">
      <c r="B35" s="713">
        <f t="shared" si="7"/>
        <v>13</v>
      </c>
      <c r="C35" s="613"/>
      <c r="D35" s="1271">
        <v>0</v>
      </c>
      <c r="E35" s="1291"/>
      <c r="F35" s="1101">
        <f t="shared" si="2"/>
        <v>0</v>
      </c>
      <c r="G35" s="1273"/>
      <c r="H35" s="1274"/>
      <c r="I35" s="550">
        <f t="shared" si="9"/>
        <v>432.29000000000019</v>
      </c>
      <c r="L35" s="713">
        <f t="shared" si="8"/>
        <v>77</v>
      </c>
      <c r="M35" s="613"/>
      <c r="N35" s="555">
        <v>0</v>
      </c>
      <c r="O35" s="1291"/>
      <c r="P35" s="586">
        <f t="shared" si="1"/>
        <v>0</v>
      </c>
      <c r="Q35" s="1273"/>
      <c r="R35" s="1274"/>
      <c r="S35" s="550">
        <f t="shared" si="10"/>
        <v>2552.34</v>
      </c>
    </row>
    <row r="36" spans="1:19" x14ac:dyDescent="0.25">
      <c r="B36" s="713">
        <f t="shared" si="7"/>
        <v>13</v>
      </c>
      <c r="C36" s="613"/>
      <c r="D36" s="1271">
        <v>0</v>
      </c>
      <c r="E36" s="1291"/>
      <c r="F36" s="1101">
        <f t="shared" si="2"/>
        <v>0</v>
      </c>
      <c r="G36" s="1273"/>
      <c r="H36" s="1274"/>
      <c r="I36" s="550">
        <f t="shared" si="9"/>
        <v>432.29000000000019</v>
      </c>
      <c r="L36" s="713">
        <f t="shared" si="8"/>
        <v>77</v>
      </c>
      <c r="M36" s="613"/>
      <c r="N36" s="555">
        <v>0</v>
      </c>
      <c r="O36" s="1291"/>
      <c r="P36" s="586">
        <f t="shared" si="1"/>
        <v>0</v>
      </c>
      <c r="Q36" s="1273"/>
      <c r="R36" s="1274"/>
      <c r="S36" s="550">
        <f t="shared" si="10"/>
        <v>2552.34</v>
      </c>
    </row>
    <row r="37" spans="1:19" x14ac:dyDescent="0.25">
      <c r="B37" s="379">
        <f t="shared" si="7"/>
        <v>13</v>
      </c>
      <c r="C37" s="15"/>
      <c r="D37" s="1271">
        <v>0</v>
      </c>
      <c r="E37" s="1291"/>
      <c r="F37" s="1101">
        <f t="shared" si="2"/>
        <v>0</v>
      </c>
      <c r="G37" s="1273"/>
      <c r="H37" s="1274"/>
      <c r="I37" s="550">
        <f t="shared" si="9"/>
        <v>432.29000000000019</v>
      </c>
      <c r="L37" s="379">
        <f t="shared" si="8"/>
        <v>77</v>
      </c>
      <c r="M37" s="15"/>
      <c r="N37" s="555">
        <v>0</v>
      </c>
      <c r="O37" s="1291"/>
      <c r="P37" s="586">
        <f t="shared" si="1"/>
        <v>0</v>
      </c>
      <c r="Q37" s="1273"/>
      <c r="R37" s="1274"/>
      <c r="S37" s="550">
        <f t="shared" si="10"/>
        <v>2552.34</v>
      </c>
    </row>
    <row r="38" spans="1:19" ht="15.75" thickBot="1" x14ac:dyDescent="0.3">
      <c r="A38" s="117"/>
      <c r="B38" s="822">
        <f t="shared" si="7"/>
        <v>13</v>
      </c>
      <c r="C38" s="37"/>
      <c r="D38" s="1271">
        <v>0</v>
      </c>
      <c r="E38" s="1292"/>
      <c r="F38" s="1101">
        <f t="shared" si="2"/>
        <v>0</v>
      </c>
      <c r="G38" s="1293"/>
      <c r="H38" s="1294"/>
      <c r="I38" s="550">
        <f t="shared" si="9"/>
        <v>432.29000000000019</v>
      </c>
      <c r="K38" s="117"/>
      <c r="L38" s="822">
        <f t="shared" si="8"/>
        <v>77</v>
      </c>
      <c r="M38" s="37"/>
      <c r="N38" s="555">
        <v>0</v>
      </c>
      <c r="O38" s="1292"/>
      <c r="P38" s="586">
        <f t="shared" si="1"/>
        <v>0</v>
      </c>
      <c r="Q38" s="1293"/>
      <c r="R38" s="1294"/>
      <c r="S38" s="550">
        <f t="shared" si="10"/>
        <v>2552.34</v>
      </c>
    </row>
    <row r="39" spans="1:19" ht="15.75" thickTop="1" x14ac:dyDescent="0.25">
      <c r="A39" s="47">
        <f>SUM(A38:A38)</f>
        <v>0</v>
      </c>
      <c r="C39" s="1113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1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38" t="s">
        <v>21</v>
      </c>
      <c r="E41" s="1639"/>
      <c r="F41" s="137">
        <f>E5+E6-F39+E7+E4</f>
        <v>432.28999999999996</v>
      </c>
      <c r="L41" s="5"/>
      <c r="N41" s="1638" t="s">
        <v>21</v>
      </c>
      <c r="O41" s="1639"/>
      <c r="P41" s="137">
        <f>O5+O6-P39+O7+O4</f>
        <v>2552.34</v>
      </c>
    </row>
    <row r="42" spans="1:19" ht="15.75" thickBot="1" x14ac:dyDescent="0.3">
      <c r="A42" s="121"/>
      <c r="D42" s="1109" t="s">
        <v>4</v>
      </c>
      <c r="E42" s="1110"/>
      <c r="F42" s="49">
        <f>F5+F6-C39+F7+F4</f>
        <v>13</v>
      </c>
      <c r="K42" s="121"/>
      <c r="N42" s="1316" t="s">
        <v>4</v>
      </c>
      <c r="O42" s="1317"/>
      <c r="P42" s="49">
        <f>P5+P6-M39+P7+P4</f>
        <v>77</v>
      </c>
    </row>
    <row r="43" spans="1:19" x14ac:dyDescent="0.25">
      <c r="B43" s="5"/>
      <c r="L43" s="5"/>
    </row>
  </sheetData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7"/>
      <c r="C4" s="360"/>
      <c r="D4" s="130"/>
      <c r="E4" s="197"/>
      <c r="F4" s="61"/>
      <c r="G4" s="151"/>
      <c r="H4" s="151"/>
    </row>
    <row r="5" spans="1:13" ht="15" customHeight="1" x14ac:dyDescent="0.25">
      <c r="A5" s="1649"/>
      <c r="B5" s="1646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649"/>
      <c r="B6" s="1646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7" t="s">
        <v>11</v>
      </c>
      <c r="D83" s="164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654"/>
      <c r="B6" s="1685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654"/>
      <c r="B7" s="1686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38" t="s">
        <v>21</v>
      </c>
      <c r="E30" s="163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645" t="s">
        <v>322</v>
      </c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649" t="s">
        <v>96</v>
      </c>
      <c r="B5" s="1687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649"/>
      <c r="B6" s="1687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3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3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3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3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3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3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3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3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3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3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3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3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638" t="s">
        <v>21</v>
      </c>
      <c r="E29" s="1639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88" t="s">
        <v>313</v>
      </c>
      <c r="B1" s="1688"/>
      <c r="C1" s="1688"/>
      <c r="D1" s="1688"/>
      <c r="E1" s="1688"/>
      <c r="F1" s="1688"/>
      <c r="G1" s="1688"/>
      <c r="H1" s="1688"/>
      <c r="I1" s="1688"/>
      <c r="J1" s="1688"/>
      <c r="K1" s="434">
        <v>1</v>
      </c>
      <c r="M1" s="1690" t="s">
        <v>322</v>
      </c>
      <c r="N1" s="1690"/>
      <c r="O1" s="1690"/>
      <c r="P1" s="1690"/>
      <c r="Q1" s="1690"/>
      <c r="R1" s="1690"/>
      <c r="S1" s="1690"/>
      <c r="T1" s="1690"/>
      <c r="U1" s="1690"/>
      <c r="V1" s="1690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89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89" t="s">
        <v>441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82"/>
      <c r="B6" s="542" t="s">
        <v>86</v>
      </c>
      <c r="C6" s="652"/>
      <c r="D6" s="570"/>
      <c r="E6" s="633"/>
      <c r="F6" s="653"/>
      <c r="M6" s="1682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02" t="s">
        <v>58</v>
      </c>
      <c r="J8" s="1202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26" t="s">
        <v>58</v>
      </c>
      <c r="V8" s="142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07">
        <f>E5-F9+E4+E6+E7</f>
        <v>18468.600000000002</v>
      </c>
      <c r="J9" s="1208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07">
        <f>Q5-R9+Q4+Q6+Q7</f>
        <v>18615.740000000002</v>
      </c>
      <c r="V9" s="1208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3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289">
        <f t="shared" si="0"/>
        <v>0</v>
      </c>
      <c r="E19" s="1290"/>
      <c r="F19" s="628">
        <f t="shared" si="1"/>
        <v>0</v>
      </c>
      <c r="G19" s="1032"/>
      <c r="H19" s="1033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289">
        <f t="shared" si="0"/>
        <v>0</v>
      </c>
      <c r="E20" s="1290"/>
      <c r="F20" s="628">
        <f t="shared" si="1"/>
        <v>0</v>
      </c>
      <c r="G20" s="1032"/>
      <c r="H20" s="1033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289">
        <f t="shared" si="0"/>
        <v>0</v>
      </c>
      <c r="E21" s="1290"/>
      <c r="F21" s="628">
        <f t="shared" si="1"/>
        <v>0</v>
      </c>
      <c r="G21" s="1032"/>
      <c r="H21" s="1033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289">
        <f t="shared" si="0"/>
        <v>0</v>
      </c>
      <c r="E22" s="1290"/>
      <c r="F22" s="628">
        <f t="shared" si="1"/>
        <v>0</v>
      </c>
      <c r="G22" s="1032"/>
      <c r="H22" s="1033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289">
        <f t="shared" si="0"/>
        <v>0</v>
      </c>
      <c r="E23" s="1290"/>
      <c r="F23" s="628">
        <f t="shared" si="1"/>
        <v>0</v>
      </c>
      <c r="G23" s="1032"/>
      <c r="H23" s="1033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289">
        <f t="shared" si="0"/>
        <v>0</v>
      </c>
      <c r="E24" s="1290"/>
      <c r="F24" s="628">
        <f t="shared" si="1"/>
        <v>0</v>
      </c>
      <c r="G24" s="1032"/>
      <c r="H24" s="1033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289">
        <f t="shared" si="0"/>
        <v>0</v>
      </c>
      <c r="E25" s="1290"/>
      <c r="F25" s="628">
        <f t="shared" si="1"/>
        <v>0</v>
      </c>
      <c r="G25" s="1032"/>
      <c r="H25" s="1033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289">
        <f t="shared" si="0"/>
        <v>0</v>
      </c>
      <c r="E26" s="1290"/>
      <c r="F26" s="628">
        <f t="shared" si="1"/>
        <v>0</v>
      </c>
      <c r="G26" s="1032"/>
      <c r="H26" s="1033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289">
        <f t="shared" si="0"/>
        <v>0</v>
      </c>
      <c r="E27" s="1290"/>
      <c r="F27" s="628">
        <f t="shared" si="1"/>
        <v>0</v>
      </c>
      <c r="G27" s="1032"/>
      <c r="H27" s="1033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289">
        <f t="shared" si="0"/>
        <v>0</v>
      </c>
      <c r="E28" s="1290"/>
      <c r="F28" s="628">
        <f t="shared" si="1"/>
        <v>0</v>
      </c>
      <c r="G28" s="1032"/>
      <c r="H28" s="1033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289">
        <f t="shared" si="0"/>
        <v>0</v>
      </c>
      <c r="E29" s="1290"/>
      <c r="F29" s="628">
        <f t="shared" si="1"/>
        <v>0</v>
      </c>
      <c r="G29" s="1032"/>
      <c r="H29" s="1033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289">
        <f t="shared" si="0"/>
        <v>0</v>
      </c>
      <c r="E30" s="1290"/>
      <c r="F30" s="628">
        <f t="shared" si="1"/>
        <v>0</v>
      </c>
      <c r="G30" s="1032"/>
      <c r="H30" s="1033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289">
        <f t="shared" si="0"/>
        <v>0</v>
      </c>
      <c r="E31" s="1290"/>
      <c r="F31" s="628">
        <f t="shared" si="1"/>
        <v>0</v>
      </c>
      <c r="G31" s="1032"/>
      <c r="H31" s="1033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289">
        <f t="shared" si="0"/>
        <v>0</v>
      </c>
      <c r="E32" s="1290"/>
      <c r="F32" s="628">
        <f t="shared" si="1"/>
        <v>0</v>
      </c>
      <c r="G32" s="1032"/>
      <c r="H32" s="1033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289">
        <f t="shared" si="0"/>
        <v>0</v>
      </c>
      <c r="E33" s="1290"/>
      <c r="F33" s="628">
        <f t="shared" si="1"/>
        <v>0</v>
      </c>
      <c r="G33" s="1032"/>
      <c r="H33" s="1033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289">
        <f t="shared" si="0"/>
        <v>0</v>
      </c>
      <c r="E34" s="1290"/>
      <c r="F34" s="628">
        <f t="shared" si="1"/>
        <v>0</v>
      </c>
      <c r="G34" s="1032"/>
      <c r="H34" s="1033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289">
        <f t="shared" si="0"/>
        <v>0</v>
      </c>
      <c r="E35" s="1290"/>
      <c r="F35" s="628">
        <f t="shared" si="1"/>
        <v>0</v>
      </c>
      <c r="G35" s="1032"/>
      <c r="H35" s="1033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289">
        <f t="shared" si="0"/>
        <v>0</v>
      </c>
      <c r="E36" s="1153"/>
      <c r="F36" s="1034">
        <f t="shared" si="1"/>
        <v>0</v>
      </c>
      <c r="G36" s="1035"/>
      <c r="H36" s="1036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4">
        <f t="shared" si="0"/>
        <v>0</v>
      </c>
      <c r="E37" s="1047"/>
      <c r="F37" s="1034">
        <f t="shared" si="1"/>
        <v>0</v>
      </c>
      <c r="G37" s="1035"/>
      <c r="H37" s="1036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4">
        <f t="shared" si="0"/>
        <v>0</v>
      </c>
      <c r="E38" s="1047"/>
      <c r="F38" s="1034">
        <f t="shared" si="1"/>
        <v>0</v>
      </c>
      <c r="G38" s="1035"/>
      <c r="H38" s="1036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4">
        <f t="shared" si="0"/>
        <v>0</v>
      </c>
      <c r="E39" s="1047"/>
      <c r="F39" s="1034">
        <f t="shared" si="1"/>
        <v>0</v>
      </c>
      <c r="G39" s="1035"/>
      <c r="H39" s="1036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4">
        <f t="shared" si="0"/>
        <v>0</v>
      </c>
      <c r="E40" s="1047"/>
      <c r="F40" s="1034">
        <f t="shared" si="1"/>
        <v>0</v>
      </c>
      <c r="G40" s="1035"/>
      <c r="H40" s="1036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4">
        <f t="shared" si="0"/>
        <v>0</v>
      </c>
      <c r="E41" s="1047"/>
      <c r="F41" s="1034">
        <f t="shared" si="1"/>
        <v>0</v>
      </c>
      <c r="G41" s="1035"/>
      <c r="H41" s="1036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4">
        <f t="shared" si="0"/>
        <v>0</v>
      </c>
      <c r="E42" s="1047"/>
      <c r="F42" s="1034">
        <f t="shared" si="1"/>
        <v>0</v>
      </c>
      <c r="G42" s="1035"/>
      <c r="H42" s="1036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4">
        <f t="shared" si="0"/>
        <v>0</v>
      </c>
      <c r="E43" s="1047"/>
      <c r="F43" s="1034">
        <f t="shared" si="1"/>
        <v>0</v>
      </c>
      <c r="G43" s="1035"/>
      <c r="H43" s="1036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4">
        <f t="shared" si="0"/>
        <v>0</v>
      </c>
      <c r="E44" s="1047"/>
      <c r="F44" s="1034">
        <f t="shared" si="1"/>
        <v>0</v>
      </c>
      <c r="G44" s="1035"/>
      <c r="H44" s="1036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4">
        <f t="shared" si="0"/>
        <v>0</v>
      </c>
      <c r="E45" s="1047"/>
      <c r="F45" s="1034">
        <f t="shared" si="1"/>
        <v>0</v>
      </c>
      <c r="G45" s="1035"/>
      <c r="H45" s="1036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4">
        <f t="shared" si="0"/>
        <v>0</v>
      </c>
      <c r="E46" s="1047"/>
      <c r="F46" s="1034">
        <f t="shared" si="1"/>
        <v>0</v>
      </c>
      <c r="G46" s="1035"/>
      <c r="H46" s="1036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4">
        <f t="shared" si="0"/>
        <v>0</v>
      </c>
      <c r="E47" s="1047"/>
      <c r="F47" s="1034">
        <f t="shared" si="1"/>
        <v>0</v>
      </c>
      <c r="G47" s="1035"/>
      <c r="H47" s="1036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4">
        <f t="shared" si="0"/>
        <v>0</v>
      </c>
      <c r="E48" s="1047"/>
      <c r="F48" s="1034">
        <f t="shared" si="1"/>
        <v>0</v>
      </c>
      <c r="G48" s="1035"/>
      <c r="H48" s="1036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4">
        <f t="shared" si="0"/>
        <v>0</v>
      </c>
      <c r="E49" s="1047"/>
      <c r="F49" s="1034">
        <f t="shared" si="1"/>
        <v>0</v>
      </c>
      <c r="G49" s="1035"/>
      <c r="H49" s="1036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4">
        <f t="shared" si="0"/>
        <v>0</v>
      </c>
      <c r="E50" s="1047"/>
      <c r="F50" s="1034">
        <f t="shared" si="1"/>
        <v>0</v>
      </c>
      <c r="G50" s="1035"/>
      <c r="H50" s="1036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4">
        <f t="shared" si="0"/>
        <v>0</v>
      </c>
      <c r="E51" s="1047"/>
      <c r="F51" s="1034">
        <f t="shared" si="1"/>
        <v>0</v>
      </c>
      <c r="G51" s="1035"/>
      <c r="H51" s="1036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4">
        <f t="shared" si="0"/>
        <v>0</v>
      </c>
      <c r="E52" s="1047"/>
      <c r="F52" s="1034">
        <f t="shared" si="1"/>
        <v>0</v>
      </c>
      <c r="G52" s="1035"/>
      <c r="H52" s="1036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4">
        <f t="shared" si="0"/>
        <v>0</v>
      </c>
      <c r="E53" s="1047"/>
      <c r="F53" s="1034">
        <f t="shared" si="1"/>
        <v>0</v>
      </c>
      <c r="G53" s="1035"/>
      <c r="H53" s="1036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4">
        <f t="shared" si="0"/>
        <v>0</v>
      </c>
      <c r="E54" s="1047"/>
      <c r="F54" s="1034">
        <f t="shared" si="1"/>
        <v>0</v>
      </c>
      <c r="G54" s="1035"/>
      <c r="H54" s="1036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4">
        <f t="shared" si="0"/>
        <v>0</v>
      </c>
      <c r="E55" s="1047"/>
      <c r="F55" s="1034">
        <f t="shared" si="1"/>
        <v>0</v>
      </c>
      <c r="G55" s="1035"/>
      <c r="H55" s="1036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4">
        <f t="shared" si="0"/>
        <v>0</v>
      </c>
      <c r="E56" s="1047"/>
      <c r="F56" s="1034">
        <f t="shared" si="1"/>
        <v>0</v>
      </c>
      <c r="G56" s="1035"/>
      <c r="H56" s="1036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4">
        <f t="shared" si="0"/>
        <v>0</v>
      </c>
      <c r="E57" s="1047"/>
      <c r="F57" s="1034">
        <f t="shared" si="1"/>
        <v>0</v>
      </c>
      <c r="G57" s="1035"/>
      <c r="H57" s="1036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4">
        <f t="shared" si="0"/>
        <v>0</v>
      </c>
      <c r="E58" s="1047"/>
      <c r="F58" s="1034">
        <f t="shared" si="1"/>
        <v>0</v>
      </c>
      <c r="G58" s="1035"/>
      <c r="H58" s="1036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4">
        <f t="shared" si="0"/>
        <v>0</v>
      </c>
      <c r="E59" s="1047"/>
      <c r="F59" s="1034">
        <f t="shared" si="1"/>
        <v>0</v>
      </c>
      <c r="G59" s="1035"/>
      <c r="H59" s="1036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4">
        <f t="shared" si="0"/>
        <v>0</v>
      </c>
      <c r="E60" s="1047"/>
      <c r="F60" s="1034">
        <f t="shared" si="1"/>
        <v>0</v>
      </c>
      <c r="G60" s="1035"/>
      <c r="H60" s="1036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4">
        <f t="shared" si="0"/>
        <v>0</v>
      </c>
      <c r="E61" s="1047"/>
      <c r="F61" s="1034">
        <f t="shared" si="1"/>
        <v>0</v>
      </c>
      <c r="G61" s="1035"/>
      <c r="H61" s="1036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4">
        <f t="shared" si="0"/>
        <v>0</v>
      </c>
      <c r="E62" s="1047"/>
      <c r="F62" s="1034">
        <f t="shared" si="1"/>
        <v>0</v>
      </c>
      <c r="G62" s="1035"/>
      <c r="H62" s="1036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4">
        <f t="shared" si="0"/>
        <v>0</v>
      </c>
      <c r="E63" s="1047"/>
      <c r="F63" s="1034">
        <f t="shared" si="1"/>
        <v>0</v>
      </c>
      <c r="G63" s="1035"/>
      <c r="H63" s="1036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4">
        <f t="shared" si="0"/>
        <v>0</v>
      </c>
      <c r="E64" s="1047"/>
      <c r="F64" s="1034">
        <f t="shared" si="1"/>
        <v>0</v>
      </c>
      <c r="G64" s="1035"/>
      <c r="H64" s="1036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4">
        <f t="shared" si="0"/>
        <v>0</v>
      </c>
      <c r="E65" s="1047"/>
      <c r="F65" s="1034">
        <f t="shared" si="1"/>
        <v>0</v>
      </c>
      <c r="G65" s="1035"/>
      <c r="H65" s="1036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4">
        <f t="shared" si="0"/>
        <v>0</v>
      </c>
      <c r="E66" s="1047"/>
      <c r="F66" s="1034">
        <f t="shared" si="1"/>
        <v>0</v>
      </c>
      <c r="G66" s="1035"/>
      <c r="H66" s="1036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4">
        <f t="shared" si="0"/>
        <v>0</v>
      </c>
      <c r="E67" s="1047"/>
      <c r="F67" s="1034">
        <f t="shared" si="1"/>
        <v>0</v>
      </c>
      <c r="G67" s="1035"/>
      <c r="H67" s="1036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4">
        <f t="shared" si="0"/>
        <v>0</v>
      </c>
      <c r="E68" s="1047"/>
      <c r="F68" s="1034">
        <f t="shared" si="1"/>
        <v>0</v>
      </c>
      <c r="G68" s="1035"/>
      <c r="H68" s="1036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4">
        <f t="shared" si="0"/>
        <v>0</v>
      </c>
      <c r="E69" s="1047"/>
      <c r="F69" s="1034">
        <f t="shared" si="1"/>
        <v>0</v>
      </c>
      <c r="G69" s="1035"/>
      <c r="H69" s="1036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647" t="s">
        <v>11</v>
      </c>
      <c r="D120" s="1648"/>
      <c r="E120" s="56">
        <f>E4+E5+E6-F115</f>
        <v>15937.140000000003</v>
      </c>
      <c r="G120" s="47"/>
      <c r="H120" s="90"/>
      <c r="O120" s="1647" t="s">
        <v>11</v>
      </c>
      <c r="P120" s="1648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55" t="s">
        <v>314</v>
      </c>
      <c r="B1" s="1655"/>
      <c r="C1" s="1655"/>
      <c r="D1" s="1655"/>
      <c r="E1" s="1655"/>
      <c r="F1" s="1655"/>
      <c r="G1" s="1655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77"/>
    </row>
    <row r="5" spans="1:11" ht="15.75" customHeight="1" x14ac:dyDescent="0.25">
      <c r="A5" s="1649" t="s">
        <v>80</v>
      </c>
      <c r="B5" s="1079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49"/>
      <c r="B6" s="1691" t="s">
        <v>162</v>
      </c>
      <c r="C6" s="663"/>
      <c r="D6" s="663"/>
      <c r="E6" s="663"/>
      <c r="F6" s="662"/>
    </row>
    <row r="7" spans="1:11" ht="15.75" thickBot="1" x14ac:dyDescent="0.3">
      <c r="B7" s="1692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54">
        <v>45114</v>
      </c>
      <c r="F12" s="628">
        <f t="shared" si="0"/>
        <v>78.319999999999993</v>
      </c>
      <c r="G12" s="1032" t="s">
        <v>212</v>
      </c>
      <c r="H12" s="1033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54">
        <v>45115</v>
      </c>
      <c r="F13" s="628">
        <f t="shared" si="0"/>
        <v>86.97</v>
      </c>
      <c r="G13" s="1032" t="s">
        <v>216</v>
      </c>
      <c r="H13" s="1033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54">
        <v>45119</v>
      </c>
      <c r="F14" s="628">
        <f t="shared" si="0"/>
        <v>17.989999999999998</v>
      </c>
      <c r="G14" s="1032" t="s">
        <v>224</v>
      </c>
      <c r="H14" s="1033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54">
        <v>45121</v>
      </c>
      <c r="F15" s="628">
        <f t="shared" si="0"/>
        <v>34.020000000000003</v>
      </c>
      <c r="G15" s="1032" t="s">
        <v>238</v>
      </c>
      <c r="H15" s="1033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54">
        <v>45132</v>
      </c>
      <c r="F16" s="628">
        <f t="shared" si="0"/>
        <v>183.04</v>
      </c>
      <c r="G16" s="1032" t="s">
        <v>279</v>
      </c>
      <c r="H16" s="1228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54">
        <v>45134</v>
      </c>
      <c r="F17" s="628">
        <f t="shared" si="0"/>
        <v>16.329999999999998</v>
      </c>
      <c r="G17" s="1032" t="s">
        <v>293</v>
      </c>
      <c r="H17" s="1033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54"/>
      <c r="F18" s="628">
        <f t="shared" si="0"/>
        <v>0</v>
      </c>
      <c r="G18" s="1032"/>
      <c r="H18" s="1033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295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295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295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295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295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295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295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295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295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295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295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295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295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295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295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295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295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295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295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295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295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295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295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295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295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47" t="s">
        <v>11</v>
      </c>
      <c r="D73" s="1648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54"/>
      <c r="B5" s="1693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54"/>
      <c r="B6" s="169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47" t="s">
        <v>11</v>
      </c>
      <c r="D60" s="164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54"/>
      <c r="B4" s="1694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654"/>
      <c r="B5" s="1695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49"/>
      <c r="B6" s="1695"/>
      <c r="C6" s="124"/>
      <c r="D6" s="218"/>
      <c r="E6" s="77"/>
      <c r="F6" s="61"/>
    </row>
    <row r="7" spans="1:10" ht="15.75" x14ac:dyDescent="0.25">
      <c r="A7" s="1649"/>
      <c r="B7" s="773"/>
      <c r="C7" s="124"/>
      <c r="D7" s="218"/>
      <c r="E7" s="77"/>
      <c r="F7" s="61"/>
    </row>
    <row r="8" spans="1:10" ht="16.5" thickBot="1" x14ac:dyDescent="0.3">
      <c r="A8" s="1649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7" t="s">
        <v>11</v>
      </c>
      <c r="D61" s="164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45"/>
      <c r="B1" s="1645"/>
      <c r="C1" s="1645"/>
      <c r="D1" s="1645"/>
      <c r="E1" s="1645"/>
      <c r="F1" s="1645"/>
      <c r="G1" s="164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96"/>
      <c r="B5" s="1698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97"/>
      <c r="B6" s="1699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00" t="s">
        <v>11</v>
      </c>
      <c r="D56" s="1701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78" t="s">
        <v>315</v>
      </c>
      <c r="B1" s="1678"/>
      <c r="C1" s="1678"/>
      <c r="D1" s="1678"/>
      <c r="E1" s="1678"/>
      <c r="F1" s="1678"/>
      <c r="G1" s="167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02" t="s">
        <v>100</v>
      </c>
      <c r="C4" s="17"/>
      <c r="E4" s="239">
        <v>0.43</v>
      </c>
      <c r="F4" s="226"/>
    </row>
    <row r="5" spans="1:10" ht="15" customHeight="1" x14ac:dyDescent="0.25">
      <c r="A5" s="1705" t="s">
        <v>99</v>
      </c>
      <c r="B5" s="1703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06"/>
      <c r="B6" s="1704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6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6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6">
        <v>45.21</v>
      </c>
      <c r="E33" s="1029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6">
        <v>23.76</v>
      </c>
      <c r="E34" s="1029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6">
        <v>67.180000000000007</v>
      </c>
      <c r="E35" s="1029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6">
        <v>24.22</v>
      </c>
      <c r="E36" s="1029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6">
        <v>24.2</v>
      </c>
      <c r="E37" s="1029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6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49">
        <v>94.48</v>
      </c>
      <c r="E39" s="1050">
        <v>45085</v>
      </c>
      <c r="F39" s="58">
        <f t="shared" si="0"/>
        <v>94.48</v>
      </c>
      <c r="G39" s="1048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49">
        <v>23.58</v>
      </c>
      <c r="E40" s="1050">
        <v>45087</v>
      </c>
      <c r="F40" s="58">
        <f t="shared" si="0"/>
        <v>23.58</v>
      </c>
      <c r="G40" s="1048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49">
        <v>60.32</v>
      </c>
      <c r="E41" s="1050">
        <v>45089</v>
      </c>
      <c r="F41" s="58">
        <f t="shared" si="0"/>
        <v>60.32</v>
      </c>
      <c r="G41" s="1048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49">
        <v>22.02</v>
      </c>
      <c r="E42" s="1050">
        <v>45089</v>
      </c>
      <c r="F42" s="58">
        <f t="shared" si="0"/>
        <v>22.02</v>
      </c>
      <c r="G42" s="1048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49">
        <v>117.76</v>
      </c>
      <c r="E43" s="1050">
        <v>45092</v>
      </c>
      <c r="F43" s="58">
        <f t="shared" si="0"/>
        <v>117.76</v>
      </c>
      <c r="G43" s="1048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49">
        <v>68.47</v>
      </c>
      <c r="E44" s="1050">
        <v>45092</v>
      </c>
      <c r="F44" s="58">
        <f t="shared" si="0"/>
        <v>68.47</v>
      </c>
      <c r="G44" s="1048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49">
        <v>45.3</v>
      </c>
      <c r="E45" s="1050">
        <v>45093</v>
      </c>
      <c r="F45" s="58">
        <f t="shared" si="0"/>
        <v>45.3</v>
      </c>
      <c r="G45" s="1048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49">
        <v>113.03</v>
      </c>
      <c r="E46" s="1050">
        <v>45093</v>
      </c>
      <c r="F46" s="58">
        <f t="shared" si="0"/>
        <v>113.03</v>
      </c>
      <c r="G46" s="1048" t="s">
        <v>176</v>
      </c>
      <c r="H46" s="11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49">
        <v>43.67</v>
      </c>
      <c r="E47" s="1050">
        <v>45096</v>
      </c>
      <c r="F47" s="58">
        <f t="shared" si="0"/>
        <v>43.67</v>
      </c>
      <c r="G47" s="1048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49">
        <v>22.95</v>
      </c>
      <c r="E48" s="1050">
        <v>45099</v>
      </c>
      <c r="F48" s="58">
        <f t="shared" si="0"/>
        <v>22.95</v>
      </c>
      <c r="G48" s="1048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49">
        <v>161.12</v>
      </c>
      <c r="E49" s="1050">
        <v>45103</v>
      </c>
      <c r="F49" s="58">
        <f t="shared" si="0"/>
        <v>161.12</v>
      </c>
      <c r="G49" s="1048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49">
        <v>20.309999999999999</v>
      </c>
      <c r="E50" s="1050">
        <v>45103</v>
      </c>
      <c r="F50" s="58">
        <f t="shared" si="0"/>
        <v>20.309999999999999</v>
      </c>
      <c r="G50" s="1048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49">
        <v>20.88</v>
      </c>
      <c r="E51" s="1050">
        <v>45104</v>
      </c>
      <c r="F51" s="58">
        <f t="shared" si="0"/>
        <v>20.88</v>
      </c>
      <c r="G51" s="1048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49">
        <v>135.13</v>
      </c>
      <c r="E52" s="1050">
        <v>45107</v>
      </c>
      <c r="F52" s="58">
        <f t="shared" si="0"/>
        <v>135.13</v>
      </c>
      <c r="G52" s="1048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49">
        <v>43.02</v>
      </c>
      <c r="E53" s="1050">
        <v>45108</v>
      </c>
      <c r="F53" s="58">
        <f t="shared" si="0"/>
        <v>43.02</v>
      </c>
      <c r="G53" s="1048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49">
        <v>127.93</v>
      </c>
      <c r="E54" s="1050">
        <v>45108</v>
      </c>
      <c r="F54" s="58">
        <f t="shared" si="0"/>
        <v>127.93</v>
      </c>
      <c r="G54" s="1048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49">
        <v>0</v>
      </c>
      <c r="E55" s="1050"/>
      <c r="F55" s="58">
        <f t="shared" si="0"/>
        <v>0</v>
      </c>
      <c r="G55" s="1048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55">
        <v>111.78</v>
      </c>
      <c r="E56" s="1156">
        <v>45113</v>
      </c>
      <c r="F56" s="1149">
        <f t="shared" si="0"/>
        <v>111.78</v>
      </c>
      <c r="G56" s="1148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55">
        <v>23.06</v>
      </c>
      <c r="E57" s="1156">
        <v>45115</v>
      </c>
      <c r="F57" s="1149">
        <f t="shared" si="0"/>
        <v>23.06</v>
      </c>
      <c r="G57" s="1148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55">
        <v>106.41</v>
      </c>
      <c r="E58" s="1156">
        <v>45115</v>
      </c>
      <c r="F58" s="1149">
        <f t="shared" si="0"/>
        <v>106.41</v>
      </c>
      <c r="G58" s="1148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55">
        <v>23.87</v>
      </c>
      <c r="E59" s="1156">
        <v>45117</v>
      </c>
      <c r="F59" s="1149">
        <f t="shared" si="0"/>
        <v>23.87</v>
      </c>
      <c r="G59" s="1148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55">
        <v>22.03</v>
      </c>
      <c r="E60" s="1156">
        <v>45118</v>
      </c>
      <c r="F60" s="1149">
        <f t="shared" si="0"/>
        <v>22.03</v>
      </c>
      <c r="G60" s="1148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55">
        <v>23.14</v>
      </c>
      <c r="E61" s="1156">
        <v>45119</v>
      </c>
      <c r="F61" s="1149">
        <f t="shared" si="0"/>
        <v>23.14</v>
      </c>
      <c r="G61" s="1148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55">
        <v>131.38999999999999</v>
      </c>
      <c r="E62" s="1156">
        <v>45120</v>
      </c>
      <c r="F62" s="1149">
        <f t="shared" si="0"/>
        <v>131.38999999999999</v>
      </c>
      <c r="G62" s="1148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55">
        <v>48.14</v>
      </c>
      <c r="E63" s="1156">
        <v>45121</v>
      </c>
      <c r="F63" s="1149">
        <f t="shared" si="0"/>
        <v>48.14</v>
      </c>
      <c r="G63" s="1148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55">
        <v>22.64</v>
      </c>
      <c r="E64" s="1156">
        <v>45122</v>
      </c>
      <c r="F64" s="1149">
        <f t="shared" si="0"/>
        <v>22.64</v>
      </c>
      <c r="G64" s="1148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55">
        <v>282.13</v>
      </c>
      <c r="E65" s="1156">
        <v>45122</v>
      </c>
      <c r="F65" s="1149">
        <f t="shared" si="0"/>
        <v>282.13</v>
      </c>
      <c r="G65" s="1148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55">
        <v>141.72999999999999</v>
      </c>
      <c r="E66" s="1156">
        <v>45125</v>
      </c>
      <c r="F66" s="1149">
        <f t="shared" si="0"/>
        <v>141.72999999999999</v>
      </c>
      <c r="G66" s="1148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55">
        <v>23.53</v>
      </c>
      <c r="E67" s="1156">
        <v>45127</v>
      </c>
      <c r="F67" s="1149">
        <f t="shared" si="0"/>
        <v>23.53</v>
      </c>
      <c r="G67" s="1148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55">
        <v>67.98</v>
      </c>
      <c r="E68" s="1156">
        <v>45128</v>
      </c>
      <c r="F68" s="1149">
        <f t="shared" si="0"/>
        <v>67.98</v>
      </c>
      <c r="G68" s="1148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55">
        <v>141.61000000000001</v>
      </c>
      <c r="E69" s="1156">
        <v>45129</v>
      </c>
      <c r="F69" s="1149">
        <f t="shared" si="0"/>
        <v>141.61000000000001</v>
      </c>
      <c r="G69" s="1148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55">
        <v>183.31</v>
      </c>
      <c r="E70" s="1156">
        <v>45135</v>
      </c>
      <c r="F70" s="1149">
        <f t="shared" si="0"/>
        <v>183.31</v>
      </c>
      <c r="G70" s="1148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55">
        <v>21.78</v>
      </c>
      <c r="E71" s="1156">
        <v>45135</v>
      </c>
      <c r="F71" s="1149">
        <f t="shared" si="0"/>
        <v>21.78</v>
      </c>
      <c r="G71" s="1148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55">
        <v>45.19</v>
      </c>
      <c r="E72" s="1156">
        <v>45136</v>
      </c>
      <c r="F72" s="1149">
        <f t="shared" si="0"/>
        <v>45.19</v>
      </c>
      <c r="G72" s="1148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55"/>
      <c r="E73" s="1156"/>
      <c r="F73" s="1149">
        <f t="shared" si="0"/>
        <v>0</v>
      </c>
      <c r="G73" s="1148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6"/>
      <c r="E74" s="1029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6"/>
      <c r="E75" s="1029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6"/>
      <c r="E76" s="1029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6"/>
      <c r="E77" s="1029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6"/>
      <c r="E78" s="1029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6"/>
      <c r="E79" s="1029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6"/>
      <c r="E80" s="1029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6"/>
      <c r="E81" s="1029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6"/>
      <c r="E82" s="1029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6"/>
      <c r="E83" s="1029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6"/>
      <c r="E84" s="1029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6"/>
      <c r="E85" s="1029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6"/>
      <c r="E86" s="1029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6"/>
      <c r="E87" s="1029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6"/>
      <c r="E88" s="1029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6"/>
      <c r="E89" s="1029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6"/>
      <c r="E90" s="1029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6"/>
      <c r="E91" s="1029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6"/>
      <c r="E92" s="1029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6"/>
      <c r="E93" s="1029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27">
        <f>B64-C94</f>
        <v>78</v>
      </c>
      <c r="C94" s="37"/>
      <c r="D94" s="1157">
        <v>0</v>
      </c>
      <c r="E94" s="1158"/>
      <c r="F94" s="1152">
        <f t="shared" si="0"/>
        <v>0</v>
      </c>
      <c r="G94" s="115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6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6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00" t="s">
        <v>11</v>
      </c>
      <c r="D98" s="1701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54"/>
      <c r="B4" s="1694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654"/>
      <c r="B5" s="1695"/>
      <c r="C5" s="124"/>
      <c r="D5" s="218"/>
      <c r="E5" s="633"/>
      <c r="F5" s="653"/>
    </row>
    <row r="6" spans="1:9" ht="15" customHeight="1" x14ac:dyDescent="0.25">
      <c r="A6" s="1707"/>
      <c r="B6" s="169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07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59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60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47" t="s">
        <v>11</v>
      </c>
      <c r="D61" s="164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55" t="s">
        <v>309</v>
      </c>
      <c r="B1" s="1655"/>
      <c r="C1" s="1655"/>
      <c r="D1" s="1655"/>
      <c r="E1" s="1655"/>
      <c r="F1" s="1655"/>
      <c r="G1" s="1655"/>
      <c r="H1" s="1655"/>
      <c r="I1" s="1655"/>
      <c r="J1" s="11">
        <v>1</v>
      </c>
      <c r="M1" s="1645" t="s">
        <v>322</v>
      </c>
      <c r="N1" s="1645"/>
      <c r="O1" s="1645"/>
      <c r="P1" s="1645"/>
      <c r="Q1" s="1645"/>
      <c r="R1" s="1645"/>
      <c r="S1" s="1645"/>
      <c r="T1" s="1645"/>
      <c r="U1" s="1645"/>
      <c r="V1" s="11">
        <v>2</v>
      </c>
    </row>
    <row r="2" spans="1:23" ht="15.75" thickBot="1" x14ac:dyDescent="0.3">
      <c r="I2" s="128"/>
      <c r="J2" s="1113"/>
      <c r="U2" s="128"/>
      <c r="V2" s="131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1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13"/>
      <c r="I4" s="182"/>
      <c r="J4" s="1113" t="s">
        <v>36</v>
      </c>
      <c r="N4" s="12"/>
      <c r="O4" s="567"/>
      <c r="P4" s="701"/>
      <c r="Q4" s="586"/>
      <c r="R4" s="566"/>
      <c r="S4" s="1319"/>
      <c r="U4" s="182"/>
      <c r="V4" s="1319" t="s">
        <v>36</v>
      </c>
    </row>
    <row r="5" spans="1:23" ht="15" customHeight="1" x14ac:dyDescent="0.25">
      <c r="A5" s="1649" t="s">
        <v>90</v>
      </c>
      <c r="B5" s="1708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13"/>
      <c r="M5" s="1649" t="s">
        <v>90</v>
      </c>
      <c r="N5" s="1708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19"/>
    </row>
    <row r="6" spans="1:23" x14ac:dyDescent="0.25">
      <c r="A6" s="1649"/>
      <c r="B6" s="1708"/>
      <c r="C6" s="706">
        <v>42</v>
      </c>
      <c r="D6" s="701">
        <v>45132</v>
      </c>
      <c r="E6" s="586">
        <v>2043</v>
      </c>
      <c r="F6" s="566">
        <v>450</v>
      </c>
      <c r="I6" s="183"/>
      <c r="J6" s="1113"/>
      <c r="M6" s="1649"/>
      <c r="N6" s="1708"/>
      <c r="O6" s="706">
        <v>42</v>
      </c>
      <c r="P6" s="701">
        <v>45160</v>
      </c>
      <c r="Q6" s="586">
        <v>2002.14</v>
      </c>
      <c r="R6" s="566">
        <v>441</v>
      </c>
      <c r="U6" s="183"/>
      <c r="V6" s="1319"/>
    </row>
    <row r="7" spans="1:23" x14ac:dyDescent="0.25">
      <c r="A7" s="1111"/>
      <c r="B7" s="1114"/>
      <c r="C7" s="567"/>
      <c r="D7" s="701"/>
      <c r="E7" s="586">
        <v>149.82</v>
      </c>
      <c r="F7" s="566">
        <v>33</v>
      </c>
      <c r="I7" s="183"/>
      <c r="J7" s="1113"/>
      <c r="M7" s="1318"/>
      <c r="N7" s="1320"/>
      <c r="O7" s="567"/>
      <c r="P7" s="701"/>
      <c r="Q7" s="586"/>
      <c r="R7" s="566"/>
      <c r="U7" s="183"/>
      <c r="V7" s="1319"/>
    </row>
    <row r="8" spans="1:23" ht="15.75" thickBot="1" x14ac:dyDescent="0.3">
      <c r="B8" s="12"/>
      <c r="C8" s="706"/>
      <c r="D8" s="707"/>
      <c r="E8" s="586"/>
      <c r="F8" s="566"/>
      <c r="I8" s="183"/>
      <c r="J8" s="1113"/>
      <c r="N8" s="12"/>
      <c r="O8" s="706"/>
      <c r="P8" s="707"/>
      <c r="Q8" s="586"/>
      <c r="R8" s="566"/>
      <c r="U8" s="183"/>
      <c r="V8" s="131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13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9"/>
    </row>
    <row r="10" spans="1:23" ht="15.75" thickTop="1" x14ac:dyDescent="0.25">
      <c r="A10" s="1113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13">
        <f>F5-C10+F6+F4+F8+F7</f>
        <v>1335</v>
      </c>
      <c r="K10" s="59">
        <f>H10*F10</f>
        <v>7718.0000000000009</v>
      </c>
      <c r="M10" s="131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19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13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19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13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19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13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13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61"/>
      <c r="F51" s="791">
        <f t="shared" si="12"/>
        <v>0</v>
      </c>
      <c r="G51" s="520"/>
      <c r="H51" s="356"/>
      <c r="I51" s="747">
        <f t="shared" si="8"/>
        <v>1643.480000000003</v>
      </c>
      <c r="J51" s="1113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61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61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61"/>
      <c r="F54" s="791">
        <f t="shared" si="12"/>
        <v>0</v>
      </c>
      <c r="G54" s="520"/>
      <c r="H54" s="356"/>
      <c r="I54" s="747">
        <f t="shared" si="8"/>
        <v>1643.480000000003</v>
      </c>
      <c r="J54" s="1237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37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19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37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19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61"/>
      <c r="F57" s="791">
        <f t="shared" si="12"/>
        <v>0</v>
      </c>
      <c r="G57" s="520"/>
      <c r="H57" s="356"/>
      <c r="I57" s="747">
        <f t="shared" si="8"/>
        <v>1643.480000000003</v>
      </c>
      <c r="J57" s="1237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19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61"/>
      <c r="F58" s="791">
        <f t="shared" si="12"/>
        <v>0</v>
      </c>
      <c r="G58" s="520"/>
      <c r="H58" s="356"/>
      <c r="I58" s="747">
        <f t="shared" si="8"/>
        <v>1643.480000000003</v>
      </c>
      <c r="J58" s="1237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19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61"/>
      <c r="F59" s="791">
        <f t="shared" si="12"/>
        <v>0</v>
      </c>
      <c r="G59" s="520"/>
      <c r="H59" s="356"/>
      <c r="I59" s="747">
        <f t="shared" si="8"/>
        <v>1643.480000000003</v>
      </c>
      <c r="J59" s="1237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19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61"/>
      <c r="F60" s="791">
        <f t="shared" si="12"/>
        <v>0</v>
      </c>
      <c r="G60" s="520"/>
      <c r="H60" s="356"/>
      <c r="I60" s="747">
        <f t="shared" si="8"/>
        <v>1643.480000000003</v>
      </c>
      <c r="J60" s="1237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19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61"/>
      <c r="F61" s="791">
        <f t="shared" si="12"/>
        <v>0</v>
      </c>
      <c r="G61" s="520"/>
      <c r="H61" s="356"/>
      <c r="I61" s="747">
        <f t="shared" si="8"/>
        <v>1643.480000000003</v>
      </c>
      <c r="J61" s="1237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19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61"/>
      <c r="F62" s="791">
        <f t="shared" si="12"/>
        <v>0</v>
      </c>
      <c r="G62" s="520"/>
      <c r="H62" s="356"/>
      <c r="I62" s="747">
        <f t="shared" si="8"/>
        <v>1643.480000000003</v>
      </c>
      <c r="J62" s="1237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19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61"/>
      <c r="F63" s="791">
        <f t="shared" si="12"/>
        <v>0</v>
      </c>
      <c r="G63" s="520"/>
      <c r="H63" s="356"/>
      <c r="I63" s="747">
        <f t="shared" si="8"/>
        <v>1643.480000000003</v>
      </c>
      <c r="J63" s="1237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19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61"/>
      <c r="F64" s="791">
        <f t="shared" si="12"/>
        <v>0</v>
      </c>
      <c r="G64" s="520"/>
      <c r="H64" s="356"/>
      <c r="I64" s="747">
        <f t="shared" si="8"/>
        <v>1643.480000000003</v>
      </c>
      <c r="J64" s="1237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19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61"/>
      <c r="F65" s="791">
        <f t="shared" si="12"/>
        <v>0</v>
      </c>
      <c r="G65" s="520"/>
      <c r="H65" s="356"/>
      <c r="I65" s="747">
        <f t="shared" si="8"/>
        <v>1643.480000000003</v>
      </c>
      <c r="J65" s="1237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19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61"/>
      <c r="F66" s="791">
        <f t="shared" si="12"/>
        <v>0</v>
      </c>
      <c r="G66" s="520"/>
      <c r="H66" s="356"/>
      <c r="I66" s="747">
        <f t="shared" si="8"/>
        <v>1643.480000000003</v>
      </c>
      <c r="J66" s="1237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19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61"/>
      <c r="F67" s="791">
        <f t="shared" si="12"/>
        <v>0</v>
      </c>
      <c r="G67" s="520"/>
      <c r="H67" s="356"/>
      <c r="I67" s="747">
        <f t="shared" si="8"/>
        <v>1643.480000000003</v>
      </c>
      <c r="J67" s="1237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19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61"/>
      <c r="F68" s="791">
        <f t="shared" si="12"/>
        <v>0</v>
      </c>
      <c r="G68" s="520"/>
      <c r="H68" s="356"/>
      <c r="I68" s="747">
        <f t="shared" si="8"/>
        <v>1643.480000000003</v>
      </c>
      <c r="J68" s="1237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19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61"/>
      <c r="F69" s="791">
        <f t="shared" si="12"/>
        <v>0</v>
      </c>
      <c r="G69" s="520"/>
      <c r="H69" s="356"/>
      <c r="I69" s="747">
        <f t="shared" si="8"/>
        <v>1643.480000000003</v>
      </c>
      <c r="J69" s="1113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19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61"/>
      <c r="F70" s="791">
        <f t="shared" si="12"/>
        <v>0</v>
      </c>
      <c r="G70" s="520"/>
      <c r="H70" s="356"/>
      <c r="I70" s="747">
        <f t="shared" si="8"/>
        <v>1643.480000000003</v>
      </c>
      <c r="J70" s="1113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19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61"/>
      <c r="F71" s="791">
        <f t="shared" si="12"/>
        <v>0</v>
      </c>
      <c r="G71" s="520"/>
      <c r="H71" s="356"/>
      <c r="I71" s="747">
        <f t="shared" si="8"/>
        <v>1643.480000000003</v>
      </c>
      <c r="J71" s="1113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19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61"/>
      <c r="F72" s="791">
        <f t="shared" si="12"/>
        <v>0</v>
      </c>
      <c r="G72" s="520"/>
      <c r="H72" s="356"/>
      <c r="I72" s="747">
        <f t="shared" si="8"/>
        <v>1643.480000000003</v>
      </c>
      <c r="J72" s="1113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19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61"/>
      <c r="F73" s="791">
        <f t="shared" si="12"/>
        <v>0</v>
      </c>
      <c r="G73" s="520"/>
      <c r="H73" s="356"/>
      <c r="I73" s="747">
        <f t="shared" si="8"/>
        <v>1643.480000000003</v>
      </c>
      <c r="J73" s="1113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19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61"/>
      <c r="F74" s="791">
        <f t="shared" si="12"/>
        <v>0</v>
      </c>
      <c r="G74" s="520"/>
      <c r="H74" s="356"/>
      <c r="I74" s="747">
        <f t="shared" si="8"/>
        <v>1643.480000000003</v>
      </c>
      <c r="J74" s="1113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19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61"/>
      <c r="F75" s="791">
        <f t="shared" si="12"/>
        <v>0</v>
      </c>
      <c r="G75" s="520"/>
      <c r="H75" s="356"/>
      <c r="I75" s="747">
        <f t="shared" si="8"/>
        <v>1643.480000000003</v>
      </c>
      <c r="J75" s="1113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19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61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13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19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61"/>
      <c r="F77" s="791">
        <f t="shared" si="12"/>
        <v>0</v>
      </c>
      <c r="G77" s="520"/>
      <c r="H77" s="356"/>
      <c r="I77" s="747">
        <f t="shared" si="18"/>
        <v>1643.480000000003</v>
      </c>
      <c r="J77" s="1113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19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61"/>
      <c r="F78" s="791">
        <f t="shared" si="12"/>
        <v>0</v>
      </c>
      <c r="G78" s="520"/>
      <c r="H78" s="356"/>
      <c r="I78" s="747">
        <f t="shared" si="18"/>
        <v>1643.480000000003</v>
      </c>
      <c r="J78" s="1113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19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61"/>
      <c r="F79" s="791">
        <f t="shared" si="12"/>
        <v>0</v>
      </c>
      <c r="G79" s="520"/>
      <c r="H79" s="356"/>
      <c r="I79" s="747">
        <f t="shared" si="18"/>
        <v>1643.480000000003</v>
      </c>
      <c r="J79" s="1113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19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61"/>
      <c r="F80" s="791">
        <f t="shared" si="12"/>
        <v>0</v>
      </c>
      <c r="G80" s="520"/>
      <c r="H80" s="356"/>
      <c r="I80" s="747">
        <f t="shared" si="18"/>
        <v>1643.480000000003</v>
      </c>
      <c r="J80" s="1113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19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61"/>
      <c r="F81" s="791">
        <f t="shared" si="12"/>
        <v>0</v>
      </c>
      <c r="G81" s="520"/>
      <c r="H81" s="356"/>
      <c r="I81" s="747">
        <f t="shared" si="18"/>
        <v>1643.480000000003</v>
      </c>
      <c r="J81" s="1113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19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61"/>
      <c r="F82" s="791">
        <f t="shared" si="12"/>
        <v>0</v>
      </c>
      <c r="G82" s="520"/>
      <c r="H82" s="356"/>
      <c r="I82" s="747">
        <f t="shared" si="18"/>
        <v>1643.480000000003</v>
      </c>
      <c r="J82" s="1113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19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61"/>
      <c r="F83" s="791">
        <f t="shared" si="12"/>
        <v>0</v>
      </c>
      <c r="G83" s="520"/>
      <c r="H83" s="356"/>
      <c r="I83" s="747">
        <f t="shared" si="18"/>
        <v>1643.480000000003</v>
      </c>
      <c r="J83" s="1113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19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61"/>
      <c r="F84" s="791">
        <f t="shared" si="12"/>
        <v>0</v>
      </c>
      <c r="G84" s="520"/>
      <c r="H84" s="356"/>
      <c r="I84" s="747">
        <f t="shared" si="18"/>
        <v>1643.480000000003</v>
      </c>
      <c r="J84" s="1113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19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61"/>
      <c r="F85" s="791">
        <f t="shared" si="12"/>
        <v>0</v>
      </c>
      <c r="G85" s="520"/>
      <c r="H85" s="356"/>
      <c r="I85" s="747">
        <f t="shared" si="18"/>
        <v>1643.480000000003</v>
      </c>
      <c r="J85" s="1113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19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61"/>
      <c r="F86" s="791">
        <f t="shared" si="12"/>
        <v>0</v>
      </c>
      <c r="G86" s="520"/>
      <c r="H86" s="356"/>
      <c r="I86" s="747">
        <f t="shared" si="18"/>
        <v>1643.480000000003</v>
      </c>
      <c r="J86" s="1113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19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61"/>
      <c r="F87" s="791">
        <f t="shared" si="12"/>
        <v>0</v>
      </c>
      <c r="G87" s="520"/>
      <c r="H87" s="356"/>
      <c r="I87" s="747">
        <f t="shared" si="18"/>
        <v>1643.480000000003</v>
      </c>
      <c r="J87" s="1113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19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61"/>
      <c r="F88" s="791">
        <f t="shared" si="12"/>
        <v>0</v>
      </c>
      <c r="G88" s="520"/>
      <c r="H88" s="356"/>
      <c r="I88" s="747">
        <f t="shared" si="18"/>
        <v>1643.480000000003</v>
      </c>
      <c r="J88" s="1113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19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61"/>
      <c r="F89" s="791">
        <f t="shared" si="12"/>
        <v>0</v>
      </c>
      <c r="G89" s="520"/>
      <c r="H89" s="356"/>
      <c r="I89" s="747">
        <f t="shared" si="18"/>
        <v>1643.480000000003</v>
      </c>
      <c r="J89" s="1113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19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61"/>
      <c r="F90" s="791">
        <f t="shared" si="12"/>
        <v>0</v>
      </c>
      <c r="G90" s="520"/>
      <c r="H90" s="356"/>
      <c r="I90" s="747">
        <f t="shared" si="18"/>
        <v>1643.480000000003</v>
      </c>
      <c r="J90" s="1113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19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61"/>
      <c r="F91" s="791">
        <f t="shared" si="12"/>
        <v>0</v>
      </c>
      <c r="G91" s="520"/>
      <c r="H91" s="356"/>
      <c r="I91" s="747">
        <f t="shared" si="18"/>
        <v>1643.480000000003</v>
      </c>
      <c r="J91" s="1113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19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61"/>
      <c r="F92" s="791">
        <f t="shared" si="12"/>
        <v>0</v>
      </c>
      <c r="G92" s="520"/>
      <c r="H92" s="356"/>
      <c r="I92" s="747">
        <f t="shared" si="18"/>
        <v>1643.480000000003</v>
      </c>
      <c r="J92" s="1113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19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61"/>
      <c r="F93" s="791">
        <f t="shared" si="12"/>
        <v>0</v>
      </c>
      <c r="G93" s="520"/>
      <c r="H93" s="356"/>
      <c r="I93" s="747">
        <f t="shared" si="18"/>
        <v>1643.480000000003</v>
      </c>
      <c r="J93" s="1113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19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61"/>
      <c r="F94" s="791">
        <f t="shared" si="12"/>
        <v>0</v>
      </c>
      <c r="G94" s="520"/>
      <c r="H94" s="356"/>
      <c r="I94" s="747">
        <f t="shared" si="18"/>
        <v>1643.480000000003</v>
      </c>
      <c r="J94" s="1113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19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61"/>
      <c r="F95" s="791">
        <f t="shared" si="12"/>
        <v>0</v>
      </c>
      <c r="G95" s="520"/>
      <c r="H95" s="356"/>
      <c r="I95" s="747">
        <f t="shared" si="18"/>
        <v>1643.480000000003</v>
      </c>
      <c r="J95" s="1113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19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61"/>
      <c r="F96" s="791">
        <f t="shared" si="12"/>
        <v>0</v>
      </c>
      <c r="G96" s="520"/>
      <c r="H96" s="356"/>
      <c r="I96" s="747">
        <f t="shared" si="18"/>
        <v>1643.480000000003</v>
      </c>
      <c r="J96" s="1113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19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61"/>
      <c r="F97" s="791">
        <f t="shared" si="12"/>
        <v>0</v>
      </c>
      <c r="G97" s="520"/>
      <c r="H97" s="356"/>
      <c r="I97" s="747">
        <f t="shared" si="18"/>
        <v>1643.480000000003</v>
      </c>
      <c r="J97" s="1113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19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61"/>
      <c r="F98" s="791">
        <f t="shared" si="12"/>
        <v>0</v>
      </c>
      <c r="G98" s="520"/>
      <c r="H98" s="356"/>
      <c r="I98" s="747">
        <f t="shared" si="18"/>
        <v>1643.480000000003</v>
      </c>
      <c r="J98" s="1113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19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61"/>
      <c r="F99" s="791">
        <f t="shared" si="12"/>
        <v>0</v>
      </c>
      <c r="G99" s="520"/>
      <c r="H99" s="356"/>
      <c r="I99" s="747">
        <f t="shared" si="18"/>
        <v>1643.480000000003</v>
      </c>
      <c r="J99" s="1113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19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13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19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13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19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13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19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13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19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13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19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13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19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13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19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13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19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13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19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13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1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13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1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13"/>
      <c r="O111" s="15"/>
      <c r="P111" s="6"/>
      <c r="Q111" s="13"/>
      <c r="R111" s="6"/>
      <c r="S111" s="31"/>
      <c r="T111" s="17"/>
      <c r="U111" s="128"/>
      <c r="V111" s="131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13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19"/>
    </row>
    <row r="113" spans="3:22" x14ac:dyDescent="0.25">
      <c r="C113" s="1709" t="s">
        <v>19</v>
      </c>
      <c r="D113" s="1710"/>
      <c r="E113" s="39">
        <f>E4+E5-F110+E6+E8</f>
        <v>1493.6600000000012</v>
      </c>
      <c r="F113" s="6"/>
      <c r="G113" s="6"/>
      <c r="H113" s="17"/>
      <c r="I113" s="128"/>
      <c r="J113" s="1113"/>
      <c r="O113" s="1709" t="s">
        <v>19</v>
      </c>
      <c r="P113" s="1710"/>
      <c r="Q113" s="39">
        <f>Q4+Q5-R110+Q6+Q8</f>
        <v>4004.28</v>
      </c>
      <c r="R113" s="6"/>
      <c r="S113" s="6"/>
      <c r="T113" s="17"/>
      <c r="U113" s="128"/>
      <c r="V113" s="131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13"/>
      <c r="O114" s="44"/>
      <c r="P114" s="43"/>
      <c r="Q114" s="41"/>
      <c r="R114" s="6"/>
      <c r="S114" s="31"/>
      <c r="T114" s="17"/>
      <c r="U114" s="128"/>
      <c r="V114" s="131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13"/>
      <c r="O115" s="15"/>
      <c r="P115" s="6"/>
      <c r="Q115" s="13"/>
      <c r="R115" s="6"/>
      <c r="S115" s="31"/>
      <c r="T115" s="17"/>
      <c r="U115" s="128"/>
      <c r="V115" s="1319"/>
    </row>
    <row r="116" spans="3:22" x14ac:dyDescent="0.25">
      <c r="I116" s="128"/>
      <c r="J116" s="1113"/>
      <c r="U116" s="128"/>
      <c r="V116" s="131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0"/>
      <c r="B5" s="1650"/>
      <c r="C5" s="360"/>
      <c r="D5" s="568"/>
      <c r="E5" s="702"/>
      <c r="F5" s="653"/>
      <c r="G5" s="5"/>
    </row>
    <row r="6" spans="1:9" x14ac:dyDescent="0.25">
      <c r="A6" s="1650"/>
      <c r="B6" s="1650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7" t="s">
        <v>11</v>
      </c>
      <c r="D83" s="164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55" t="s">
        <v>316</v>
      </c>
      <c r="B1" s="1655"/>
      <c r="C1" s="1655"/>
      <c r="D1" s="1655"/>
      <c r="E1" s="1655"/>
      <c r="F1" s="1655"/>
      <c r="G1" s="16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711" t="s">
        <v>112</v>
      </c>
      <c r="B5" s="1664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712"/>
      <c r="B6" s="1664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713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14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00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01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01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01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01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01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01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00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01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01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01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01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01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00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01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81"/>
      <c r="E24" s="1296"/>
      <c r="F24" s="628">
        <f t="shared" si="0"/>
        <v>0</v>
      </c>
      <c r="G24" s="1032"/>
      <c r="H24" s="1033"/>
      <c r="I24" s="1101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81"/>
      <c r="E25" s="1296"/>
      <c r="F25" s="628">
        <f t="shared" si="0"/>
        <v>0</v>
      </c>
      <c r="G25" s="1032"/>
      <c r="H25" s="1033"/>
      <c r="I25" s="1101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81"/>
      <c r="E26" s="1296"/>
      <c r="F26" s="628">
        <f t="shared" si="0"/>
        <v>0</v>
      </c>
      <c r="G26" s="1032"/>
      <c r="H26" s="1033"/>
      <c r="I26" s="1101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81"/>
      <c r="E27" s="1296"/>
      <c r="F27" s="628">
        <f t="shared" si="0"/>
        <v>0</v>
      </c>
      <c r="G27" s="1032"/>
      <c r="H27" s="1033"/>
      <c r="I27" s="1101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296"/>
      <c r="F28" s="628">
        <f t="shared" si="0"/>
        <v>0</v>
      </c>
      <c r="G28" s="1032"/>
      <c r="H28" s="1033"/>
      <c r="I28" s="1101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296"/>
      <c r="F29" s="628">
        <f t="shared" si="0"/>
        <v>0</v>
      </c>
      <c r="G29" s="1032"/>
      <c r="H29" s="1033"/>
      <c r="I29" s="1101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296"/>
      <c r="F30" s="628">
        <f t="shared" si="0"/>
        <v>0</v>
      </c>
      <c r="G30" s="1032"/>
      <c r="H30" s="1033"/>
      <c r="I30" s="1101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296"/>
      <c r="F31" s="628">
        <f t="shared" si="0"/>
        <v>0</v>
      </c>
      <c r="G31" s="1032"/>
      <c r="H31" s="1033"/>
      <c r="I31" s="1101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296"/>
      <c r="F32" s="628">
        <f t="shared" si="0"/>
        <v>0</v>
      </c>
      <c r="G32" s="1032"/>
      <c r="H32" s="1033"/>
      <c r="I32" s="1101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296"/>
      <c r="F33" s="628">
        <f t="shared" si="0"/>
        <v>0</v>
      </c>
      <c r="G33" s="1032"/>
      <c r="H33" s="1033"/>
      <c r="I33" s="1101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296"/>
      <c r="F34" s="628">
        <f t="shared" si="0"/>
        <v>0</v>
      </c>
      <c r="G34" s="1032"/>
      <c r="H34" s="1033"/>
      <c r="I34" s="1101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296"/>
      <c r="F35" s="628">
        <f t="shared" si="0"/>
        <v>0</v>
      </c>
      <c r="G35" s="1032"/>
      <c r="H35" s="1033"/>
      <c r="I35" s="1101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296"/>
      <c r="F36" s="628">
        <f t="shared" si="0"/>
        <v>0</v>
      </c>
      <c r="G36" s="1032"/>
      <c r="H36" s="1033"/>
      <c r="I36" s="1101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296"/>
      <c r="F37" s="628">
        <f t="shared" si="0"/>
        <v>0</v>
      </c>
      <c r="G37" s="1032"/>
      <c r="H37" s="1033"/>
      <c r="I37" s="1101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296"/>
      <c r="F38" s="628">
        <f t="shared" si="0"/>
        <v>0</v>
      </c>
      <c r="G38" s="1032"/>
      <c r="H38" s="1033"/>
      <c r="I38" s="1101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296"/>
      <c r="F39" s="628">
        <f t="shared" si="0"/>
        <v>0</v>
      </c>
      <c r="G39" s="1032"/>
      <c r="H39" s="1033"/>
      <c r="I39" s="1101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296"/>
      <c r="F40" s="628">
        <f t="shared" si="0"/>
        <v>0</v>
      </c>
      <c r="G40" s="1032"/>
      <c r="H40" s="1033"/>
      <c r="I40" s="1101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296"/>
      <c r="F41" s="628">
        <f t="shared" si="0"/>
        <v>0</v>
      </c>
      <c r="G41" s="1032"/>
      <c r="H41" s="1033"/>
      <c r="I41" s="1101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296"/>
      <c r="F42" s="628">
        <f t="shared" si="0"/>
        <v>0</v>
      </c>
      <c r="G42" s="1032"/>
      <c r="H42" s="1033"/>
      <c r="I42" s="1101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296"/>
      <c r="F43" s="628">
        <f t="shared" si="0"/>
        <v>0</v>
      </c>
      <c r="G43" s="1032"/>
      <c r="H43" s="1033"/>
      <c r="I43" s="1101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296"/>
      <c r="F44" s="628">
        <f t="shared" si="0"/>
        <v>0</v>
      </c>
      <c r="G44" s="1032"/>
      <c r="H44" s="1033"/>
      <c r="I44" s="1101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09" t="s">
        <v>19</v>
      </c>
      <c r="D49" s="171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55" t="s">
        <v>317</v>
      </c>
      <c r="B1" s="1655"/>
      <c r="C1" s="1655"/>
      <c r="D1" s="1655"/>
      <c r="E1" s="1655"/>
      <c r="F1" s="1655"/>
      <c r="G1" s="1655"/>
      <c r="H1" s="11">
        <v>1</v>
      </c>
      <c r="K1" s="1645" t="s">
        <v>322</v>
      </c>
      <c r="L1" s="1645"/>
      <c r="M1" s="1645"/>
      <c r="N1" s="1645"/>
      <c r="O1" s="1645"/>
      <c r="P1" s="1645"/>
      <c r="Q1" s="1645"/>
      <c r="R1" s="11">
        <v>2</v>
      </c>
      <c r="U1" s="1655" t="s">
        <v>317</v>
      </c>
      <c r="V1" s="1655"/>
      <c r="W1" s="1655"/>
      <c r="X1" s="1655"/>
      <c r="Y1" s="1655"/>
      <c r="Z1" s="1655"/>
      <c r="AA1" s="1655"/>
      <c r="AB1" s="11">
        <v>3</v>
      </c>
      <c r="AE1" s="1645" t="s">
        <v>333</v>
      </c>
      <c r="AF1" s="1645"/>
      <c r="AG1" s="1645"/>
      <c r="AH1" s="1645"/>
      <c r="AI1" s="1645"/>
      <c r="AJ1" s="1645"/>
      <c r="AK1" s="164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96" t="s">
        <v>92</v>
      </c>
      <c r="B5" s="1716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96" t="s">
        <v>92</v>
      </c>
      <c r="L5" s="1716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96" t="s">
        <v>92</v>
      </c>
      <c r="V5" s="1715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96" t="s">
        <v>92</v>
      </c>
      <c r="AF5" s="1715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96"/>
      <c r="B6" s="1717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96"/>
      <c r="L6" s="1717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96"/>
      <c r="V6" s="1715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96"/>
      <c r="AF6" s="1715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297"/>
      <c r="F12" s="628">
        <f t="shared" si="0"/>
        <v>0</v>
      </c>
      <c r="G12" s="1032"/>
      <c r="H12" s="1033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297"/>
      <c r="F13" s="628">
        <f t="shared" si="0"/>
        <v>0</v>
      </c>
      <c r="G13" s="1032"/>
      <c r="H13" s="1033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198"/>
      <c r="B14" s="665">
        <f t="shared" si="4"/>
        <v>13</v>
      </c>
      <c r="C14" s="613"/>
      <c r="D14" s="628"/>
      <c r="E14" s="1297"/>
      <c r="F14" s="628">
        <f t="shared" si="0"/>
        <v>0</v>
      </c>
      <c r="G14" s="1032"/>
      <c r="H14" s="1033"/>
      <c r="I14" s="586">
        <f t="shared" si="8"/>
        <v>130</v>
      </c>
      <c r="K14" s="1319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198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19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198" t="s">
        <v>22</v>
      </c>
      <c r="B15" s="665">
        <f t="shared" si="4"/>
        <v>13</v>
      </c>
      <c r="C15" s="613"/>
      <c r="D15" s="628"/>
      <c r="E15" s="1297"/>
      <c r="F15" s="628">
        <f t="shared" si="0"/>
        <v>0</v>
      </c>
      <c r="G15" s="1032"/>
      <c r="H15" s="1033"/>
      <c r="I15" s="586">
        <f t="shared" si="8"/>
        <v>130</v>
      </c>
      <c r="K15" s="1319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198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19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297"/>
      <c r="F16" s="628">
        <f t="shared" si="0"/>
        <v>0</v>
      </c>
      <c r="G16" s="1032"/>
      <c r="H16" s="1033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297"/>
      <c r="F17" s="628">
        <f t="shared" si="0"/>
        <v>0</v>
      </c>
      <c r="G17" s="1032"/>
      <c r="H17" s="1033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297"/>
      <c r="F18" s="628">
        <f t="shared" si="0"/>
        <v>0</v>
      </c>
      <c r="G18" s="1032"/>
      <c r="H18" s="1033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297"/>
      <c r="F19" s="628">
        <f t="shared" si="0"/>
        <v>0</v>
      </c>
      <c r="G19" s="1032"/>
      <c r="H19" s="1033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297"/>
      <c r="F20" s="628">
        <f t="shared" si="0"/>
        <v>0</v>
      </c>
      <c r="G20" s="1032"/>
      <c r="H20" s="1033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297"/>
      <c r="F21" s="628">
        <f t="shared" si="0"/>
        <v>0</v>
      </c>
      <c r="G21" s="1032"/>
      <c r="H21" s="1033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297"/>
      <c r="F22" s="628">
        <f t="shared" si="0"/>
        <v>0</v>
      </c>
      <c r="G22" s="1032"/>
      <c r="H22" s="1033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297"/>
      <c r="F23" s="628">
        <f t="shared" si="0"/>
        <v>0</v>
      </c>
      <c r="G23" s="1032"/>
      <c r="H23" s="1033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297"/>
      <c r="F24" s="628">
        <f t="shared" si="0"/>
        <v>0</v>
      </c>
      <c r="G24" s="1032"/>
      <c r="H24" s="1033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297"/>
      <c r="F25" s="628">
        <f t="shared" si="0"/>
        <v>0</v>
      </c>
      <c r="G25" s="1032"/>
      <c r="H25" s="1033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297"/>
      <c r="F26" s="628">
        <f t="shared" si="0"/>
        <v>0</v>
      </c>
      <c r="G26" s="1032"/>
      <c r="H26" s="1033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297"/>
      <c r="F27" s="628">
        <f t="shared" si="0"/>
        <v>0</v>
      </c>
      <c r="G27" s="1032"/>
      <c r="H27" s="1033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297"/>
      <c r="F28" s="628">
        <f t="shared" si="0"/>
        <v>0</v>
      </c>
      <c r="G28" s="1032"/>
      <c r="H28" s="1033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297"/>
      <c r="F29" s="628">
        <f t="shared" si="0"/>
        <v>0</v>
      </c>
      <c r="G29" s="1032"/>
      <c r="H29" s="1033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297"/>
      <c r="F30" s="628">
        <f t="shared" si="0"/>
        <v>0</v>
      </c>
      <c r="G30" s="1032"/>
      <c r="H30" s="1033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297"/>
      <c r="F31" s="628">
        <f t="shared" si="0"/>
        <v>0</v>
      </c>
      <c r="G31" s="1032"/>
      <c r="H31" s="1033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647" t="s">
        <v>11</v>
      </c>
      <c r="D83" s="1648"/>
      <c r="E83" s="56">
        <f>E5+E6-F78+E7</f>
        <v>130</v>
      </c>
      <c r="F83" s="1198"/>
      <c r="M83" s="1647" t="s">
        <v>11</v>
      </c>
      <c r="N83" s="1648"/>
      <c r="O83" s="56">
        <f>O5+O6-P78+O7</f>
        <v>110</v>
      </c>
      <c r="P83" s="1319"/>
      <c r="W83" s="1647" t="s">
        <v>11</v>
      </c>
      <c r="X83" s="1648"/>
      <c r="Y83" s="56">
        <f>Y5+Y6-Z78+Y7</f>
        <v>150</v>
      </c>
      <c r="Z83" s="1198"/>
      <c r="AG83" s="1647" t="s">
        <v>11</v>
      </c>
      <c r="AH83" s="1648"/>
      <c r="AI83" s="56">
        <f>AI5+AI6-AJ78+AI7</f>
        <v>50</v>
      </c>
      <c r="AJ83" s="131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54"/>
      <c r="B5" s="166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54"/>
      <c r="B6" s="166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718" t="s">
        <v>19</v>
      </c>
      <c r="D41" s="1719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45" t="s">
        <v>333</v>
      </c>
      <c r="B1" s="1645"/>
      <c r="C1" s="1645"/>
      <c r="D1" s="1645"/>
      <c r="E1" s="1645"/>
      <c r="F1" s="1645"/>
      <c r="G1" s="164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7"/>
      <c r="B4" s="140"/>
      <c r="C4" s="504"/>
      <c r="D4" s="130"/>
      <c r="E4" s="1086"/>
      <c r="F4" s="653"/>
    </row>
    <row r="5" spans="1:10" ht="24.75" customHeight="1" x14ac:dyDescent="0.25">
      <c r="A5" s="1727" t="s">
        <v>52</v>
      </c>
      <c r="B5" s="1722" t="s">
        <v>101</v>
      </c>
      <c r="C5" s="917">
        <v>64</v>
      </c>
      <c r="D5" s="590">
        <v>45152</v>
      </c>
      <c r="E5" s="1085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727"/>
      <c r="B6" s="1723"/>
      <c r="C6" s="212"/>
      <c r="D6" s="130"/>
      <c r="E6" s="1086"/>
      <c r="F6" s="226"/>
      <c r="G6" s="143"/>
      <c r="H6" s="57"/>
    </row>
    <row r="7" spans="1:10" ht="24.75" customHeight="1" thickBot="1" x14ac:dyDescent="0.3">
      <c r="A7" s="1727"/>
      <c r="B7" s="1723"/>
      <c r="C7" s="485"/>
      <c r="D7" s="324"/>
      <c r="E7" s="1087"/>
      <c r="F7" s="227"/>
      <c r="G7" s="143"/>
      <c r="H7" s="57"/>
    </row>
    <row r="8" spans="1:10" ht="24.75" customHeight="1" thickTop="1" thickBot="1" x14ac:dyDescent="0.3">
      <c r="A8" s="1188"/>
      <c r="B8" s="1724"/>
      <c r="C8" s="485"/>
      <c r="D8" s="130"/>
      <c r="E8" s="1086"/>
      <c r="F8" s="226"/>
      <c r="I8" s="1725" t="s">
        <v>3</v>
      </c>
      <c r="J8" s="172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6"/>
      <c r="J9" s="172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82"/>
      <c r="B14" s="82"/>
      <c r="C14" s="15"/>
      <c r="D14" s="1162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82"/>
      <c r="B15" s="82"/>
      <c r="C15" s="15"/>
      <c r="D15" s="1162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62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62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62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62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62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62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62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62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82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82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82"/>
    </row>
    <row r="101" spans="1:10" ht="15.75" thickBot="1" x14ac:dyDescent="0.3">
      <c r="A101" s="115"/>
    </row>
    <row r="102" spans="1:10" ht="16.5" thickTop="1" thickBot="1" x14ac:dyDescent="0.3">
      <c r="A102" s="47"/>
      <c r="C102" s="1700" t="s">
        <v>11</v>
      </c>
      <c r="D102" s="1701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0" t="s">
        <v>333</v>
      </c>
      <c r="B1" s="1730"/>
      <c r="C1" s="1730"/>
      <c r="D1" s="1730"/>
      <c r="E1" s="1730"/>
      <c r="F1" s="1730"/>
      <c r="G1" s="1730"/>
      <c r="H1" s="1730"/>
      <c r="I1" s="173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731" t="s">
        <v>336</v>
      </c>
      <c r="B5" s="1600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731"/>
      <c r="B6" s="1732"/>
      <c r="C6" s="654"/>
      <c r="D6" s="568"/>
      <c r="E6" s="1007"/>
      <c r="F6" s="1008"/>
      <c r="G6" s="998"/>
    </row>
    <row r="7" spans="1:10" ht="15.75" customHeight="1" thickBot="1" x14ac:dyDescent="0.35">
      <c r="A7" s="1731"/>
      <c r="B7" s="1601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733" t="s">
        <v>47</v>
      </c>
      <c r="J8" s="1728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734"/>
      <c r="J9" s="1729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00" t="s">
        <v>11</v>
      </c>
      <c r="D105" s="1701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8" sqref="F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0" t="s">
        <v>333</v>
      </c>
      <c r="B1" s="1730"/>
      <c r="C1" s="1730"/>
      <c r="D1" s="1730"/>
      <c r="E1" s="1730"/>
      <c r="F1" s="1730"/>
      <c r="G1" s="1730"/>
      <c r="H1" s="1730"/>
      <c r="I1" s="173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72"/>
    </row>
    <row r="5" spans="1:10" ht="15" customHeight="1" x14ac:dyDescent="0.3">
      <c r="A5" s="1731" t="s">
        <v>96</v>
      </c>
      <c r="B5" s="1735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383.52</v>
      </c>
    </row>
    <row r="6" spans="1:10" ht="16.5" customHeight="1" x14ac:dyDescent="0.25">
      <c r="A6" s="1731"/>
      <c r="B6" s="1736"/>
      <c r="C6" s="654">
        <v>65</v>
      </c>
      <c r="D6" s="655">
        <v>45164</v>
      </c>
      <c r="E6" s="877">
        <v>191.64</v>
      </c>
      <c r="F6" s="657">
        <v>5</v>
      </c>
      <c r="G6" s="1072"/>
    </row>
    <row r="7" spans="1:10" ht="15.75" customHeight="1" thickBot="1" x14ac:dyDescent="0.35">
      <c r="A7" s="1731"/>
      <c r="B7" s="1737"/>
      <c r="C7" s="654"/>
      <c r="D7" s="655"/>
      <c r="E7" s="656"/>
      <c r="F7" s="657"/>
      <c r="G7" s="1072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72"/>
      <c r="I8" s="1733" t="s">
        <v>47</v>
      </c>
      <c r="J8" s="17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4"/>
      <c r="J9" s="1729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383.52</v>
      </c>
      <c r="J10" s="712">
        <f>F4+F5+F6+F7-C10+F8</f>
        <v>10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383.52</v>
      </c>
      <c r="J11" s="712">
        <f>J10-C11</f>
        <v>10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383.52</v>
      </c>
      <c r="J12" s="712">
        <f t="shared" ref="J12:J40" si="1">J11-C12</f>
        <v>10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383.52</v>
      </c>
      <c r="J13" s="712">
        <f t="shared" si="1"/>
        <v>10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383.52</v>
      </c>
      <c r="J14" s="712">
        <f t="shared" si="1"/>
        <v>10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383.52</v>
      </c>
      <c r="J15" s="712">
        <f t="shared" si="1"/>
        <v>10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383.52</v>
      </c>
      <c r="J16" s="712">
        <f t="shared" si="1"/>
        <v>10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383.52</v>
      </c>
      <c r="J17" s="712">
        <f t="shared" si="1"/>
        <v>10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383.52</v>
      </c>
      <c r="J18" s="712">
        <f t="shared" si="1"/>
        <v>10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383.52</v>
      </c>
      <c r="J19" s="712">
        <f t="shared" si="1"/>
        <v>10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383.52</v>
      </c>
      <c r="J20" s="712">
        <f t="shared" si="1"/>
        <v>10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383.52</v>
      </c>
      <c r="J21" s="712">
        <f t="shared" si="1"/>
        <v>10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383.52</v>
      </c>
      <c r="J22" s="712">
        <f t="shared" si="1"/>
        <v>10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383.52</v>
      </c>
      <c r="J23" s="712">
        <f t="shared" si="1"/>
        <v>10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383.52</v>
      </c>
      <c r="J24" s="712">
        <f t="shared" si="1"/>
        <v>10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383.52</v>
      </c>
      <c r="J25" s="712">
        <f t="shared" si="1"/>
        <v>10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383.52</v>
      </c>
      <c r="J26" s="712">
        <f t="shared" si="1"/>
        <v>10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383.52</v>
      </c>
      <c r="J27" s="712">
        <f t="shared" si="1"/>
        <v>10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383.52</v>
      </c>
      <c r="J28" s="712">
        <f t="shared" si="1"/>
        <v>10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383.52</v>
      </c>
      <c r="J29" s="712">
        <f t="shared" si="1"/>
        <v>10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383.52</v>
      </c>
      <c r="J30" s="123">
        <f t="shared" si="1"/>
        <v>10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383.52</v>
      </c>
      <c r="J31" s="123">
        <f t="shared" si="1"/>
        <v>10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383.52</v>
      </c>
      <c r="J32" s="123">
        <f t="shared" si="1"/>
        <v>10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383.52</v>
      </c>
      <c r="J33" s="123">
        <f t="shared" si="1"/>
        <v>10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383.52</v>
      </c>
      <c r="J34" s="123">
        <f t="shared" si="1"/>
        <v>10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383.52</v>
      </c>
      <c r="J35" s="123">
        <f t="shared" si="1"/>
        <v>10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383.52</v>
      </c>
      <c r="J36" s="123">
        <f t="shared" si="1"/>
        <v>10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383.52</v>
      </c>
      <c r="J37" s="123">
        <f t="shared" si="1"/>
        <v>10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383.52</v>
      </c>
      <c r="J38" s="123">
        <f t="shared" si="1"/>
        <v>10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383.52</v>
      </c>
      <c r="J39" s="712">
        <f t="shared" si="1"/>
        <v>10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383.52</v>
      </c>
      <c r="J40" s="123">
        <f t="shared" si="1"/>
        <v>10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10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00" t="s">
        <v>11</v>
      </c>
      <c r="D46" s="1701"/>
      <c r="E46" s="141">
        <f>E5+E4+E6+-F43+E7</f>
        <v>383.52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16" sqref="N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5" t="s">
        <v>309</v>
      </c>
      <c r="B1" s="1655"/>
      <c r="C1" s="1655"/>
      <c r="D1" s="1655"/>
      <c r="E1" s="1655"/>
      <c r="F1" s="1655"/>
      <c r="G1" s="1655"/>
      <c r="H1" s="96">
        <v>1</v>
      </c>
      <c r="L1" s="1645" t="s">
        <v>333</v>
      </c>
      <c r="M1" s="1645"/>
      <c r="N1" s="1645"/>
      <c r="O1" s="1645"/>
      <c r="P1" s="1645"/>
      <c r="Q1" s="1645"/>
      <c r="R1" s="164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485">
        <v>68</v>
      </c>
      <c r="O4" s="130">
        <v>45141</v>
      </c>
      <c r="P4" s="879">
        <v>436.98</v>
      </c>
      <c r="Q4" s="227">
        <v>17</v>
      </c>
    </row>
    <row r="5" spans="1:21" ht="15" customHeight="1" thickBot="1" x14ac:dyDescent="0.3">
      <c r="A5" s="1738" t="s">
        <v>96</v>
      </c>
      <c r="B5" s="1735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738" t="s">
        <v>96</v>
      </c>
      <c r="M5" s="1735" t="s">
        <v>98</v>
      </c>
      <c r="N5" s="124">
        <v>69</v>
      </c>
      <c r="O5" s="130">
        <v>45154</v>
      </c>
      <c r="P5" s="140">
        <v>899.53</v>
      </c>
      <c r="Q5" s="227">
        <v>35</v>
      </c>
      <c r="R5" s="143">
        <f>Q46</f>
        <v>0</v>
      </c>
      <c r="S5" s="57">
        <f>P4+P5+P6-R5</f>
        <v>2296.81</v>
      </c>
    </row>
    <row r="6" spans="1:21" ht="17.25" thickTop="1" thickBot="1" x14ac:dyDescent="0.3">
      <c r="A6" s="1739"/>
      <c r="B6" s="1737"/>
      <c r="C6" s="212"/>
      <c r="D6" s="130"/>
      <c r="E6" s="140"/>
      <c r="F6" s="227"/>
      <c r="I6" s="1725" t="s">
        <v>3</v>
      </c>
      <c r="J6" s="1720" t="s">
        <v>4</v>
      </c>
      <c r="L6" s="1739"/>
      <c r="M6" s="1737"/>
      <c r="N6" s="124">
        <v>69</v>
      </c>
      <c r="O6" s="130">
        <v>45164</v>
      </c>
      <c r="P6" s="225">
        <v>960.3</v>
      </c>
      <c r="Q6" s="226">
        <v>40</v>
      </c>
      <c r="T6" s="1725" t="s">
        <v>3</v>
      </c>
      <c r="U6" s="172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6"/>
      <c r="J7" s="172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26"/>
      <c r="U7" s="1721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2296.81</v>
      </c>
      <c r="U8" s="123">
        <f>Q4+Q5+Q6-N8</f>
        <v>92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2296.81</v>
      </c>
      <c r="U9" s="712">
        <f>U8-N9</f>
        <v>92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2296.81</v>
      </c>
      <c r="U10" s="712">
        <f t="shared" ref="U10:U44" si="5">U9-N10</f>
        <v>92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2296.81</v>
      </c>
      <c r="U11" s="712">
        <f t="shared" si="5"/>
        <v>92</v>
      </c>
    </row>
    <row r="12" spans="1:21" x14ac:dyDescent="0.25">
      <c r="A12" s="1077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1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2296.81</v>
      </c>
      <c r="U12" s="712">
        <f t="shared" si="5"/>
        <v>92</v>
      </c>
    </row>
    <row r="13" spans="1:21" x14ac:dyDescent="0.25">
      <c r="A13" s="1077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1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2296.81</v>
      </c>
      <c r="U13" s="712">
        <f t="shared" si="5"/>
        <v>92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1472">
        <f t="shared" si="4"/>
        <v>2296.81</v>
      </c>
      <c r="U14" s="712">
        <f t="shared" si="5"/>
        <v>92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2296.81</v>
      </c>
      <c r="U15" s="712">
        <f t="shared" si="5"/>
        <v>92</v>
      </c>
    </row>
    <row r="16" spans="1:21" x14ac:dyDescent="0.25">
      <c r="A16" s="80"/>
      <c r="B16" s="82"/>
      <c r="C16" s="15"/>
      <c r="D16" s="1026">
        <v>0</v>
      </c>
      <c r="E16" s="1030"/>
      <c r="F16" s="792">
        <f>D16</f>
        <v>0</v>
      </c>
      <c r="G16" s="793"/>
      <c r="H16" s="1027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0"/>
      <c r="Q16" s="555">
        <f t="shared" si="1"/>
        <v>0</v>
      </c>
      <c r="R16" s="793"/>
      <c r="S16" s="1027"/>
      <c r="T16" s="702">
        <f t="shared" si="4"/>
        <v>2296.81</v>
      </c>
      <c r="U16" s="712">
        <f t="shared" si="5"/>
        <v>92</v>
      </c>
    </row>
    <row r="17" spans="1:21" x14ac:dyDescent="0.25">
      <c r="A17" s="82"/>
      <c r="B17" s="82"/>
      <c r="C17" s="15"/>
      <c r="D17" s="1026">
        <v>0</v>
      </c>
      <c r="E17" s="1298"/>
      <c r="F17" s="791">
        <f t="shared" ref="F17:F45" si="6">D17</f>
        <v>0</v>
      </c>
      <c r="G17" s="1299"/>
      <c r="H17" s="1027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298"/>
      <c r="Q17" s="555">
        <f t="shared" si="1"/>
        <v>0</v>
      </c>
      <c r="R17" s="1300"/>
      <c r="S17" s="1027"/>
      <c r="T17" s="702">
        <f t="shared" si="4"/>
        <v>2296.81</v>
      </c>
      <c r="U17" s="712">
        <f t="shared" si="5"/>
        <v>92</v>
      </c>
    </row>
    <row r="18" spans="1:21" x14ac:dyDescent="0.25">
      <c r="A18" s="2"/>
      <c r="B18" s="82"/>
      <c r="C18" s="15"/>
      <c r="D18" s="1026">
        <v>0</v>
      </c>
      <c r="E18" s="1298"/>
      <c r="F18" s="791">
        <f t="shared" si="6"/>
        <v>0</v>
      </c>
      <c r="G18" s="520"/>
      <c r="H18" s="1027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298"/>
      <c r="Q18" s="555">
        <f t="shared" si="1"/>
        <v>0</v>
      </c>
      <c r="R18" s="793"/>
      <c r="S18" s="1027"/>
      <c r="T18" s="702">
        <f t="shared" si="4"/>
        <v>2296.81</v>
      </c>
      <c r="U18" s="712">
        <f t="shared" si="5"/>
        <v>92</v>
      </c>
    </row>
    <row r="19" spans="1:21" x14ac:dyDescent="0.25">
      <c r="A19" s="2"/>
      <c r="B19" s="82"/>
      <c r="C19" s="15"/>
      <c r="D19" s="1026">
        <v>0</v>
      </c>
      <c r="E19" s="1298"/>
      <c r="F19" s="791">
        <f t="shared" si="6"/>
        <v>0</v>
      </c>
      <c r="G19" s="520"/>
      <c r="H19" s="1028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298"/>
      <c r="Q19" s="555">
        <f t="shared" si="1"/>
        <v>0</v>
      </c>
      <c r="R19" s="793"/>
      <c r="S19" s="1027"/>
      <c r="T19" s="702">
        <f t="shared" si="4"/>
        <v>2296.81</v>
      </c>
      <c r="U19" s="712">
        <f t="shared" si="5"/>
        <v>92</v>
      </c>
    </row>
    <row r="20" spans="1:21" x14ac:dyDescent="0.25">
      <c r="A20" s="2"/>
      <c r="B20" s="82"/>
      <c r="C20" s="15"/>
      <c r="D20" s="1026">
        <v>0</v>
      </c>
      <c r="E20" s="1298"/>
      <c r="F20" s="791">
        <f t="shared" si="6"/>
        <v>0</v>
      </c>
      <c r="G20" s="520"/>
      <c r="H20" s="1028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298"/>
      <c r="Q20" s="555">
        <f t="shared" si="1"/>
        <v>0</v>
      </c>
      <c r="R20" s="520"/>
      <c r="S20" s="1028"/>
      <c r="T20" s="197">
        <f t="shared" si="4"/>
        <v>2296.81</v>
      </c>
      <c r="U20" s="123">
        <f t="shared" si="5"/>
        <v>92</v>
      </c>
    </row>
    <row r="21" spans="1:21" x14ac:dyDescent="0.25">
      <c r="A21" s="2"/>
      <c r="B21" s="82"/>
      <c r="C21" s="15"/>
      <c r="D21" s="1026">
        <v>0</v>
      </c>
      <c r="E21" s="1298"/>
      <c r="F21" s="791">
        <f t="shared" si="6"/>
        <v>0</v>
      </c>
      <c r="G21" s="520"/>
      <c r="H21" s="1028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298"/>
      <c r="Q21" s="555">
        <f t="shared" si="1"/>
        <v>0</v>
      </c>
      <c r="R21" s="520"/>
      <c r="S21" s="1028"/>
      <c r="T21" s="197">
        <f t="shared" si="4"/>
        <v>2296.81</v>
      </c>
      <c r="U21" s="123">
        <f t="shared" si="5"/>
        <v>92</v>
      </c>
    </row>
    <row r="22" spans="1:21" x14ac:dyDescent="0.25">
      <c r="A22" s="2"/>
      <c r="B22" s="82"/>
      <c r="C22" s="15"/>
      <c r="D22" s="1026">
        <v>0</v>
      </c>
      <c r="E22" s="1298"/>
      <c r="F22" s="791">
        <f t="shared" si="6"/>
        <v>0</v>
      </c>
      <c r="G22" s="520"/>
      <c r="H22" s="1028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298"/>
      <c r="Q22" s="555">
        <f t="shared" si="1"/>
        <v>0</v>
      </c>
      <c r="R22" s="520"/>
      <c r="S22" s="1028"/>
      <c r="T22" s="197">
        <f t="shared" si="4"/>
        <v>2296.81</v>
      </c>
      <c r="U22" s="123">
        <f t="shared" si="5"/>
        <v>92</v>
      </c>
    </row>
    <row r="23" spans="1:21" x14ac:dyDescent="0.25">
      <c r="A23" s="2"/>
      <c r="B23" s="82"/>
      <c r="C23" s="15"/>
      <c r="D23" s="1026">
        <v>0</v>
      </c>
      <c r="E23" s="1298"/>
      <c r="F23" s="791">
        <f t="shared" si="6"/>
        <v>0</v>
      </c>
      <c r="G23" s="520"/>
      <c r="H23" s="1028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298"/>
      <c r="Q23" s="555">
        <f t="shared" si="1"/>
        <v>0</v>
      </c>
      <c r="R23" s="520"/>
      <c r="S23" s="1028"/>
      <c r="T23" s="197">
        <f t="shared" si="4"/>
        <v>2296.81</v>
      </c>
      <c r="U23" s="123">
        <f t="shared" si="5"/>
        <v>92</v>
      </c>
    </row>
    <row r="24" spans="1:21" x14ac:dyDescent="0.25">
      <c r="A24" s="2"/>
      <c r="B24" s="82"/>
      <c r="C24" s="15"/>
      <c r="D24" s="1026">
        <v>0</v>
      </c>
      <c r="E24" s="1298"/>
      <c r="F24" s="791">
        <f t="shared" si="6"/>
        <v>0</v>
      </c>
      <c r="G24" s="520"/>
      <c r="H24" s="1028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298"/>
      <c r="Q24" s="555">
        <f t="shared" si="1"/>
        <v>0</v>
      </c>
      <c r="R24" s="520"/>
      <c r="S24" s="1028"/>
      <c r="T24" s="197">
        <f t="shared" si="4"/>
        <v>2296.81</v>
      </c>
      <c r="U24" s="123">
        <f t="shared" si="5"/>
        <v>92</v>
      </c>
    </row>
    <row r="25" spans="1:21" x14ac:dyDescent="0.25">
      <c r="A25" s="2"/>
      <c r="B25" s="82"/>
      <c r="C25" s="15"/>
      <c r="D25" s="1026">
        <v>0</v>
      </c>
      <c r="E25" s="1298"/>
      <c r="F25" s="791">
        <f t="shared" si="6"/>
        <v>0</v>
      </c>
      <c r="G25" s="520"/>
      <c r="H25" s="1028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298"/>
      <c r="Q25" s="555">
        <f t="shared" si="1"/>
        <v>0</v>
      </c>
      <c r="R25" s="520"/>
      <c r="S25" s="1028"/>
      <c r="T25" s="197">
        <f t="shared" si="4"/>
        <v>2296.81</v>
      </c>
      <c r="U25" s="123">
        <f t="shared" si="5"/>
        <v>92</v>
      </c>
    </row>
    <row r="26" spans="1:21" x14ac:dyDescent="0.25">
      <c r="A26" s="2"/>
      <c r="B26" s="82"/>
      <c r="C26" s="15"/>
      <c r="D26" s="1026">
        <v>0</v>
      </c>
      <c r="E26" s="1298"/>
      <c r="F26" s="791">
        <f t="shared" si="6"/>
        <v>0</v>
      </c>
      <c r="G26" s="520"/>
      <c r="H26" s="1028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298"/>
      <c r="Q26" s="555">
        <f t="shared" si="1"/>
        <v>0</v>
      </c>
      <c r="R26" s="520"/>
      <c r="S26" s="1028"/>
      <c r="T26" s="197">
        <f t="shared" si="4"/>
        <v>2296.81</v>
      </c>
      <c r="U26" s="123">
        <f t="shared" si="5"/>
        <v>92</v>
      </c>
    </row>
    <row r="27" spans="1:21" x14ac:dyDescent="0.25">
      <c r="A27" s="2"/>
      <c r="B27" s="82"/>
      <c r="C27" s="15"/>
      <c r="D27" s="1026">
        <v>0</v>
      </c>
      <c r="E27" s="1298"/>
      <c r="F27" s="791">
        <f t="shared" si="6"/>
        <v>0</v>
      </c>
      <c r="G27" s="520"/>
      <c r="H27" s="1028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298"/>
      <c r="Q27" s="555">
        <f t="shared" si="1"/>
        <v>0</v>
      </c>
      <c r="R27" s="520"/>
      <c r="S27" s="1028"/>
      <c r="T27" s="197">
        <f t="shared" si="4"/>
        <v>2296.81</v>
      </c>
      <c r="U27" s="123">
        <f t="shared" si="5"/>
        <v>92</v>
      </c>
    </row>
    <row r="28" spans="1:21" x14ac:dyDescent="0.25">
      <c r="A28" s="2"/>
      <c r="B28" s="82"/>
      <c r="C28" s="15"/>
      <c r="D28" s="1026">
        <v>0</v>
      </c>
      <c r="E28" s="1298"/>
      <c r="F28" s="791">
        <f t="shared" si="6"/>
        <v>0</v>
      </c>
      <c r="G28" s="520"/>
      <c r="H28" s="1028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298"/>
      <c r="Q28" s="555">
        <f t="shared" si="1"/>
        <v>0</v>
      </c>
      <c r="R28" s="520"/>
      <c r="S28" s="1028"/>
      <c r="T28" s="197">
        <f t="shared" si="4"/>
        <v>2296.81</v>
      </c>
      <c r="U28" s="123">
        <f t="shared" si="5"/>
        <v>92</v>
      </c>
    </row>
    <row r="29" spans="1:21" x14ac:dyDescent="0.25">
      <c r="A29" s="2"/>
      <c r="B29" s="82"/>
      <c r="C29" s="15"/>
      <c r="D29" s="1026">
        <v>0</v>
      </c>
      <c r="E29" s="1298"/>
      <c r="F29" s="791">
        <f t="shared" si="6"/>
        <v>0</v>
      </c>
      <c r="G29" s="520"/>
      <c r="H29" s="1028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298"/>
      <c r="Q29" s="555">
        <f t="shared" si="1"/>
        <v>0</v>
      </c>
      <c r="R29" s="520"/>
      <c r="S29" s="1028"/>
      <c r="T29" s="197">
        <f t="shared" si="4"/>
        <v>2296.81</v>
      </c>
      <c r="U29" s="123">
        <f t="shared" si="5"/>
        <v>92</v>
      </c>
    </row>
    <row r="30" spans="1:21" x14ac:dyDescent="0.25">
      <c r="A30" s="2"/>
      <c r="B30" s="82"/>
      <c r="C30" s="15"/>
      <c r="D30" s="1026">
        <v>0</v>
      </c>
      <c r="E30" s="1298"/>
      <c r="F30" s="791">
        <f t="shared" si="6"/>
        <v>0</v>
      </c>
      <c r="G30" s="520"/>
      <c r="H30" s="1028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298"/>
      <c r="Q30" s="555">
        <f t="shared" si="1"/>
        <v>0</v>
      </c>
      <c r="R30" s="520"/>
      <c r="S30" s="1028"/>
      <c r="T30" s="197">
        <f t="shared" si="4"/>
        <v>2296.81</v>
      </c>
      <c r="U30" s="123">
        <f t="shared" si="5"/>
        <v>92</v>
      </c>
    </row>
    <row r="31" spans="1:21" x14ac:dyDescent="0.25">
      <c r="A31" s="2"/>
      <c r="B31" s="82"/>
      <c r="C31" s="15"/>
      <c r="D31" s="1026">
        <v>0</v>
      </c>
      <c r="E31" s="1298"/>
      <c r="F31" s="791">
        <f t="shared" si="6"/>
        <v>0</v>
      </c>
      <c r="G31" s="520"/>
      <c r="H31" s="1028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298"/>
      <c r="Q31" s="555">
        <f t="shared" si="1"/>
        <v>0</v>
      </c>
      <c r="R31" s="520"/>
      <c r="S31" s="1028"/>
      <c r="T31" s="197">
        <f t="shared" si="4"/>
        <v>2296.81</v>
      </c>
      <c r="U31" s="123">
        <f t="shared" si="5"/>
        <v>92</v>
      </c>
    </row>
    <row r="32" spans="1:21" x14ac:dyDescent="0.25">
      <c r="A32" s="2"/>
      <c r="B32" s="82"/>
      <c r="C32" s="15"/>
      <c r="D32" s="1026">
        <v>0</v>
      </c>
      <c r="E32" s="1298"/>
      <c r="F32" s="791">
        <f t="shared" si="6"/>
        <v>0</v>
      </c>
      <c r="G32" s="520"/>
      <c r="H32" s="1028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298"/>
      <c r="Q32" s="555">
        <f t="shared" si="1"/>
        <v>0</v>
      </c>
      <c r="R32" s="520"/>
      <c r="S32" s="1028"/>
      <c r="T32" s="197">
        <f t="shared" si="4"/>
        <v>2296.81</v>
      </c>
      <c r="U32" s="123">
        <f t="shared" si="5"/>
        <v>92</v>
      </c>
    </row>
    <row r="33" spans="1:21" x14ac:dyDescent="0.25">
      <c r="A33" s="2"/>
      <c r="B33" s="82"/>
      <c r="C33" s="15"/>
      <c r="D33" s="1026">
        <v>0</v>
      </c>
      <c r="E33" s="1298"/>
      <c r="F33" s="791">
        <f t="shared" si="6"/>
        <v>0</v>
      </c>
      <c r="G33" s="520"/>
      <c r="H33" s="1028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298"/>
      <c r="Q33" s="555">
        <f t="shared" si="1"/>
        <v>0</v>
      </c>
      <c r="R33" s="520"/>
      <c r="S33" s="1028"/>
      <c r="T33" s="197">
        <f t="shared" si="4"/>
        <v>2296.81</v>
      </c>
      <c r="U33" s="123">
        <f t="shared" si="5"/>
        <v>92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2296.81</v>
      </c>
      <c r="U34" s="123">
        <f t="shared" si="5"/>
        <v>92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2296.81</v>
      </c>
      <c r="U35" s="123">
        <f t="shared" si="5"/>
        <v>92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2296.81</v>
      </c>
      <c r="U36" s="123">
        <f t="shared" si="5"/>
        <v>92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2296.81</v>
      </c>
      <c r="U37" s="123">
        <f t="shared" si="5"/>
        <v>92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2296.81</v>
      </c>
      <c r="U38" s="123">
        <f t="shared" si="5"/>
        <v>92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2296.81</v>
      </c>
      <c r="U39" s="123">
        <f t="shared" si="5"/>
        <v>92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2296.81</v>
      </c>
      <c r="U40" s="123">
        <f t="shared" si="5"/>
        <v>92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2296.81</v>
      </c>
      <c r="U41" s="123">
        <f t="shared" si="5"/>
        <v>92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2296.81</v>
      </c>
      <c r="U42" s="123">
        <f t="shared" si="5"/>
        <v>92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2296.81</v>
      </c>
      <c r="U43" s="123">
        <f t="shared" si="5"/>
        <v>92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2296.81</v>
      </c>
      <c r="U44" s="123">
        <f t="shared" si="5"/>
        <v>92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77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1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77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1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77"/>
      <c r="L47" s="51"/>
      <c r="O47" s="110" t="s">
        <v>4</v>
      </c>
      <c r="P47" s="67">
        <f>Q4+Q5+Q6-+N46</f>
        <v>92</v>
      </c>
      <c r="U47" s="131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700" t="s">
        <v>11</v>
      </c>
      <c r="D49" s="1701"/>
      <c r="E49" s="141">
        <f>E5+E4+E6+-F46</f>
        <v>523.70000000000005</v>
      </c>
      <c r="L49" s="47"/>
      <c r="N49" s="1700" t="s">
        <v>11</v>
      </c>
      <c r="O49" s="1701"/>
      <c r="P49" s="141">
        <f>P5+P4+P6+-Q46</f>
        <v>2296.81</v>
      </c>
    </row>
  </sheetData>
  <sortState ref="N4:Q6">
    <sortCondition ref="O4:O6"/>
  </sortState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7" sqref="Q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5" t="s">
        <v>318</v>
      </c>
      <c r="B1" s="1655"/>
      <c r="C1" s="1655"/>
      <c r="D1" s="1655"/>
      <c r="E1" s="1655"/>
      <c r="F1" s="1655"/>
      <c r="G1" s="1655"/>
      <c r="H1" s="96">
        <v>1</v>
      </c>
      <c r="L1" s="1645" t="s">
        <v>322</v>
      </c>
      <c r="M1" s="1645"/>
      <c r="N1" s="1645"/>
      <c r="O1" s="1645"/>
      <c r="P1" s="1645"/>
      <c r="Q1" s="1645"/>
      <c r="R1" s="164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738" t="s">
        <v>96</v>
      </c>
      <c r="B5" s="1735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738" t="s">
        <v>96</v>
      </c>
      <c r="M5" s="1735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1258.99</v>
      </c>
    </row>
    <row r="6" spans="1:21" ht="17.25" thickTop="1" thickBot="1" x14ac:dyDescent="0.3">
      <c r="A6" s="1739"/>
      <c r="B6" s="1737"/>
      <c r="C6" s="212"/>
      <c r="D6" s="885"/>
      <c r="E6" s="140"/>
      <c r="F6" s="227"/>
      <c r="I6" s="1742" t="s">
        <v>3</v>
      </c>
      <c r="J6" s="1740" t="s">
        <v>4</v>
      </c>
      <c r="L6" s="1739"/>
      <c r="M6" s="1737"/>
      <c r="N6" s="212">
        <v>228</v>
      </c>
      <c r="O6" s="885">
        <v>45164</v>
      </c>
      <c r="P6" s="140">
        <v>644.48</v>
      </c>
      <c r="Q6" s="227">
        <v>21</v>
      </c>
      <c r="T6" s="1742" t="s">
        <v>3</v>
      </c>
      <c r="U6" s="174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3"/>
      <c r="J7" s="174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3"/>
      <c r="U7" s="1741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1258.99</v>
      </c>
      <c r="U8" s="712">
        <f>Q4+Q5+Q6-N8</f>
        <v>41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1258.99</v>
      </c>
      <c r="U9" s="712">
        <f>U8-N9</f>
        <v>41</v>
      </c>
    </row>
    <row r="10" spans="1:21" x14ac:dyDescent="0.25">
      <c r="A10" s="174"/>
      <c r="B10" s="82"/>
      <c r="C10" s="15"/>
      <c r="D10" s="1026">
        <v>0</v>
      </c>
      <c r="E10" s="962"/>
      <c r="F10" s="791">
        <f t="shared" si="0"/>
        <v>0</v>
      </c>
      <c r="G10" s="793"/>
      <c r="H10" s="1027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1258.99</v>
      </c>
      <c r="U10" s="712">
        <f t="shared" ref="U10:U28" si="5">U9-N10</f>
        <v>41</v>
      </c>
    </row>
    <row r="11" spans="1:21" x14ac:dyDescent="0.25">
      <c r="A11" s="81" t="s">
        <v>33</v>
      </c>
      <c r="B11" s="82"/>
      <c r="C11" s="15"/>
      <c r="D11" s="1026">
        <v>0</v>
      </c>
      <c r="E11" s="962"/>
      <c r="F11" s="791">
        <f t="shared" si="0"/>
        <v>0</v>
      </c>
      <c r="G11" s="793"/>
      <c r="H11" s="1027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1258.99</v>
      </c>
      <c r="U11" s="712">
        <f t="shared" si="5"/>
        <v>41</v>
      </c>
    </row>
    <row r="12" spans="1:21" x14ac:dyDescent="0.25">
      <c r="A12" s="1205"/>
      <c r="B12" s="82"/>
      <c r="C12" s="15"/>
      <c r="D12" s="1026">
        <v>0</v>
      </c>
      <c r="E12" s="962"/>
      <c r="F12" s="791">
        <f t="shared" si="0"/>
        <v>0</v>
      </c>
      <c r="G12" s="793"/>
      <c r="H12" s="1027"/>
      <c r="I12" s="702">
        <f t="shared" si="2"/>
        <v>328.44</v>
      </c>
      <c r="J12" s="712">
        <f t="shared" si="3"/>
        <v>10</v>
      </c>
      <c r="L12" s="131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1258.99</v>
      </c>
      <c r="U12" s="712">
        <f t="shared" si="5"/>
        <v>41</v>
      </c>
    </row>
    <row r="13" spans="1:21" x14ac:dyDescent="0.25">
      <c r="A13" s="1205"/>
      <c r="B13" s="82"/>
      <c r="C13" s="15"/>
      <c r="D13" s="1026">
        <v>0</v>
      </c>
      <c r="E13" s="962"/>
      <c r="F13" s="791">
        <f t="shared" si="0"/>
        <v>0</v>
      </c>
      <c r="G13" s="793"/>
      <c r="H13" s="1027"/>
      <c r="I13" s="702">
        <f t="shared" si="2"/>
        <v>328.44</v>
      </c>
      <c r="J13" s="712">
        <f t="shared" si="3"/>
        <v>10</v>
      </c>
      <c r="L13" s="131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1258.99</v>
      </c>
      <c r="U13" s="712">
        <f t="shared" si="5"/>
        <v>41</v>
      </c>
    </row>
    <row r="14" spans="1:21" x14ac:dyDescent="0.25">
      <c r="B14" s="82"/>
      <c r="C14" s="15"/>
      <c r="D14" s="1026">
        <v>0</v>
      </c>
      <c r="E14" s="962"/>
      <c r="F14" s="791">
        <f t="shared" si="0"/>
        <v>0</v>
      </c>
      <c r="G14" s="793"/>
      <c r="H14" s="1027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1258.99</v>
      </c>
      <c r="U14" s="712">
        <f t="shared" si="5"/>
        <v>41</v>
      </c>
    </row>
    <row r="15" spans="1:21" x14ac:dyDescent="0.25">
      <c r="B15" s="82"/>
      <c r="C15" s="15"/>
      <c r="D15" s="1026">
        <v>0</v>
      </c>
      <c r="E15" s="962"/>
      <c r="F15" s="791">
        <f t="shared" si="0"/>
        <v>0</v>
      </c>
      <c r="G15" s="793"/>
      <c r="H15" s="1027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1258.99</v>
      </c>
      <c r="U15" s="712">
        <f t="shared" si="5"/>
        <v>41</v>
      </c>
    </row>
    <row r="16" spans="1:21" x14ac:dyDescent="0.25">
      <c r="A16" s="80"/>
      <c r="B16" s="82"/>
      <c r="C16" s="15"/>
      <c r="D16" s="1026">
        <v>0</v>
      </c>
      <c r="E16" s="962"/>
      <c r="F16" s="791">
        <f t="shared" si="0"/>
        <v>0</v>
      </c>
      <c r="G16" s="793"/>
      <c r="H16" s="1027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1258.99</v>
      </c>
      <c r="U16" s="712">
        <f t="shared" si="5"/>
        <v>41</v>
      </c>
    </row>
    <row r="17" spans="1:21" x14ac:dyDescent="0.25">
      <c r="A17" s="82"/>
      <c r="B17" s="82"/>
      <c r="C17" s="15"/>
      <c r="D17" s="1026">
        <v>0</v>
      </c>
      <c r="E17" s="962"/>
      <c r="F17" s="791">
        <f t="shared" si="0"/>
        <v>0</v>
      </c>
      <c r="G17" s="1300"/>
      <c r="H17" s="1027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1258.99</v>
      </c>
      <c r="U17" s="712">
        <f t="shared" si="5"/>
        <v>41</v>
      </c>
    </row>
    <row r="18" spans="1:21" x14ac:dyDescent="0.25">
      <c r="A18" s="2"/>
      <c r="B18" s="82"/>
      <c r="C18" s="15"/>
      <c r="D18" s="1026">
        <v>0</v>
      </c>
      <c r="E18" s="962"/>
      <c r="F18" s="791">
        <f t="shared" si="0"/>
        <v>0</v>
      </c>
      <c r="G18" s="520"/>
      <c r="H18" s="1028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1258.99</v>
      </c>
      <c r="U18" s="123">
        <f t="shared" si="5"/>
        <v>41</v>
      </c>
    </row>
    <row r="19" spans="1:21" x14ac:dyDescent="0.25">
      <c r="A19" s="2"/>
      <c r="B19" s="82"/>
      <c r="C19" s="15"/>
      <c r="D19" s="1026">
        <v>0</v>
      </c>
      <c r="E19" s="962"/>
      <c r="F19" s="791">
        <f t="shared" si="0"/>
        <v>0</v>
      </c>
      <c r="G19" s="520"/>
      <c r="H19" s="1028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1258.99</v>
      </c>
      <c r="U19" s="123">
        <f t="shared" si="5"/>
        <v>41</v>
      </c>
    </row>
    <row r="20" spans="1:21" x14ac:dyDescent="0.25">
      <c r="A20" s="2"/>
      <c r="B20" s="82"/>
      <c r="C20" s="15"/>
      <c r="D20" s="1026">
        <v>0</v>
      </c>
      <c r="E20" s="962"/>
      <c r="F20" s="791">
        <f t="shared" si="0"/>
        <v>0</v>
      </c>
      <c r="G20" s="520"/>
      <c r="H20" s="1028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1258.99</v>
      </c>
      <c r="U20" s="123">
        <f t="shared" si="5"/>
        <v>41</v>
      </c>
    </row>
    <row r="21" spans="1:21" x14ac:dyDescent="0.25">
      <c r="A21" s="2"/>
      <c r="B21" s="82"/>
      <c r="C21" s="15"/>
      <c r="D21" s="1026">
        <v>0</v>
      </c>
      <c r="E21" s="962"/>
      <c r="F21" s="791">
        <f t="shared" si="0"/>
        <v>0</v>
      </c>
      <c r="G21" s="520"/>
      <c r="H21" s="1028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1258.99</v>
      </c>
      <c r="U21" s="123">
        <f t="shared" si="5"/>
        <v>41</v>
      </c>
    </row>
    <row r="22" spans="1:21" x14ac:dyDescent="0.25">
      <c r="A22" s="2"/>
      <c r="B22" s="82"/>
      <c r="C22" s="15"/>
      <c r="D22" s="1026">
        <v>0</v>
      </c>
      <c r="E22" s="962"/>
      <c r="F22" s="791">
        <f t="shared" si="0"/>
        <v>0</v>
      </c>
      <c r="G22" s="520"/>
      <c r="H22" s="1028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1258.99</v>
      </c>
      <c r="U22" s="123">
        <f t="shared" si="5"/>
        <v>41</v>
      </c>
    </row>
    <row r="23" spans="1:21" x14ac:dyDescent="0.25">
      <c r="A23" s="2"/>
      <c r="B23" s="82"/>
      <c r="C23" s="15"/>
      <c r="D23" s="1026">
        <v>0</v>
      </c>
      <c r="E23" s="970"/>
      <c r="F23" s="791">
        <f t="shared" si="0"/>
        <v>0</v>
      </c>
      <c r="G23" s="520"/>
      <c r="H23" s="1028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1258.99</v>
      </c>
      <c r="U23" s="123">
        <f t="shared" si="5"/>
        <v>41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1258.99</v>
      </c>
      <c r="U24" s="123">
        <f t="shared" si="5"/>
        <v>41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1258.99</v>
      </c>
      <c r="U25" s="123">
        <f t="shared" si="5"/>
        <v>41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1258.99</v>
      </c>
      <c r="U26" s="123">
        <f t="shared" si="5"/>
        <v>41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1258.99</v>
      </c>
      <c r="U27" s="123">
        <f t="shared" si="5"/>
        <v>41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1258.99</v>
      </c>
      <c r="U28" s="123">
        <f t="shared" si="5"/>
        <v>41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5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0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1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05"/>
      <c r="L31" s="51"/>
      <c r="O31" s="110" t="s">
        <v>4</v>
      </c>
      <c r="P31" s="67">
        <f>Q4+Q5+Q6-+N30</f>
        <v>41</v>
      </c>
      <c r="U31" s="131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00" t="s">
        <v>11</v>
      </c>
      <c r="D33" s="1701"/>
      <c r="E33" s="141">
        <f>E5+E4+E6+-F30</f>
        <v>328.44</v>
      </c>
      <c r="L33" s="47"/>
      <c r="N33" s="1700" t="s">
        <v>11</v>
      </c>
      <c r="O33" s="1701"/>
      <c r="P33" s="141">
        <f>P5+P4+P6+-Q30</f>
        <v>1258.99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42"/>
      <c r="B1" s="1642"/>
      <c r="C1" s="1642"/>
      <c r="D1" s="1642"/>
      <c r="E1" s="1642"/>
      <c r="F1" s="1642"/>
      <c r="G1" s="1642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649"/>
      <c r="B5" s="166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649"/>
      <c r="B6" s="1744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38" t="s">
        <v>21</v>
      </c>
      <c r="E75" s="1639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54"/>
      <c r="B5" s="174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54"/>
      <c r="B6" s="1745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47" t="s">
        <v>11</v>
      </c>
      <c r="D60" s="164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  <c r="K1" s="1645"/>
      <c r="L1" s="1645"/>
      <c r="M1" s="1645"/>
      <c r="N1" s="1645"/>
      <c r="O1" s="1645"/>
      <c r="P1" s="1645"/>
      <c r="Q1" s="16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8"/>
      <c r="C4" s="360"/>
      <c r="D4" s="130"/>
      <c r="E4" s="197"/>
      <c r="F4" s="61"/>
      <c r="G4" s="151"/>
      <c r="H4" s="151"/>
      <c r="K4" s="12"/>
      <c r="L4" s="1205"/>
      <c r="M4" s="360"/>
      <c r="N4" s="130"/>
      <c r="O4" s="197"/>
      <c r="P4" s="61"/>
      <c r="Q4" s="151"/>
      <c r="R4" s="151"/>
    </row>
    <row r="5" spans="1:19" ht="15" customHeight="1" x14ac:dyDescent="0.25">
      <c r="A5" s="1649"/>
      <c r="B5" s="1651"/>
      <c r="C5" s="360"/>
      <c r="D5" s="130"/>
      <c r="E5" s="990"/>
      <c r="F5" s="653"/>
      <c r="G5" s="586"/>
      <c r="H5" s="584"/>
      <c r="I5" s="742"/>
      <c r="J5" s="584"/>
      <c r="K5" s="1652"/>
      <c r="L5" s="1652"/>
      <c r="M5" s="360"/>
      <c r="N5" s="568"/>
      <c r="O5" s="990"/>
      <c r="P5" s="653"/>
      <c r="Q5" s="788"/>
      <c r="R5" s="584"/>
      <c r="S5" s="742"/>
    </row>
    <row r="6" spans="1:19" x14ac:dyDescent="0.25">
      <c r="A6" s="1649"/>
      <c r="B6" s="1651"/>
      <c r="C6" s="230"/>
      <c r="D6" s="130"/>
      <c r="E6" s="77"/>
      <c r="F6" s="61"/>
      <c r="G6" s="47"/>
      <c r="H6" s="7">
        <f>E6-G6+E7+E5-G5</f>
        <v>0</v>
      </c>
      <c r="K6" s="1652"/>
      <c r="L6" s="1652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198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05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198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05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47" t="s">
        <v>11</v>
      </c>
      <c r="D40" s="1648"/>
      <c r="E40" s="56">
        <f>E5+E6-F35+E7</f>
        <v>0</v>
      </c>
      <c r="F40" s="1198"/>
      <c r="M40" s="1647" t="s">
        <v>11</v>
      </c>
      <c r="N40" s="1648"/>
      <c r="O40" s="56">
        <f>O5+O6-P35+O7</f>
        <v>0</v>
      </c>
      <c r="P40" s="120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8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42" t="s">
        <v>380</v>
      </c>
      <c r="B1" s="1642"/>
      <c r="C1" s="1642"/>
      <c r="D1" s="1642"/>
      <c r="E1" s="1642"/>
      <c r="F1" s="1642"/>
      <c r="G1" s="1642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82"/>
      <c r="G4" s="1083"/>
      <c r="H4" s="144"/>
      <c r="I4" s="367"/>
    </row>
    <row r="5" spans="1:19" ht="15" customHeight="1" x14ac:dyDescent="0.25">
      <c r="A5" s="1654" t="s">
        <v>345</v>
      </c>
      <c r="B5" s="1677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654"/>
      <c r="B6" s="1677"/>
      <c r="C6" s="230"/>
      <c r="D6" s="568"/>
      <c r="E6" s="550"/>
      <c r="F6" s="566"/>
      <c r="G6" s="1082"/>
      <c r="H6" s="74"/>
      <c r="I6" s="230"/>
    </row>
    <row r="7" spans="1:19" ht="15.75" thickBot="1" x14ac:dyDescent="0.3">
      <c r="A7" s="213"/>
      <c r="B7" s="1677"/>
      <c r="C7" s="230"/>
      <c r="D7" s="568"/>
      <c r="E7" s="550"/>
      <c r="F7" s="566"/>
      <c r="G7" s="1082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63"/>
      <c r="N11" s="1163"/>
      <c r="O11" s="1163"/>
      <c r="P11" s="1163"/>
      <c r="Q11" s="1163"/>
      <c r="R11" s="1163"/>
      <c r="S11" s="1163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64"/>
      <c r="N12" s="1163"/>
      <c r="O12" s="1163"/>
      <c r="P12" s="1163"/>
      <c r="Q12" s="1163"/>
      <c r="R12" s="1163"/>
      <c r="S12" s="1163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64"/>
      <c r="N13" s="1163"/>
      <c r="O13" s="1165"/>
      <c r="P13" s="1163"/>
      <c r="Q13" s="1163"/>
      <c r="R13" s="1163"/>
      <c r="S13" s="1163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64"/>
      <c r="N14" s="1163"/>
      <c r="O14" s="1165"/>
      <c r="P14" s="1163"/>
      <c r="Q14" s="1163"/>
      <c r="R14" s="1163"/>
      <c r="S14" s="1163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64"/>
      <c r="N15" s="1163"/>
      <c r="O15" s="1165"/>
      <c r="P15" s="1163"/>
      <c r="Q15" s="1163"/>
      <c r="R15" s="1163"/>
      <c r="S15" s="1163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64"/>
      <c r="N16" s="1163"/>
      <c r="O16" s="1165"/>
      <c r="P16" s="1163"/>
      <c r="Q16" s="1163"/>
      <c r="R16" s="1163"/>
      <c r="S16" s="1163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64"/>
      <c r="N17" s="1163"/>
      <c r="O17" s="1163"/>
      <c r="P17" s="1163"/>
      <c r="Q17" s="1163"/>
      <c r="R17" s="1163"/>
      <c r="S17" s="1163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64"/>
      <c r="N18" s="1163"/>
      <c r="O18" s="1163"/>
      <c r="P18" s="1163"/>
      <c r="Q18" s="1163"/>
      <c r="R18" s="1163"/>
      <c r="S18" s="1163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8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38" t="s">
        <v>21</v>
      </c>
      <c r="E41" s="1639"/>
      <c r="F41" s="137">
        <f>E4+E5+E6+E7-F39</f>
        <v>634</v>
      </c>
    </row>
    <row r="42" spans="1:10" ht="15.75" thickBot="1" x14ac:dyDescent="0.3">
      <c r="A42" s="121"/>
      <c r="D42" s="1080" t="s">
        <v>4</v>
      </c>
      <c r="E42" s="1081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46"/>
      <c r="B4" s="440"/>
      <c r="C4" s="124"/>
      <c r="D4" s="131"/>
      <c r="E4" s="85"/>
      <c r="F4" s="72"/>
      <c r="G4" s="965"/>
    </row>
    <row r="5" spans="1:9" ht="15" customHeight="1" x14ac:dyDescent="0.25">
      <c r="A5" s="1747"/>
      <c r="B5" s="1749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748"/>
      <c r="B6" s="1750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55" t="s">
        <v>319</v>
      </c>
      <c r="B1" s="1655"/>
      <c r="C1" s="1655"/>
      <c r="D1" s="1655"/>
      <c r="E1" s="1655"/>
      <c r="F1" s="1655"/>
      <c r="G1" s="1655"/>
      <c r="H1" s="11">
        <v>1</v>
      </c>
      <c r="K1" s="1655" t="str">
        <f>A1</f>
        <v xml:space="preserve">INVENTARIO DEL MES DE JULIO </v>
      </c>
      <c r="L1" s="1655"/>
      <c r="M1" s="1655"/>
      <c r="N1" s="1655"/>
      <c r="O1" s="1655"/>
      <c r="P1" s="1655"/>
      <c r="Q1" s="1655"/>
      <c r="R1" s="11">
        <v>2</v>
      </c>
      <c r="U1" s="1645" t="s">
        <v>379</v>
      </c>
      <c r="V1" s="1645"/>
      <c r="W1" s="1645"/>
      <c r="X1" s="1645"/>
      <c r="Y1" s="1645"/>
      <c r="Z1" s="1645"/>
      <c r="AA1" s="164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51" t="s">
        <v>85</v>
      </c>
      <c r="C4" s="99"/>
      <c r="D4" s="131"/>
      <c r="E4" s="85">
        <v>233.38</v>
      </c>
      <c r="F4" s="998">
        <v>10</v>
      </c>
      <c r="G4" s="999"/>
      <c r="L4" s="1751" t="s">
        <v>85</v>
      </c>
      <c r="M4" s="1230"/>
      <c r="N4" s="131"/>
      <c r="O4" s="85"/>
      <c r="P4" s="1077"/>
      <c r="Q4" s="1078"/>
      <c r="V4" s="1751" t="s">
        <v>85</v>
      </c>
      <c r="W4" s="124"/>
      <c r="X4" s="131"/>
      <c r="Y4" s="85"/>
      <c r="Z4" s="1319"/>
      <c r="AA4" s="1360"/>
    </row>
    <row r="5" spans="1:29" x14ac:dyDescent="0.25">
      <c r="A5" s="74" t="s">
        <v>52</v>
      </c>
      <c r="B5" s="1752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752"/>
      <c r="M5" s="124">
        <v>70</v>
      </c>
      <c r="N5" s="131">
        <v>45096</v>
      </c>
      <c r="O5" s="85">
        <v>978.28</v>
      </c>
      <c r="P5" s="1077">
        <v>42</v>
      </c>
      <c r="Q5" s="48">
        <f>P32</f>
        <v>0</v>
      </c>
      <c r="R5" s="134">
        <f>O5-Q5+O6</f>
        <v>978.28</v>
      </c>
      <c r="U5" s="74" t="s">
        <v>52</v>
      </c>
      <c r="V5" s="1752"/>
      <c r="W5" s="361">
        <v>85</v>
      </c>
      <c r="X5" s="131">
        <v>45146</v>
      </c>
      <c r="Y5" s="85">
        <v>2011.56</v>
      </c>
      <c r="Z5" s="131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77"/>
      <c r="Q6" s="1077"/>
      <c r="W6" s="99"/>
      <c r="X6" s="131"/>
      <c r="Y6" s="74"/>
      <c r="Z6" s="1319"/>
      <c r="AA6" s="1319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29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72">
        <v>165.4</v>
      </c>
      <c r="E12" s="1150">
        <v>45111</v>
      </c>
      <c r="F12" s="695">
        <f t="shared" si="0"/>
        <v>165.4</v>
      </c>
      <c r="G12" s="1173" t="s">
        <v>206</v>
      </c>
      <c r="H12" s="1174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72">
        <v>145.86000000000001</v>
      </c>
      <c r="E13" s="1150">
        <v>45119</v>
      </c>
      <c r="F13" s="695">
        <f t="shared" si="0"/>
        <v>145.86000000000001</v>
      </c>
      <c r="G13" s="1173" t="s">
        <v>225</v>
      </c>
      <c r="H13" s="1174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72">
        <v>165.84</v>
      </c>
      <c r="E14" s="1150">
        <v>45124</v>
      </c>
      <c r="F14" s="695">
        <f t="shared" si="0"/>
        <v>165.84</v>
      </c>
      <c r="G14" s="1173" t="s">
        <v>250</v>
      </c>
      <c r="H14" s="1174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72">
        <v>511.28</v>
      </c>
      <c r="E15" s="1150">
        <v>45129</v>
      </c>
      <c r="F15" s="695">
        <f t="shared" si="0"/>
        <v>511.28</v>
      </c>
      <c r="G15" s="1173" t="s">
        <v>270</v>
      </c>
      <c r="H15" s="1174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72"/>
      <c r="E16" s="1150"/>
      <c r="F16" s="695">
        <f t="shared" si="0"/>
        <v>0</v>
      </c>
      <c r="G16" s="1173"/>
      <c r="H16" s="1174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66"/>
      <c r="E17" s="1025"/>
      <c r="F17" s="694">
        <f t="shared" si="0"/>
        <v>0</v>
      </c>
      <c r="G17" s="1167"/>
      <c r="H17" s="1168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66"/>
      <c r="E18" s="1025"/>
      <c r="F18" s="694">
        <f t="shared" si="0"/>
        <v>0</v>
      </c>
      <c r="G18" s="1167"/>
      <c r="H18" s="1168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66"/>
      <c r="E19" s="1025"/>
      <c r="F19" s="694">
        <f t="shared" si="0"/>
        <v>0</v>
      </c>
      <c r="G19" s="1167"/>
      <c r="H19" s="1168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66"/>
      <c r="E20" s="1025"/>
      <c r="F20" s="694">
        <f t="shared" si="0"/>
        <v>0</v>
      </c>
      <c r="G20" s="1167"/>
      <c r="H20" s="1168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69"/>
      <c r="E21" s="1031"/>
      <c r="F21" s="522">
        <f t="shared" si="0"/>
        <v>0</v>
      </c>
      <c r="G21" s="1170"/>
      <c r="H21" s="1171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69"/>
      <c r="E22" s="1031"/>
      <c r="F22" s="522">
        <f t="shared" si="0"/>
        <v>0</v>
      </c>
      <c r="G22" s="1170"/>
      <c r="H22" s="1171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69"/>
      <c r="E23" s="1031"/>
      <c r="F23" s="522">
        <f t="shared" si="0"/>
        <v>0</v>
      </c>
      <c r="G23" s="1170"/>
      <c r="H23" s="1171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69"/>
      <c r="E24" s="1031"/>
      <c r="F24" s="522">
        <f t="shared" si="0"/>
        <v>0</v>
      </c>
      <c r="G24" s="1170"/>
      <c r="H24" s="1171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69"/>
      <c r="E25" s="1031"/>
      <c r="F25" s="522">
        <f t="shared" si="0"/>
        <v>0</v>
      </c>
      <c r="G25" s="1170"/>
      <c r="H25" s="1171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69"/>
      <c r="E26" s="1031"/>
      <c r="F26" s="522">
        <f t="shared" si="0"/>
        <v>0</v>
      </c>
      <c r="G26" s="1301"/>
      <c r="H26" s="1171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02"/>
      <c r="E27" s="1031"/>
      <c r="F27" s="522">
        <f t="shared" si="0"/>
        <v>0</v>
      </c>
      <c r="G27" s="1303"/>
      <c r="H27" s="1304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02"/>
      <c r="E28" s="1305"/>
      <c r="F28" s="522">
        <f t="shared" si="0"/>
        <v>0</v>
      </c>
      <c r="G28" s="1303"/>
      <c r="H28" s="1304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06"/>
      <c r="E29" s="1305"/>
      <c r="F29" s="1307"/>
      <c r="G29" s="1308"/>
      <c r="H29" s="1304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09"/>
      <c r="E30" s="1305"/>
      <c r="F30" s="1310"/>
      <c r="G30" s="1171"/>
      <c r="H30" s="1171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73" t="s">
        <v>21</v>
      </c>
      <c r="O33" s="1074"/>
      <c r="P33" s="137">
        <f>O5-N32</f>
        <v>978.28</v>
      </c>
      <c r="Q33" s="74"/>
      <c r="R33" s="74"/>
      <c r="U33" s="74"/>
      <c r="V33" s="74"/>
      <c r="W33" s="74"/>
      <c r="X33" s="1356" t="s">
        <v>21</v>
      </c>
      <c r="Y33" s="1357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75" t="s">
        <v>4</v>
      </c>
      <c r="O34" s="1076"/>
      <c r="P34" s="49">
        <f>P4+P5-M32</f>
        <v>42</v>
      </c>
      <c r="Q34" s="74"/>
      <c r="R34" s="74"/>
      <c r="U34" s="74"/>
      <c r="V34" s="74"/>
      <c r="W34" s="74"/>
      <c r="X34" s="1358" t="s">
        <v>4</v>
      </c>
      <c r="Y34" s="1359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1" t="s">
        <v>87</v>
      </c>
      <c r="C4" s="99"/>
      <c r="D4" s="131"/>
      <c r="E4" s="85"/>
      <c r="F4" s="72"/>
      <c r="G4" s="224"/>
    </row>
    <row r="5" spans="1:9" x14ac:dyDescent="0.25">
      <c r="A5" s="1649"/>
      <c r="B5" s="17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4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45" t="s">
        <v>379</v>
      </c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1" t="s">
        <v>435</v>
      </c>
      <c r="C4" s="124"/>
      <c r="D4" s="131"/>
      <c r="E4" s="85"/>
      <c r="F4" s="1319"/>
      <c r="G4" s="1429"/>
    </row>
    <row r="5" spans="1:9" x14ac:dyDescent="0.25">
      <c r="A5" s="74" t="s">
        <v>52</v>
      </c>
      <c r="B5" s="1752"/>
      <c r="C5" s="361">
        <v>135</v>
      </c>
      <c r="D5" s="131">
        <v>45152</v>
      </c>
      <c r="E5" s="85">
        <v>19.309999999999999</v>
      </c>
      <c r="F5" s="1319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19"/>
      <c r="G6" s="1319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25" t="s">
        <v>21</v>
      </c>
      <c r="E33" s="1426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27" t="s">
        <v>4</v>
      </c>
      <c r="E34" s="1428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6" sqref="E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5" t="s">
        <v>333</v>
      </c>
      <c r="B1" s="1645"/>
      <c r="C1" s="1645"/>
      <c r="D1" s="1645"/>
      <c r="E1" s="1645"/>
      <c r="F1" s="1645"/>
      <c r="G1" s="164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738" t="s">
        <v>96</v>
      </c>
      <c r="B5" s="1753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1209.75</v>
      </c>
    </row>
    <row r="6" spans="1:11" ht="17.25" customHeight="1" thickTop="1" thickBot="1" x14ac:dyDescent="0.3">
      <c r="A6" s="1739"/>
      <c r="B6" s="1754"/>
      <c r="C6" s="212">
        <v>112</v>
      </c>
      <c r="D6" s="114">
        <v>45164</v>
      </c>
      <c r="E6" s="140">
        <v>593.83000000000004</v>
      </c>
      <c r="F6" s="227">
        <v>25</v>
      </c>
      <c r="I6" s="1725" t="s">
        <v>3</v>
      </c>
      <c r="J6" s="17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6"/>
      <c r="J7" s="172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1209.75</v>
      </c>
      <c r="J8" s="712">
        <f>F4+F5+F6-C8</f>
        <v>50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1209.75</v>
      </c>
      <c r="J9" s="712">
        <f>J8-C9</f>
        <v>50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1209.75</v>
      </c>
      <c r="J10" s="712">
        <f t="shared" ref="J10:J28" si="2">J9-C10</f>
        <v>50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1209.75</v>
      </c>
      <c r="J11" s="712">
        <f t="shared" si="2"/>
        <v>50</v>
      </c>
      <c r="K11" s="584"/>
    </row>
    <row r="12" spans="1:11" x14ac:dyDescent="0.25">
      <c r="A12" s="1205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1209.75</v>
      </c>
      <c r="J12" s="712">
        <f t="shared" si="2"/>
        <v>50</v>
      </c>
      <c r="K12" s="584"/>
    </row>
    <row r="13" spans="1:11" x14ac:dyDescent="0.25">
      <c r="A13" s="1205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1209.75</v>
      </c>
      <c r="J13" s="712">
        <f t="shared" si="2"/>
        <v>50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1209.75</v>
      </c>
      <c r="J14" s="712">
        <f t="shared" si="2"/>
        <v>50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1209.75</v>
      </c>
      <c r="J15" s="712">
        <f t="shared" si="2"/>
        <v>50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1209.75</v>
      </c>
      <c r="J16" s="712">
        <f t="shared" si="2"/>
        <v>50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1209.75</v>
      </c>
      <c r="J17" s="712">
        <f t="shared" si="2"/>
        <v>50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1209.75</v>
      </c>
      <c r="J18" s="712">
        <f t="shared" si="2"/>
        <v>50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1209.75</v>
      </c>
      <c r="J19" s="712">
        <f t="shared" si="2"/>
        <v>50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1209.75</v>
      </c>
      <c r="J20" s="123">
        <f t="shared" si="2"/>
        <v>50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1209.75</v>
      </c>
      <c r="J21" s="123">
        <f t="shared" si="2"/>
        <v>50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1209.75</v>
      </c>
      <c r="J22" s="123">
        <f t="shared" si="2"/>
        <v>50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1209.75</v>
      </c>
      <c r="J23" s="123">
        <f t="shared" si="2"/>
        <v>50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1209.75</v>
      </c>
      <c r="J24" s="123">
        <f t="shared" si="2"/>
        <v>50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1209.75</v>
      </c>
      <c r="J25" s="123">
        <f t="shared" si="2"/>
        <v>50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1209.75</v>
      </c>
      <c r="J26" s="123">
        <f t="shared" si="2"/>
        <v>50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1209.75</v>
      </c>
      <c r="J27" s="123">
        <f t="shared" si="2"/>
        <v>50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1209.75</v>
      </c>
      <c r="J28" s="123">
        <f t="shared" si="2"/>
        <v>50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5"/>
    </row>
    <row r="31" spans="1:11" ht="15.75" thickBot="1" x14ac:dyDescent="0.3">
      <c r="A31" s="51"/>
      <c r="D31" s="110" t="s">
        <v>4</v>
      </c>
      <c r="E31" s="67">
        <f>F4+F5+F6-+C30</f>
        <v>50</v>
      </c>
      <c r="J31" s="1205"/>
    </row>
    <row r="32" spans="1:11" ht="15.75" thickBot="1" x14ac:dyDescent="0.3">
      <c r="A32" s="115"/>
    </row>
    <row r="33" spans="1:5" ht="16.5" thickTop="1" thickBot="1" x14ac:dyDescent="0.3">
      <c r="A33" s="47"/>
      <c r="C33" s="1700" t="s">
        <v>11</v>
      </c>
      <c r="D33" s="1701"/>
      <c r="E33" s="141">
        <f>E5+E4+E6+-F30</f>
        <v>1209.75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51" t="s">
        <v>82</v>
      </c>
      <c r="C4" s="99"/>
      <c r="D4" s="131"/>
      <c r="E4" s="85"/>
      <c r="F4" s="72"/>
      <c r="G4" s="224"/>
    </row>
    <row r="5" spans="1:9" x14ac:dyDescent="0.25">
      <c r="A5" s="1654"/>
      <c r="B5" s="17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4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45" t="s">
        <v>333</v>
      </c>
      <c r="B1" s="1645"/>
      <c r="C1" s="1645"/>
      <c r="D1" s="1645"/>
      <c r="E1" s="1645"/>
      <c r="F1" s="1645"/>
      <c r="G1" s="16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55" t="s">
        <v>83</v>
      </c>
      <c r="C4" s="99"/>
      <c r="D4" s="131"/>
      <c r="E4" s="85"/>
      <c r="F4" s="72"/>
      <c r="G4" s="224"/>
    </row>
    <row r="5" spans="1:10" x14ac:dyDescent="0.25">
      <c r="A5" s="1654" t="s">
        <v>434</v>
      </c>
      <c r="B5" s="1756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654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45"/>
      <c r="B1" s="1645"/>
      <c r="C1" s="1645"/>
      <c r="D1" s="1645"/>
      <c r="E1" s="1645"/>
      <c r="F1" s="1645"/>
      <c r="G1" s="164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38"/>
      <c r="B5" s="1753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39"/>
      <c r="B6" s="1754"/>
      <c r="C6" s="212"/>
      <c r="D6" s="114"/>
      <c r="E6" s="140"/>
      <c r="F6" s="227"/>
      <c r="I6" s="1725" t="s">
        <v>3</v>
      </c>
      <c r="J6" s="17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26"/>
      <c r="J7" s="1721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099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099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9"/>
    </row>
    <row r="32" spans="1:11" ht="15.75" thickBot="1" x14ac:dyDescent="0.3">
      <c r="A32" s="115"/>
    </row>
    <row r="33" spans="1:5" ht="16.5" thickTop="1" thickBot="1" x14ac:dyDescent="0.3">
      <c r="A33" s="47"/>
      <c r="C33" s="1700" t="s">
        <v>11</v>
      </c>
      <c r="D33" s="1701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4"/>
      <c r="B5" s="1653" t="s">
        <v>89</v>
      </c>
      <c r="C5" s="360"/>
      <c r="D5" s="568"/>
      <c r="E5" s="702"/>
      <c r="F5" s="653"/>
      <c r="G5" s="5"/>
    </row>
    <row r="6" spans="1:9" ht="20.25" customHeight="1" x14ac:dyDescent="0.25">
      <c r="A6" s="1654"/>
      <c r="B6" s="1653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7" t="s">
        <v>11</v>
      </c>
      <c r="D83" s="164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50"/>
      <c r="B5" s="1650" t="s">
        <v>200</v>
      </c>
      <c r="C5" s="360"/>
      <c r="D5" s="568"/>
      <c r="E5" s="702"/>
      <c r="F5" s="653"/>
      <c r="G5" s="5"/>
    </row>
    <row r="6" spans="1:9" ht="20.25" customHeight="1" x14ac:dyDescent="0.25">
      <c r="A6" s="1650"/>
      <c r="B6" s="1650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82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82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47" t="s">
        <v>11</v>
      </c>
      <c r="D83" s="1648"/>
      <c r="E83" s="56">
        <f>E5+E6-F78+E7</f>
        <v>0</v>
      </c>
      <c r="F83" s="108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655" t="s">
        <v>308</v>
      </c>
      <c r="B1" s="1655"/>
      <c r="C1" s="1655"/>
      <c r="D1" s="1655"/>
      <c r="E1" s="1655"/>
      <c r="F1" s="1655"/>
      <c r="G1" s="1655"/>
      <c r="H1" s="11">
        <v>1</v>
      </c>
      <c r="K1" s="1645" t="s">
        <v>322</v>
      </c>
      <c r="L1" s="1645"/>
      <c r="M1" s="1645"/>
      <c r="N1" s="1645"/>
      <c r="O1" s="1645"/>
      <c r="P1" s="1645"/>
      <c r="Q1" s="16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13"/>
      <c r="G4" s="151"/>
      <c r="H4" s="151"/>
      <c r="K4" s="12"/>
      <c r="L4" s="12"/>
      <c r="M4" s="216"/>
      <c r="N4" s="130"/>
      <c r="O4" s="68"/>
      <c r="P4" s="1319"/>
      <c r="Q4" s="151"/>
      <c r="R4" s="151"/>
    </row>
    <row r="5" spans="1:19" ht="15" customHeight="1" x14ac:dyDescent="0.25">
      <c r="A5" s="1654" t="s">
        <v>105</v>
      </c>
      <c r="B5" s="1656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654" t="s">
        <v>105</v>
      </c>
      <c r="L5" s="1656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654"/>
      <c r="B6" s="1656"/>
      <c r="C6" s="439"/>
      <c r="D6" s="130"/>
      <c r="E6" s="68"/>
      <c r="F6" s="1113"/>
      <c r="G6" s="47">
        <f>F48</f>
        <v>586.54</v>
      </c>
      <c r="H6" s="7">
        <f>E6-G6+E7+E5-G5</f>
        <v>406.58000000000004</v>
      </c>
      <c r="K6" s="1654"/>
      <c r="L6" s="1656"/>
      <c r="M6" s="439"/>
      <c r="N6" s="130"/>
      <c r="O6" s="68"/>
      <c r="P6" s="131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05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05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05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05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05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05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05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05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05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05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13"/>
      <c r="B14" s="944">
        <f t="shared" si="2"/>
        <v>56</v>
      </c>
      <c r="C14" s="1105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19"/>
      <c r="L14" s="944">
        <f t="shared" si="4"/>
        <v>48</v>
      </c>
      <c r="M14" s="1105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13"/>
      <c r="B15" s="944">
        <f t="shared" si="2"/>
        <v>50</v>
      </c>
      <c r="C15" s="1105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19"/>
      <c r="L15" s="944">
        <f t="shared" si="4"/>
        <v>48</v>
      </c>
      <c r="M15" s="1105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05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05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05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05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05"/>
      <c r="D18" s="1271"/>
      <c r="E18" s="1272"/>
      <c r="F18" s="1271">
        <f t="shared" si="6"/>
        <v>0</v>
      </c>
      <c r="G18" s="1273"/>
      <c r="H18" s="1274"/>
      <c r="I18" s="945">
        <f t="shared" si="3"/>
        <v>406.57999999999993</v>
      </c>
      <c r="J18" s="584"/>
      <c r="K18" s="118"/>
      <c r="L18" s="944">
        <f t="shared" si="4"/>
        <v>48</v>
      </c>
      <c r="M18" s="1105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05"/>
      <c r="D19" s="1271"/>
      <c r="E19" s="1272"/>
      <c r="F19" s="1271">
        <f t="shared" si="6"/>
        <v>0</v>
      </c>
      <c r="G19" s="1273"/>
      <c r="H19" s="1274"/>
      <c r="I19" s="945">
        <f t="shared" si="3"/>
        <v>406.57999999999993</v>
      </c>
      <c r="J19" s="584"/>
      <c r="K19" s="118"/>
      <c r="L19" s="944">
        <f t="shared" si="4"/>
        <v>48</v>
      </c>
      <c r="M19" s="1105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05"/>
      <c r="D20" s="1271"/>
      <c r="E20" s="1272"/>
      <c r="F20" s="1271">
        <f t="shared" si="6"/>
        <v>0</v>
      </c>
      <c r="G20" s="1273"/>
      <c r="H20" s="1274"/>
      <c r="I20" s="945">
        <f t="shared" si="3"/>
        <v>406.57999999999993</v>
      </c>
      <c r="K20" s="118"/>
      <c r="L20" s="944">
        <f t="shared" si="4"/>
        <v>48</v>
      </c>
      <c r="M20" s="1105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05"/>
      <c r="D21" s="1271"/>
      <c r="E21" s="1272"/>
      <c r="F21" s="1271">
        <f t="shared" si="6"/>
        <v>0</v>
      </c>
      <c r="G21" s="1273"/>
      <c r="H21" s="1274"/>
      <c r="I21" s="586">
        <f t="shared" si="3"/>
        <v>406.57999999999993</v>
      </c>
      <c r="K21" s="118"/>
      <c r="L21" s="665">
        <f t="shared" si="4"/>
        <v>48</v>
      </c>
      <c r="M21" s="1105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05"/>
      <c r="D22" s="1271"/>
      <c r="E22" s="1272"/>
      <c r="F22" s="1271">
        <f t="shared" si="6"/>
        <v>0</v>
      </c>
      <c r="G22" s="1273"/>
      <c r="H22" s="1274"/>
      <c r="I22" s="586">
        <f t="shared" si="3"/>
        <v>406.57999999999993</v>
      </c>
      <c r="K22" s="118"/>
      <c r="L22" s="708">
        <f t="shared" si="4"/>
        <v>48</v>
      </c>
      <c r="M22" s="1105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06"/>
      <c r="D23" s="1220"/>
      <c r="E23" s="1275"/>
      <c r="F23" s="1271">
        <f t="shared" si="6"/>
        <v>0</v>
      </c>
      <c r="G23" s="1221"/>
      <c r="H23" s="1222"/>
      <c r="I23" s="586">
        <f t="shared" si="3"/>
        <v>406.57999999999993</v>
      </c>
      <c r="K23" s="119"/>
      <c r="L23" s="219">
        <f t="shared" si="4"/>
        <v>48</v>
      </c>
      <c r="M23" s="1106"/>
      <c r="N23" s="1393"/>
      <c r="O23" s="1394"/>
      <c r="P23" s="1021">
        <f t="shared" si="7"/>
        <v>0</v>
      </c>
      <c r="Q23" s="1395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06"/>
      <c r="D24" s="1220"/>
      <c r="E24" s="1275"/>
      <c r="F24" s="1271">
        <f t="shared" si="6"/>
        <v>0</v>
      </c>
      <c r="G24" s="1221"/>
      <c r="H24" s="1222"/>
      <c r="I24" s="586">
        <f t="shared" si="3"/>
        <v>406.57999999999993</v>
      </c>
      <c r="K24" s="118"/>
      <c r="L24" s="219">
        <f t="shared" si="4"/>
        <v>48</v>
      </c>
      <c r="M24" s="1106"/>
      <c r="N24" s="1393"/>
      <c r="O24" s="1394"/>
      <c r="P24" s="1021">
        <f t="shared" si="7"/>
        <v>0</v>
      </c>
      <c r="Q24" s="1395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06"/>
      <c r="D25" s="1220"/>
      <c r="E25" s="1275"/>
      <c r="F25" s="1271">
        <f t="shared" si="6"/>
        <v>0</v>
      </c>
      <c r="G25" s="1221"/>
      <c r="H25" s="1222"/>
      <c r="I25" s="586">
        <f t="shared" si="3"/>
        <v>406.57999999999993</v>
      </c>
      <c r="K25" s="118"/>
      <c r="L25" s="219">
        <f t="shared" si="4"/>
        <v>48</v>
      </c>
      <c r="M25" s="1106"/>
      <c r="N25" s="1393"/>
      <c r="O25" s="1394"/>
      <c r="P25" s="1021">
        <f t="shared" si="7"/>
        <v>0</v>
      </c>
      <c r="Q25" s="1395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06"/>
      <c r="D26" s="1220"/>
      <c r="E26" s="1275"/>
      <c r="F26" s="1271">
        <f t="shared" si="6"/>
        <v>0</v>
      </c>
      <c r="G26" s="1221"/>
      <c r="H26" s="1222"/>
      <c r="I26" s="586">
        <f t="shared" si="3"/>
        <v>406.57999999999993</v>
      </c>
      <c r="K26" s="118"/>
      <c r="L26" s="174">
        <f t="shared" si="4"/>
        <v>48</v>
      </c>
      <c r="M26" s="1106"/>
      <c r="N26" s="1393"/>
      <c r="O26" s="1394"/>
      <c r="P26" s="1021">
        <f t="shared" si="7"/>
        <v>0</v>
      </c>
      <c r="Q26" s="1395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06"/>
      <c r="D27" s="1220"/>
      <c r="E27" s="1275"/>
      <c r="F27" s="1271">
        <f t="shared" si="6"/>
        <v>0</v>
      </c>
      <c r="G27" s="1221"/>
      <c r="H27" s="1222"/>
      <c r="I27" s="586">
        <f t="shared" si="3"/>
        <v>406.57999999999993</v>
      </c>
      <c r="K27" s="118"/>
      <c r="L27" s="219">
        <f t="shared" si="4"/>
        <v>48</v>
      </c>
      <c r="M27" s="1106"/>
      <c r="N27" s="1393"/>
      <c r="O27" s="1394"/>
      <c r="P27" s="1021">
        <f t="shared" si="7"/>
        <v>0</v>
      </c>
      <c r="Q27" s="1395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06"/>
      <c r="D28" s="1220"/>
      <c r="E28" s="1275"/>
      <c r="F28" s="1271">
        <f t="shared" si="6"/>
        <v>0</v>
      </c>
      <c r="G28" s="1221"/>
      <c r="H28" s="1222"/>
      <c r="I28" s="586">
        <f t="shared" si="3"/>
        <v>406.57999999999993</v>
      </c>
      <c r="K28" s="118"/>
      <c r="L28" s="174">
        <f t="shared" si="4"/>
        <v>48</v>
      </c>
      <c r="M28" s="1106"/>
      <c r="N28" s="1393"/>
      <c r="O28" s="1394"/>
      <c r="P28" s="1021">
        <f t="shared" si="7"/>
        <v>0</v>
      </c>
      <c r="Q28" s="1395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06"/>
      <c r="D29" s="1220"/>
      <c r="E29" s="1275"/>
      <c r="F29" s="1271">
        <f t="shared" si="6"/>
        <v>0</v>
      </c>
      <c r="G29" s="1221"/>
      <c r="H29" s="1222"/>
      <c r="I29" s="586">
        <f t="shared" si="3"/>
        <v>406.57999999999993</v>
      </c>
      <c r="K29" s="118"/>
      <c r="L29" s="219">
        <f t="shared" si="4"/>
        <v>48</v>
      </c>
      <c r="M29" s="1106"/>
      <c r="N29" s="1393"/>
      <c r="O29" s="1394"/>
      <c r="P29" s="1021">
        <f t="shared" si="7"/>
        <v>0</v>
      </c>
      <c r="Q29" s="1395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06"/>
      <c r="D30" s="1220"/>
      <c r="E30" s="1275"/>
      <c r="F30" s="1271">
        <f t="shared" si="6"/>
        <v>0</v>
      </c>
      <c r="G30" s="1221"/>
      <c r="H30" s="1222"/>
      <c r="I30" s="586">
        <f t="shared" si="3"/>
        <v>406.57999999999993</v>
      </c>
      <c r="K30" s="118"/>
      <c r="L30" s="219">
        <f t="shared" si="4"/>
        <v>48</v>
      </c>
      <c r="M30" s="1106"/>
      <c r="N30" s="1393"/>
      <c r="O30" s="1394"/>
      <c r="P30" s="1021">
        <f t="shared" si="7"/>
        <v>0</v>
      </c>
      <c r="Q30" s="1395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06"/>
      <c r="D31" s="1220"/>
      <c r="E31" s="1275"/>
      <c r="F31" s="1271">
        <f t="shared" si="6"/>
        <v>0</v>
      </c>
      <c r="G31" s="1221"/>
      <c r="H31" s="1222"/>
      <c r="I31" s="586">
        <f t="shared" si="3"/>
        <v>406.57999999999993</v>
      </c>
      <c r="K31" s="118"/>
      <c r="L31" s="219">
        <f t="shared" si="4"/>
        <v>48</v>
      </c>
      <c r="M31" s="1106"/>
      <c r="N31" s="1393"/>
      <c r="O31" s="1394"/>
      <c r="P31" s="1021">
        <f t="shared" si="7"/>
        <v>0</v>
      </c>
      <c r="Q31" s="1395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06"/>
      <c r="D32" s="1220"/>
      <c r="E32" s="1275"/>
      <c r="F32" s="1271">
        <f t="shared" si="6"/>
        <v>0</v>
      </c>
      <c r="G32" s="1221"/>
      <c r="H32" s="1222"/>
      <c r="I32" s="586">
        <f t="shared" si="3"/>
        <v>406.57999999999993</v>
      </c>
      <c r="K32" s="118"/>
      <c r="L32" s="219">
        <f t="shared" si="4"/>
        <v>48</v>
      </c>
      <c r="M32" s="1106"/>
      <c r="N32" s="1393"/>
      <c r="O32" s="1394"/>
      <c r="P32" s="1021">
        <f t="shared" si="7"/>
        <v>0</v>
      </c>
      <c r="Q32" s="1395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06"/>
      <c r="D33" s="1220"/>
      <c r="E33" s="1275"/>
      <c r="F33" s="1271">
        <f t="shared" si="6"/>
        <v>0</v>
      </c>
      <c r="G33" s="1221"/>
      <c r="H33" s="1222"/>
      <c r="I33" s="586">
        <f t="shared" si="3"/>
        <v>406.57999999999993</v>
      </c>
      <c r="K33" s="118"/>
      <c r="L33" s="219">
        <f t="shared" si="4"/>
        <v>48</v>
      </c>
      <c r="M33" s="1106"/>
      <c r="N33" s="1393"/>
      <c r="O33" s="1394"/>
      <c r="P33" s="1021">
        <f t="shared" si="7"/>
        <v>0</v>
      </c>
      <c r="Q33" s="1395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06"/>
      <c r="D34" s="1220"/>
      <c r="E34" s="1275"/>
      <c r="F34" s="1271">
        <f t="shared" si="6"/>
        <v>0</v>
      </c>
      <c r="G34" s="1221"/>
      <c r="H34" s="1222"/>
      <c r="I34" s="586">
        <f t="shared" si="3"/>
        <v>406.57999999999993</v>
      </c>
      <c r="K34" s="118"/>
      <c r="L34" s="219">
        <f t="shared" si="4"/>
        <v>48</v>
      </c>
      <c r="M34" s="1106"/>
      <c r="N34" s="1393"/>
      <c r="O34" s="1394"/>
      <c r="P34" s="1021">
        <f t="shared" si="7"/>
        <v>0</v>
      </c>
      <c r="Q34" s="1395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06"/>
      <c r="D35" s="1220"/>
      <c r="E35" s="1275"/>
      <c r="F35" s="1271">
        <f t="shared" si="6"/>
        <v>0</v>
      </c>
      <c r="G35" s="1221"/>
      <c r="H35" s="1222"/>
      <c r="I35" s="586">
        <f t="shared" si="3"/>
        <v>406.57999999999993</v>
      </c>
      <c r="K35" s="118"/>
      <c r="L35" s="219">
        <f t="shared" si="4"/>
        <v>48</v>
      </c>
      <c r="M35" s="1106"/>
      <c r="N35" s="1393"/>
      <c r="O35" s="1394"/>
      <c r="P35" s="1021">
        <f t="shared" si="7"/>
        <v>0</v>
      </c>
      <c r="Q35" s="1395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06"/>
      <c r="D36" s="1220"/>
      <c r="E36" s="1275"/>
      <c r="F36" s="1271">
        <f t="shared" si="6"/>
        <v>0</v>
      </c>
      <c r="G36" s="1221"/>
      <c r="H36" s="1222"/>
      <c r="I36" s="586">
        <f t="shared" si="3"/>
        <v>406.57999999999993</v>
      </c>
      <c r="K36" s="118" t="s">
        <v>22</v>
      </c>
      <c r="L36" s="219">
        <f t="shared" si="4"/>
        <v>48</v>
      </c>
      <c r="M36" s="1106"/>
      <c r="N36" s="1393"/>
      <c r="O36" s="1394"/>
      <c r="P36" s="1021">
        <f t="shared" si="7"/>
        <v>0</v>
      </c>
      <c r="Q36" s="1395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06"/>
      <c r="D37" s="1220"/>
      <c r="E37" s="1275"/>
      <c r="F37" s="1271">
        <f t="shared" si="6"/>
        <v>0</v>
      </c>
      <c r="G37" s="1221"/>
      <c r="H37" s="1222"/>
      <c r="I37" s="586">
        <f t="shared" si="3"/>
        <v>406.57999999999993</v>
      </c>
      <c r="K37" s="119"/>
      <c r="L37" s="219">
        <f t="shared" si="4"/>
        <v>48</v>
      </c>
      <c r="M37" s="1106"/>
      <c r="N37" s="1393"/>
      <c r="O37" s="1394"/>
      <c r="P37" s="1021">
        <f t="shared" si="7"/>
        <v>0</v>
      </c>
      <c r="Q37" s="1395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06"/>
      <c r="D38" s="1220"/>
      <c r="E38" s="1275"/>
      <c r="F38" s="1271">
        <f t="shared" si="6"/>
        <v>0</v>
      </c>
      <c r="G38" s="1221"/>
      <c r="H38" s="1222"/>
      <c r="I38" s="586">
        <f t="shared" si="3"/>
        <v>406.57999999999993</v>
      </c>
      <c r="K38" s="118"/>
      <c r="L38" s="219">
        <f t="shared" si="4"/>
        <v>48</v>
      </c>
      <c r="M38" s="1106"/>
      <c r="N38" s="1393"/>
      <c r="O38" s="1394"/>
      <c r="P38" s="1021">
        <f t="shared" si="7"/>
        <v>0</v>
      </c>
      <c r="Q38" s="1395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06"/>
      <c r="D39" s="1180"/>
      <c r="E39" s="1181"/>
      <c r="F39" s="1179">
        <f t="shared" si="6"/>
        <v>0</v>
      </c>
      <c r="G39" s="1182"/>
      <c r="H39" s="1183"/>
      <c r="I39" s="586">
        <f t="shared" si="3"/>
        <v>406.57999999999993</v>
      </c>
      <c r="K39" s="118"/>
      <c r="L39" s="82">
        <f t="shared" si="4"/>
        <v>48</v>
      </c>
      <c r="M39" s="1106"/>
      <c r="N39" s="1393"/>
      <c r="O39" s="1394"/>
      <c r="P39" s="1021">
        <f t="shared" si="7"/>
        <v>0</v>
      </c>
      <c r="Q39" s="1395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06"/>
      <c r="D40" s="1180"/>
      <c r="E40" s="1181"/>
      <c r="F40" s="1179">
        <f t="shared" si="6"/>
        <v>0</v>
      </c>
      <c r="G40" s="1182"/>
      <c r="H40" s="1183"/>
      <c r="I40" s="586">
        <f t="shared" si="3"/>
        <v>406.57999999999993</v>
      </c>
      <c r="K40" s="118"/>
      <c r="L40" s="82">
        <f t="shared" si="4"/>
        <v>48</v>
      </c>
      <c r="M40" s="1106"/>
      <c r="N40" s="1393"/>
      <c r="O40" s="1394"/>
      <c r="P40" s="1021">
        <f t="shared" si="7"/>
        <v>0</v>
      </c>
      <c r="Q40" s="1395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06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06"/>
      <c r="N41" s="1393"/>
      <c r="O41" s="1394"/>
      <c r="P41" s="1021">
        <f t="shared" si="7"/>
        <v>0</v>
      </c>
      <c r="Q41" s="1395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06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06"/>
      <c r="N42" s="1393"/>
      <c r="O42" s="1394"/>
      <c r="P42" s="1021">
        <f t="shared" si="7"/>
        <v>0</v>
      </c>
      <c r="Q42" s="1395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06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06"/>
      <c r="N43" s="1393"/>
      <c r="O43" s="1394"/>
      <c r="P43" s="1021">
        <f t="shared" si="7"/>
        <v>0</v>
      </c>
      <c r="Q43" s="1395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06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06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06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06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06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06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647" t="s">
        <v>11</v>
      </c>
      <c r="D53" s="1648"/>
      <c r="E53" s="56">
        <f>E5+E6-F48+E7</f>
        <v>406.58000000000004</v>
      </c>
      <c r="F53" s="1113"/>
      <c r="M53" s="1647" t="s">
        <v>11</v>
      </c>
      <c r="N53" s="1648"/>
      <c r="O53" s="56">
        <f>O5+O6-P48+O7</f>
        <v>598.37</v>
      </c>
      <c r="P53" s="131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45"/>
      <c r="B1" s="1645"/>
      <c r="C1" s="1645"/>
      <c r="D1" s="1645"/>
      <c r="E1" s="1645"/>
      <c r="F1" s="1645"/>
      <c r="G1" s="16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657"/>
      <c r="C5" s="504"/>
      <c r="D5" s="701"/>
      <c r="E5" s="633"/>
      <c r="F5" s="653"/>
      <c r="G5" s="5"/>
    </row>
    <row r="6" spans="1:9" x14ac:dyDescent="0.25">
      <c r="A6" s="213"/>
      <c r="B6" s="1657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47" t="s">
        <v>11</v>
      </c>
      <c r="D47" s="1648"/>
      <c r="E47" s="56">
        <f>E5+E6-F42+E7</f>
        <v>0</v>
      </c>
      <c r="F47" s="72"/>
    </row>
    <row r="50" spans="1:7" x14ac:dyDescent="0.25">
      <c r="A50" s="213"/>
      <c r="B50" s="1654"/>
      <c r="C50" s="438"/>
      <c r="D50" s="218"/>
      <c r="E50" s="77"/>
      <c r="F50" s="61"/>
      <c r="G50" s="5"/>
    </row>
    <row r="51" spans="1:7" x14ac:dyDescent="0.25">
      <c r="A51" s="213"/>
      <c r="B51" s="1654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2023-09-07T20:11:40Z</dcterms:modified>
</cp:coreProperties>
</file>