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drawings/drawing17.xml" ContentType="application/vnd.openxmlformats-officedocument.drawing+xml"/>
  <Override PartName="/xl/comments14.xml" ContentType="application/vnd.openxmlformats-officedocument.spreadsheetml.comments+xml"/>
  <Override PartName="/xl/drawings/drawing18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3690" yWindow="0" windowWidth="16605" windowHeight="10920" firstSheet="29" activeTab="30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  D I C I E M B R E    2  0 2 2" sheetId="32" r:id="rId30"/>
    <sheet name="COMPRAS DICIEMBRE  2022  " sheetId="33" r:id="rId31"/>
    <sheet name="Hoja3" sheetId="34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" i="33" l="1"/>
  <c r="M67" i="33"/>
  <c r="K67" i="33"/>
  <c r="F67" i="33"/>
  <c r="D67" i="33"/>
  <c r="G65" i="33"/>
  <c r="G64" i="33"/>
  <c r="G63" i="33"/>
  <c r="G62" i="33"/>
  <c r="G61" i="33"/>
  <c r="G60" i="33"/>
  <c r="G59" i="33"/>
  <c r="G58" i="33"/>
  <c r="G57" i="33"/>
  <c r="G56" i="33"/>
  <c r="G55" i="33"/>
  <c r="G54" i="33"/>
  <c r="G53" i="33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G3" i="33"/>
  <c r="K73" i="32"/>
  <c r="L67" i="32"/>
  <c r="I67" i="32"/>
  <c r="F67" i="32"/>
  <c r="C67" i="32"/>
  <c r="R42" i="32"/>
  <c r="N41" i="32"/>
  <c r="Q40" i="32"/>
  <c r="Q39" i="32"/>
  <c r="Q38" i="32"/>
  <c r="Q37" i="32"/>
  <c r="Q36" i="32"/>
  <c r="Q35" i="32"/>
  <c r="Q34" i="32"/>
  <c r="P33" i="32"/>
  <c r="Q33" i="32" s="1"/>
  <c r="P32" i="32"/>
  <c r="Q32" i="32" s="1"/>
  <c r="P31" i="32"/>
  <c r="Q31" i="32" s="1"/>
  <c r="P30" i="32"/>
  <c r="Q30" i="32" s="1"/>
  <c r="P29" i="32"/>
  <c r="Q29" i="32" s="1"/>
  <c r="P28" i="32"/>
  <c r="Q28" i="32" s="1"/>
  <c r="P27" i="32"/>
  <c r="Q27" i="32" s="1"/>
  <c r="P26" i="32"/>
  <c r="Q26" i="32" s="1"/>
  <c r="P25" i="32"/>
  <c r="Q25" i="32" s="1"/>
  <c r="P24" i="32"/>
  <c r="Q24" i="32" s="1"/>
  <c r="P23" i="32"/>
  <c r="Q23" i="32" s="1"/>
  <c r="Q22" i="32"/>
  <c r="P22" i="32"/>
  <c r="P21" i="32"/>
  <c r="Q21" i="32" s="1"/>
  <c r="P20" i="32"/>
  <c r="P19" i="32"/>
  <c r="P18" i="32"/>
  <c r="Q18" i="32" s="1"/>
  <c r="P17" i="32"/>
  <c r="Q17" i="32" s="1"/>
  <c r="P16" i="32"/>
  <c r="Q16" i="32" s="1"/>
  <c r="P15" i="32"/>
  <c r="Q15" i="32" s="1"/>
  <c r="P14" i="32"/>
  <c r="P13" i="32"/>
  <c r="Q13" i="32" s="1"/>
  <c r="P12" i="32"/>
  <c r="Q12" i="32" s="1"/>
  <c r="P11" i="32"/>
  <c r="Q11" i="32" s="1"/>
  <c r="P10" i="32"/>
  <c r="Q10" i="32" s="1"/>
  <c r="P9" i="32"/>
  <c r="Q9" i="32" s="1"/>
  <c r="P8" i="32"/>
  <c r="P7" i="32"/>
  <c r="Q7" i="32" s="1"/>
  <c r="M41" i="32"/>
  <c r="M45" i="32" s="1"/>
  <c r="P5" i="32"/>
  <c r="Q5" i="32" s="1"/>
  <c r="G67" i="33" l="1"/>
  <c r="K69" i="32"/>
  <c r="F70" i="32"/>
  <c r="F73" i="32" s="1"/>
  <c r="K71" i="32" s="1"/>
  <c r="K75" i="32" s="1"/>
  <c r="Q41" i="32"/>
  <c r="P6" i="32"/>
  <c r="P41" i="32" s="1"/>
  <c r="F21" i="27"/>
  <c r="F19" i="27"/>
  <c r="F18" i="27"/>
  <c r="F16" i="27"/>
  <c r="F14" i="27"/>
  <c r="F9" i="27"/>
  <c r="D83" i="27"/>
  <c r="M31" i="29" l="1"/>
  <c r="M28" i="29" l="1"/>
  <c r="M27" i="29"/>
  <c r="M26" i="29"/>
  <c r="M21" i="29" l="1"/>
  <c r="M20" i="29" l="1"/>
  <c r="M19" i="29"/>
  <c r="M16" i="29"/>
  <c r="M17" i="29" l="1"/>
  <c r="M15" i="29"/>
  <c r="M14" i="29" l="1"/>
  <c r="M13" i="29" l="1"/>
  <c r="M12" i="29"/>
  <c r="M11" i="29" l="1"/>
  <c r="P10" i="29"/>
  <c r="Q10" i="29"/>
  <c r="M10" i="29"/>
  <c r="M9" i="29"/>
  <c r="M8" i="29" l="1"/>
  <c r="M7" i="29" l="1"/>
  <c r="M6" i="29"/>
  <c r="N67" i="31" l="1"/>
  <c r="M67" i="31"/>
  <c r="K67" i="31"/>
  <c r="F67" i="31"/>
  <c r="D67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G3" i="3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G67" i="31" l="1"/>
  <c r="K69" i="29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<sst xmlns="http://schemas.openxmlformats.org/spreadsheetml/2006/main" count="2985" uniqueCount="1609">
  <si>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</si>
  <si>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</si>
  <si>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</si>
  <si>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</si>
  <si>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</si>
  <si>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</si>
  <si>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</si>
  <si>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</si>
  <si>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</si>
  <si>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</si>
  <si>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</si>
  <si>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</si>
  <si>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</si>
  <si>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</si>
  <si>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</si>
  <si>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</si>
  <si>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</si>
  <si>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</si>
  <si>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</si>
  <si>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</si>
  <si>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</si>
  <si>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</si>
  <si>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</si>
  <si>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</si>
  <si>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</si>
  <si>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</si>
  <si>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</si>
  <si>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</si>
  <si>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</si>
  <si>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</si>
  <si>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</si>
  <si>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</si>
  <si>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</si>
  <si>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</si>
  <si>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</si>
  <si>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</si>
  <si>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</si>
  <si>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</si>
  <si>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</si>
  <si>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</si>
  <si>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</si>
  <si>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</si>
  <si>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</si>
  <si>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</si>
  <si>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</si>
  <si>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</si>
  <si>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</si>
  <si>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</si>
  <si>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</si>
  <si>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</si>
  <si>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</si>
  <si>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</si>
  <si>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</si>
  <si>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</si>
  <si>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</si>
  <si>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</si>
  <si>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</si>
  <si>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</si>
  <si>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</si>
  <si>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</si>
  <si>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</si>
  <si>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</si>
  <si>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</si>
  <si>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</si>
  <si>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</si>
  <si>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</si>
  <si>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</si>
  <si>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</si>
  <si>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</si>
  <si>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</si>
  <si>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</si>
  <si>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</si>
  <si>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</si>
  <si>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</si>
  <si>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</si>
  <si>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</si>
  <si>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</si>
  <si>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</si>
  <si>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</si>
  <si>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</si>
  <si>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</si>
  <si>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</si>
  <si>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</si>
  <si>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</si>
  <si>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</si>
  <si>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</si>
  <si>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</si>
  <si>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</si>
  <si>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</si>
  <si>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</si>
  <si>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</si>
  <si>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</si>
  <si>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</si>
  <si>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</si>
  <si>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</si>
  <si>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</si>
  <si>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</si>
  <si>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</si>
  <si>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</si>
  <si>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</si>
  <si>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</si>
  <si>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</si>
  <si>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</si>
  <si>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</si>
  <si>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</si>
  <si>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</si>
  <si>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</si>
  <si>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</si>
  <si>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</si>
  <si>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</si>
  <si>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</si>
  <si>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</si>
  <si>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</si>
  <si>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</si>
  <si>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</si>
  <si>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</si>
  <si>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</si>
  <si>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</si>
  <si>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</si>
  <si>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</si>
  <si>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</si>
  <si>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</si>
  <si>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</si>
  <si>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</si>
  <si>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</si>
  <si>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</si>
  <si>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</si>
  <si>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</si>
  <si>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</si>
  <si>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</si>
  <si>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</si>
  <si>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</si>
  <si>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</si>
  <si>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</si>
  <si>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</si>
  <si>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</si>
  <si>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</si>
  <si>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</si>
  <si>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</si>
  <si>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</si>
  <si>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</si>
  <si>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</si>
  <si>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</si>
  <si>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</si>
  <si>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</si>
  <si>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</si>
  <si>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</si>
  <si>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</si>
  <si>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</si>
  <si>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</si>
  <si>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</si>
  <si>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</si>
  <si>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</si>
  <si>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</si>
  <si>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</si>
  <si>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</si>
  <si>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</si>
  <si>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</si>
  <si>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</si>
  <si>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</si>
  <si>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</si>
  <si>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</si>
  <si>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</si>
  <si>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</si>
  <si>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</si>
  <si>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</si>
  <si>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</si>
  <si>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</si>
  <si>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</si>
  <si>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</si>
  <si>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</si>
  <si>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</si>
  <si>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</si>
  <si>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</si>
  <si>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</si>
  <si>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</si>
  <si>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</si>
  <si>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</si>
  <si>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</si>
  <si>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</si>
  <si>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</si>
  <si>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</si>
  <si>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</si>
  <si>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</si>
  <si>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</si>
  <si>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</si>
  <si>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</si>
  <si>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</si>
  <si>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</si>
  <si>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</si>
  <si>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</si>
  <si>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</si>
  <si>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</si>
  <si>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</si>
  <si>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</si>
  <si>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</si>
  <si>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</si>
  <si>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</si>
  <si>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</si>
  <si>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</si>
  <si>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</si>
  <si>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</si>
  <si>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</si>
  <si>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</si>
  <si>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</si>
  <si>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</si>
  <si>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</si>
  <si>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</si>
  <si>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</si>
  <si>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</si>
  <si>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</si>
  <si>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</si>
  <si>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</si>
  <si>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</si>
  <si>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</si>
  <si>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</si>
  <si>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</si>
  <si>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</si>
  <si>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</si>
  <si>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</si>
  <si>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</si>
  <si>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</si>
  <si>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</si>
  <si>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</si>
  <si>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</si>
  <si>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</si>
  <si>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</si>
  <si>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</si>
  <si>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</si>
  <si>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</si>
  <si>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</si>
  <si>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</si>
  <si>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</si>
  <si>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</si>
  <si>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</si>
  <si>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</si>
  <si>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</si>
  <si>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</si>
  <si>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</si>
  <si>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</si>
  <si>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</si>
  <si>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</si>
  <si>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</si>
  <si>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</si>
  <si>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</si>
  <si>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</si>
  <si>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</si>
  <si>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</si>
  <si>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</si>
  <si>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</si>
  <si>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</si>
  <si>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</si>
  <si>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</si>
  <si>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</si>
  <si>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</si>
  <si>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</si>
  <si>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</si>
  <si>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</si>
  <si>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</si>
  <si>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</si>
  <si>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</si>
  <si>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</si>
  <si>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</si>
  <si>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</si>
  <si>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</si>
  <si>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</si>
  <si>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</si>
  <si>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</si>
  <si>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</si>
  <si>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</si>
  <si>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</si>
  <si>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</si>
  <si>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</si>
  <si>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</si>
  <si>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</si>
  <si>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</si>
  <si>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</si>
  <si>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</si>
  <si>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</si>
  <si>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</si>
  <si>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</si>
  <si>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</si>
  <si>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</si>
  <si>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</si>
  <si>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</si>
  <si>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</si>
  <si>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</si>
  <si>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</si>
  <si>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</si>
  <si>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</si>
  <si>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</si>
  <si>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</si>
  <si>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</si>
  <si>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</si>
  <si>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</si>
  <si>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</si>
  <si>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</si>
  <si>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</si>
  <si>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</si>
  <si>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</si>
  <si>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</si>
  <si>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</si>
  <si>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</si>
  <si>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</si>
  <si>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</si>
  <si>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</si>
  <si>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</si>
  <si>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</si>
  <si>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</si>
  <si>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</si>
  <si>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</si>
  <si>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</si>
  <si>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</si>
  <si>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</si>
  <si>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</si>
  <si>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</si>
  <si>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</si>
  <si>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</si>
  <si>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</si>
  <si>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</si>
  <si>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</si>
  <si>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</si>
  <si>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</si>
  <si>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</si>
  <si>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</si>
  <si>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</si>
  <si>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</si>
  <si>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</si>
  <si>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</si>
  <si>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</si>
  <si>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</si>
  <si>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</si>
  <si>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</si>
  <si>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</si>
  <si>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</si>
  <si>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</si>
  <si>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</si>
  <si>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</si>
  <si>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</si>
  <si>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</si>
  <si>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</si>
  <si>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</si>
  <si>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</si>
  <si>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</si>
  <si>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</si>
  <si>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</si>
  <si>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</si>
  <si>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</si>
  <si>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</si>
  <si>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</si>
  <si>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</si>
  <si>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</si>
  <si>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</si>
  <si>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</si>
  <si>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</si>
  <si>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</si>
  <si>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</si>
  <si>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</si>
  <si>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</si>
  <si>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</si>
  <si>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</si>
  <si>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</si>
  <si>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</si>
  <si>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</si>
  <si>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</si>
  <si>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</si>
  <si>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</si>
  <si>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</si>
  <si>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</si>
  <si>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</si>
  <si>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</si>
  <si>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</si>
  <si>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</si>
  <si>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</si>
  <si>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</si>
  <si>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</si>
  <si>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</si>
  <si>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</si>
  <si>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</si>
  <si>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</si>
  <si>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</si>
  <si>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</si>
  <si>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</si>
  <si>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</si>
  <si>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</si>
  <si>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</si>
  <si>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</si>
  <si>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</si>
  <si>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</si>
  <si>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</si>
  <si>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</si>
  <si>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</si>
  <si>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</si>
  <si>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</si>
  <si>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</si>
  <si>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</si>
  <si>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</si>
  <si>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</si>
  <si>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</si>
  <si>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</si>
  <si>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</si>
  <si>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</si>
  <si>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</si>
  <si>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</si>
  <si>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</si>
  <si>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</si>
  <si>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</si>
  <si>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</si>
  <si>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</si>
  <si>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</si>
  <si>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</si>
  <si>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</si>
  <si>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</si>
  <si>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</si>
  <si>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</si>
  <si>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</si>
  <si>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</si>
  <si>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</si>
  <si>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</si>
  <si>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</si>
  <si>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</si>
  <si>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</si>
  <si>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</si>
  <si>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</si>
  <si>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</si>
  <si>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</si>
  <si>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</si>
  <si>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</si>
  <si>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</si>
  <si>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</si>
  <si>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</si>
  <si>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</si>
  <si>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</si>
  <si>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</si>
  <si>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</si>
  <si>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</si>
  <si>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</si>
  <si>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</si>
  <si>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</si>
  <si>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</si>
  <si>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</si>
  <si>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</si>
  <si>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</si>
  <si>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</si>
  <si>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</si>
  <si>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</si>
  <si>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</si>
  <si>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</si>
  <si>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</si>
  <si>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</si>
  <si>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</si>
  <si>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</si>
  <si>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</si>
  <si>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</si>
  <si>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</si>
  <si>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</si>
  <si>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</si>
  <si>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</si>
  <si>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</si>
  <si>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</si>
  <si>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</si>
  <si>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</si>
  <si>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</si>
  <si>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</si>
  <si>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</si>
  <si>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</si>
  <si>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</si>
  <si>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</si>
  <si>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</si>
  <si>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</si>
  <si>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</si>
  <si>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</si>
  <si>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</si>
  <si>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</si>
  <si>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</si>
  <si>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</si>
  <si>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</si>
  <si>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</si>
  <si>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</si>
  <si>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</si>
  <si>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</si>
  <si>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</si>
  <si>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</si>
  <si>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</si>
  <si>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</si>
  <si>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</si>
  <si>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</si>
  <si>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</si>
  <si>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</si>
  <si>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</si>
  <si>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</si>
  <si>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</si>
  <si>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</si>
  <si>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</si>
  <si>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</si>
  <si>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</si>
  <si>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</si>
  <si>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</si>
  <si>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</si>
  <si>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</si>
  <si>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</si>
  <si>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</si>
  <si>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</si>
  <si>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</si>
  <si>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</si>
  <si>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</si>
  <si>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</si>
  <si>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</si>
  <si>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</si>
  <si>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</si>
  <si>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</si>
  <si>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</si>
  <si>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</si>
  <si>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</si>
  <si>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</si>
  <si>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</si>
  <si>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</si>
  <si>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</si>
  <si>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</si>
  <si>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</si>
  <si>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</si>
  <si>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</si>
  <si>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</si>
  <si>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</si>
  <si>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</si>
  <si>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</si>
  <si>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</si>
  <si>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</si>
  <si>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</si>
  <si>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</si>
  <si>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</si>
  <si>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</si>
  <si>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</si>
  <si>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</si>
  <si>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</si>
  <si>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</si>
  <si>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</si>
  <si>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</si>
  <si>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</si>
  <si>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</si>
  <si>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</si>
  <si>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</si>
  <si>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</si>
  <si>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</si>
  <si>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</si>
  <si>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</si>
  <si>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</si>
  <si>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</si>
  <si>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</si>
  <si>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</si>
  <si>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</si>
  <si>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</si>
  <si>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</si>
  <si>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</si>
  <si>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</si>
  <si>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</si>
  <si>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</si>
  <si>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</si>
  <si>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</si>
  <si>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</si>
  <si>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</si>
  <si>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</si>
  <si>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</si>
  <si>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</si>
  <si>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</si>
  <si>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</si>
  <si>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</si>
  <si>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</si>
  <si>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</si>
  <si>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</si>
  <si>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</si>
  <si>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</si>
  <si>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</si>
  <si>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</si>
  <si>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</si>
  <si>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</si>
  <si>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</si>
  <si>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</si>
  <si>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</si>
  <si>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</si>
  <si>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</si>
  <si>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</si>
  <si>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</si>
  <si>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</si>
  <si>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</si>
  <si>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</si>
  <si>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</si>
  <si>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</si>
  <si>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</si>
  <si>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</si>
  <si>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</si>
  <si>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</si>
  <si>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</si>
  <si>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</si>
  <si>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</si>
  <si>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</si>
  <si>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</si>
  <si>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</si>
  <si>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</si>
  <si>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</si>
  <si>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</si>
  <si>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</si>
  <si>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</si>
  <si>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</si>
  <si>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</si>
  <si>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</si>
  <si>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</si>
  <si>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</si>
  <si>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</si>
  <si>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</si>
  <si>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</si>
  <si>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</si>
  <si>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</si>
  <si>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</si>
  <si>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</si>
  <si>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</si>
  <si>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</si>
  <si>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</si>
  <si>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</si>
  <si>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</si>
  <si>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</si>
  <si>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</si>
  <si>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</si>
  <si>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</si>
  <si>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</si>
  <si>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</si>
  <si>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</si>
  <si>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</si>
  <si>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</si>
  <si>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</si>
  <si>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</si>
  <si>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</si>
  <si>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</si>
  <si>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</si>
  <si>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</si>
  <si>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</si>
  <si>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</si>
  <si>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</si>
  <si>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</si>
  <si>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</si>
  <si>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</si>
  <si>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</si>
  <si>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</si>
  <si>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</si>
  <si>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</si>
  <si>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</si>
  <si>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</si>
  <si>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</si>
  <si>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</si>
  <si>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</si>
  <si>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</si>
  <si>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</si>
  <si>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</si>
  <si>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</si>
  <si>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</si>
  <si>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</si>
  <si>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</si>
  <si>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</si>
  <si>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</si>
  <si>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</si>
  <si>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</si>
  <si>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</si>
  <si>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</si>
  <si>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</si>
  <si>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</si>
  <si>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</si>
  <si>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</si>
  <si>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</si>
  <si>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</si>
  <si>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</si>
  <si>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</si>
  <si>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</si>
  <si>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</si>
  <si>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</si>
  <si>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</si>
  <si>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</si>
  <si>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</si>
  <si>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</si>
  <si>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</si>
  <si>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</si>
  <si>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</si>
  <si>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</si>
  <si>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</si>
  <si>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</si>
  <si>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</si>
  <si>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</si>
  <si>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</si>
  <si>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</si>
  <si>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</si>
  <si>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</si>
  <si>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</si>
  <si>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</si>
  <si>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</si>
  <si>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</si>
  <si>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</si>
  <si>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</si>
  <si>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</si>
  <si>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</si>
  <si>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</si>
  <si>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</si>
  <si>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</si>
  <si>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</si>
  <si>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</si>
  <si>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</si>
  <si>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</si>
  <si>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</si>
  <si>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</si>
  <si>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</si>
  <si>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</si>
  <si>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</si>
  <si>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</si>
  <si>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</si>
  <si>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</si>
  <si>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</si>
  <si>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</si>
  <si>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</si>
  <si>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</si>
  <si>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</si>
  <si>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</si>
  <si>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</si>
  <si>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</si>
  <si>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</si>
  <si>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</si>
  <si>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</si>
  <si>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</si>
  <si>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</si>
  <si>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</si>
  <si>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</si>
  <si>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</si>
  <si>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</si>
  <si>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</si>
  <si>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</si>
  <si>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</si>
  <si>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</si>
  <si>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</si>
  <si>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</si>
  <si>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</si>
  <si>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</si>
  <si>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</si>
  <si>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</si>
  <si>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</si>
  <si>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</si>
  <si>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</si>
  <si>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</si>
  <si>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</si>
  <si>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</si>
  <si>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</si>
  <si>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</si>
  <si>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</si>
  <si>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</si>
  <si>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</si>
  <si>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</si>
  <si>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</si>
  <si>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</si>
  <si>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</si>
  <si>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</si>
  <si>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</si>
  <si>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</si>
  <si>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</si>
  <si>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</si>
  <si>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</si>
  <si>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</si>
  <si>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</si>
  <si>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</si>
  <si>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</si>
  <si>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</si>
  <si>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</si>
  <si>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</si>
  <si>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</si>
  <si>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</si>
  <si>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</si>
  <si>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</si>
  <si>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</si>
  <si>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</si>
  <si>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</si>
  <si>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</si>
  <si>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</si>
  <si>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</si>
  <si>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</si>
  <si>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</si>
  <si>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</si>
  <si>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</si>
  <si>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</si>
  <si>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</si>
  <si>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</si>
  <si>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</si>
  <si>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</si>
  <si>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</si>
  <si>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</si>
  <si>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</si>
  <si>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</si>
  <si>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</si>
  <si>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</si>
  <si>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</si>
  <si>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</si>
  <si>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</si>
  <si>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</si>
  <si>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</si>
  <si>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</si>
  <si>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</si>
  <si>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</si>
  <si>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</si>
  <si>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</si>
  <si>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</si>
  <si>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</si>
  <si>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</si>
  <si>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</si>
  <si>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</si>
  <si>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</si>
  <si>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</si>
  <si>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</si>
  <si>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</si>
  <si>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</si>
  <si>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</si>
  <si>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</si>
  <si>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</si>
  <si>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</si>
  <si>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</si>
  <si>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</si>
  <si>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</si>
  <si>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</si>
  <si>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</si>
  <si>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</si>
  <si>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</si>
  <si>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</si>
  <si>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</si>
  <si>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</si>
  <si>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</si>
  <si>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</si>
  <si>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</si>
  <si>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</si>
  <si>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</si>
  <si>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</si>
  <si>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</si>
  <si>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</si>
  <si>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</si>
  <si>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</si>
  <si>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</si>
  <si>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</si>
  <si>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</si>
  <si>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</si>
  <si>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</si>
  <si>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</si>
  <si>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</si>
  <si>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</si>
  <si>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</si>
  <si>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</si>
  <si>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</si>
  <si>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</si>
  <si>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</si>
  <si>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</si>
  <si>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</si>
  <si>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</si>
  <si>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</si>
  <si>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</si>
  <si>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</si>
  <si>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</si>
  <si>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</si>
  <si>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</si>
  <si>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</si>
  <si>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</si>
  <si>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</si>
  <si>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</si>
  <si>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</si>
  <si>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</si>
  <si>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</si>
  <si>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</si>
  <si>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</si>
  <si>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</si>
  <si>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</si>
  <si>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</si>
  <si>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</si>
  <si>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</si>
  <si>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</si>
  <si>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</si>
  <si>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</si>
  <si>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</si>
  <si>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</si>
  <si>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</si>
  <si>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</si>
  <si>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</si>
  <si>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</si>
  <si>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</si>
  <si>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</si>
  <si>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</si>
  <si>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</si>
  <si>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</si>
  <si>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</si>
  <si>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</si>
  <si>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</si>
  <si>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</si>
  <si>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</si>
  <si>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</si>
  <si>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</si>
  <si>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</si>
  <si>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</si>
  <si>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</si>
  <si>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</si>
  <si>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</si>
  <si>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</si>
  <si>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</si>
  <si>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</si>
  <si>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</si>
  <si>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</si>
  <si>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</si>
  <si>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</si>
  <si>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</si>
  <si>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</si>
  <si>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</si>
  <si>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</si>
  <si>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</si>
  <si>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</si>
  <si>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</si>
  <si>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</si>
  <si>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</si>
  <si>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</si>
  <si>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</si>
  <si>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</si>
  <si>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</si>
  <si>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</si>
  <si>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</si>
  <si>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</si>
  <si>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</si>
  <si>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</si>
  <si>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</si>
  <si>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</si>
  <si>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</si>
  <si>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</si>
  <si>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</si>
  <si>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</si>
  <si>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</si>
  <si>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</si>
  <si>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</si>
  <si>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</si>
  <si>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</si>
  <si>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</si>
  <si>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</si>
  <si>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</si>
  <si>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</si>
  <si>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</si>
  <si>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</si>
  <si>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</si>
  <si>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</si>
  <si>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</si>
  <si>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</si>
  <si>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</si>
  <si>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</si>
  <si>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</si>
  <si>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</si>
  <si>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</si>
  <si>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</si>
  <si>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</si>
  <si>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</si>
  <si>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</si>
  <si>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</si>
  <si>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</si>
  <si>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</si>
  <si>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</si>
  <si>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</si>
  <si>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</si>
  <si>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</si>
  <si>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</si>
  <si>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</si>
  <si>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</si>
  <si>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</si>
  <si>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</si>
  <si>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</si>
  <si>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</si>
  <si>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</si>
  <si>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</si>
  <si>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</si>
  <si>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</si>
  <si>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</si>
  <si>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</si>
  <si>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</si>
  <si>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</si>
  <si>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</si>
  <si>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</si>
  <si>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</si>
  <si>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</si>
  <si>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</si>
  <si>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</si>
  <si>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</si>
  <si>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</si>
  <si>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</si>
  <si>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</si>
  <si>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</si>
  <si>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</si>
  <si>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</si>
  <si>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</si>
  <si>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</si>
  <si>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</si>
  <si>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</si>
  <si>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</si>
  <si>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</si>
  <si>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</si>
  <si>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</si>
  <si>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</si>
  <si>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</si>
  <si>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</si>
  <si>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</si>
  <si>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</si>
  <si>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</si>
  <si>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</si>
  <si>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</si>
  <si>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</si>
  <si>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</si>
  <si>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</si>
  <si>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</si>
  <si>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</si>
  <si>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</si>
  <si>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</si>
  <si>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</si>
  <si>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</si>
  <si>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</si>
  <si>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</si>
  <si>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</si>
  <si>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</si>
  <si>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</si>
  <si>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</si>
  <si>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</si>
  <si>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</si>
  <si>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</si>
  <si>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</si>
  <si>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</si>
  <si>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</si>
  <si>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</si>
  <si>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</si>
  <si>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</si>
  <si>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</si>
  <si>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</si>
  <si>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</si>
  <si>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</si>
  <si>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</si>
  <si>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</si>
  <si>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</si>
  <si>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</si>
  <si>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</si>
  <si>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</si>
  <si>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</si>
  <si>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</si>
  <si>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</si>
  <si>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</si>
  <si>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</si>
  <si>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</si>
  <si>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</si>
  <si>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</si>
  <si>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</si>
  <si>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</si>
  <si>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</si>
  <si>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</si>
  <si>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</si>
  <si>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</si>
  <si>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</si>
  <si>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</si>
  <si>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</si>
  <si>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</si>
  <si>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</si>
  <si>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</si>
  <si>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</si>
  <si>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</si>
  <si>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</si>
  <si>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</si>
  <si>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</si>
  <si>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</si>
  <si>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</si>
  <si>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</si>
  <si>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</si>
  <si>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</si>
  <si>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</si>
  <si>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</si>
  <si>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</si>
  <si>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</si>
  <si>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</si>
  <si>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</si>
  <si>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</si>
  <si>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</si>
  <si>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</si>
  <si>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</si>
  <si>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</si>
  <si>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</si>
  <si>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</si>
  <si>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</si>
  <si>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</si>
  <si>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</si>
  <si>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</si>
  <si>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</si>
  <si>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</si>
  <si>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</si>
  <si>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</si>
  <si>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</si>
  <si>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</si>
  <si>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</si>
  <si>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</si>
  <si>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</si>
  <si>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</si>
  <si>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</si>
  <si>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</si>
  <si>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</si>
  <si>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</si>
  <si>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</si>
  <si>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</si>
  <si>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</si>
  <si>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</si>
  <si>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</si>
  <si>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</si>
  <si>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</si>
  <si>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</si>
  <si>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</si>
  <si>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</si>
  <si>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</si>
  <si>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</si>
  <si>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</si>
  <si>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</si>
  <si>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</si>
  <si>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</si>
  <si>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</si>
  <si>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</si>
  <si>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</si>
  <si>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</si>
  <si>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</si>
  <si>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</si>
  <si>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</si>
  <si>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</si>
  <si>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</si>
  <si>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</si>
  <si>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</si>
  <si>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</si>
  <si>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</si>
  <si>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</si>
  <si>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</si>
  <si>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</si>
  <si>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</si>
  <si>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</si>
  <si>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</si>
  <si>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</si>
  <si>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</si>
  <si>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</si>
  <si>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</si>
  <si>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</si>
  <si>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</si>
  <si>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</si>
  <si>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</si>
  <si>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</si>
  <si>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</si>
  <si>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</si>
  <si>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</si>
  <si>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</si>
  <si>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</si>
  <si>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</si>
  <si>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</si>
  <si>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</si>
  <si>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</si>
  <si>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</si>
  <si>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</si>
  <si>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</si>
  <si>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</si>
  <si>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</si>
  <si>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</si>
  <si>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</si>
  <si>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</si>
  <si>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</si>
  <si>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</si>
  <si>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</si>
  <si>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</si>
  <si>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</si>
  <si>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</si>
  <si>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</si>
  <si>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</si>
  <si>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</si>
  <si>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</si>
  <si>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</si>
  <si>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</si>
  <si>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</si>
  <si>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</si>
  <si>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</si>
  <si>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</si>
  <si>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</si>
  <si>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</si>
  <si>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</si>
  <si>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</si>
  <si>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</si>
  <si>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</si>
  <si>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</si>
  <si>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</si>
  <si>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</si>
  <si>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</si>
  <si>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</si>
  <si>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</si>
  <si>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</si>
  <si>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</si>
  <si>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</si>
  <si>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</si>
  <si>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</si>
  <si>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</si>
  <si>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</si>
  <si>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</si>
  <si>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</si>
  <si>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</si>
  <si>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</si>
  <si>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</si>
  <si>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</si>
  <si>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</si>
  <si>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</si>
  <si>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</si>
  <si>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</si>
  <si>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</si>
  <si>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</si>
  <si>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</si>
  <si>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</si>
  <si>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</si>
  <si>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</si>
  <si>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</si>
  <si>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</si>
  <si>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</si>
  <si>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</si>
  <si>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</si>
  <si>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</si>
  <si>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</si>
  <si>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</si>
  <si>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</si>
  <si>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</si>
  <si>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</si>
  <si>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</si>
  <si>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</si>
  <si>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</si>
  <si>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</si>
  <si>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</si>
  <si>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</si>
  <si>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</si>
  <si>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</si>
  <si>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</si>
  <si>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</si>
  <si>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</si>
  <si>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</si>
  <si>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</si>
  <si>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</si>
  <si>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</si>
  <si>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</si>
  <si>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</si>
  <si>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</si>
  <si>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</si>
  <si>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</si>
  <si>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</si>
  <si>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</si>
  <si>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</si>
  <si>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</si>
  <si>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</si>
  <si>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</si>
  <si>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</si>
  <si>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</si>
  <si>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</si>
  <si>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</si>
  <si>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</si>
  <si>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</si>
  <si>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</si>
  <si>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</si>
  <si>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</si>
  <si>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</si>
  <si>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</si>
  <si>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</si>
  <si>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</si>
  <si>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</si>
  <si>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</si>
  <si>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</si>
  <si>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</si>
  <si>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</si>
  <si>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</si>
  <si>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</si>
  <si>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</si>
  <si>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</si>
  <si>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</si>
  <si>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</si>
  <si>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</si>
  <si>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</si>
  <si>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</si>
  <si>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</si>
  <si>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</si>
  <si>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</si>
  <si>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</si>
  <si>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</si>
  <si>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</si>
  <si>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</si>
  <si>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</si>
  <si>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</si>
  <si>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</si>
  <si>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</si>
  <si>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</si>
  <si>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</si>
  <si>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</si>
  <si>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</si>
  <si>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</si>
  <si>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</si>
  <si>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</si>
  <si>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</si>
  <si>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</si>
  <si>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</si>
  <si>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</si>
  <si>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</si>
  <si>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</si>
  <si>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</si>
  <si>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</si>
  <si>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</si>
  <si>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</si>
  <si>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</si>
  <si>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</si>
  <si>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</si>
  <si>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</si>
  <si>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</si>
  <si>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</si>
  <si>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</si>
  <si>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</si>
  <si>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</si>
  <si>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</si>
  <si>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</si>
  <si>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</si>
  <si>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</si>
  <si>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</si>
  <si>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</si>
  <si>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</si>
  <si>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</si>
  <si>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</si>
  <si>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</si>
  <si>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</si>
  <si>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</si>
  <si>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</si>
  <si>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</si>
  <si>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</si>
  <si>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</si>
  <si>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</si>
  <si>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</si>
  <si>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</si>
  <si>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</si>
  <si>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</si>
  <si>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</si>
  <si>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</si>
  <si>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</si>
  <si>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</si>
  <si>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</si>
  <si>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</si>
  <si>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</si>
  <si>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</si>
  <si>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</si>
  <si>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</si>
  <si>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</si>
  <si>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</si>
  <si>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</si>
  <si>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</si>
  <si>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</si>
  <si>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</si>
  <si>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</si>
  <si>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</si>
  <si>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</si>
  <si>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</si>
  <si>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</si>
  <si>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</si>
  <si>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</si>
  <si>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</si>
  <si>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</si>
  <si>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</si>
  <si>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</si>
  <si>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</si>
  <si>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</si>
  <si>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</si>
  <si>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</si>
  <si>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</si>
  <si>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</si>
  <si>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</si>
  <si>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</si>
  <si>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</si>
  <si>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</si>
  <si>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</si>
  <si>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</si>
  <si>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</si>
  <si>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</si>
  <si>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</si>
  <si>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</si>
  <si>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</si>
  <si>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</si>
  <si>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</si>
  <si>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</si>
  <si>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</si>
  <si>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</si>
  <si>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</si>
  <si>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</si>
  <si>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</si>
  <si>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</si>
  <si>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</si>
  <si>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</si>
  <si>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</si>
  <si>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</si>
  <si>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</si>
  <si>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</si>
  <si>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</si>
  <si>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</si>
  <si>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</si>
  <si>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</si>
  <si>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</si>
  <si>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</si>
  <si>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</si>
  <si>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</si>
  <si>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</si>
  <si>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</si>
  <si>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</si>
  <si>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</si>
  <si>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</si>
  <si>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</si>
  <si>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</si>
  <si>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</si>
  <si>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</si>
  <si>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</si>
  <si>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</si>
  <si>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</si>
  <si>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</si>
  <si>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</si>
  <si>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</si>
  <si>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</si>
  <si>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</si>
  <si>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</si>
  <si>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</si>
  <si>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</si>
  <si>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</si>
  <si>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</si>
  <si>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</si>
  <si>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</si>
  <si>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</si>
  <si>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</si>
  <si>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</si>
  <si>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</si>
  <si>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</si>
  <si>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</si>
  <si>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</si>
  <si>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</si>
  <si>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</si>
  <si>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</si>
  <si>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</si>
  <si>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</si>
  <si>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</si>
  <si>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</si>
  <si>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</si>
  <si>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</si>
  <si>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</si>
  <si>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</si>
  <si>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</si>
  <si>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</si>
  <si>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</si>
  <si>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</si>
  <si>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</si>
  <si>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</si>
  <si>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</si>
  <si>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</si>
  <si>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</si>
  <si>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</si>
  <si>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</si>
  <si>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</si>
  <si>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</si>
  <si>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</si>
  <si>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</si>
  <si>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</si>
  <si>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</si>
  <si>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</si>
  <si>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</si>
  <si>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</si>
  <si>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</si>
  <si>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</si>
  <si>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</si>
  <si>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</si>
  <si>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</si>
  <si>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</si>
  <si>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</si>
  <si>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</si>
  <si>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</si>
  <si>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</si>
  <si>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</si>
  <si>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</si>
  <si>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</si>
  <si>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</si>
  <si>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</si>
  <si>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</si>
  <si>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</si>
  <si>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</si>
  <si>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</si>
  <si>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</si>
  <si>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</si>
  <si>
    <t>QUESOS-ARABE-LONGANIZAS-JAMON-CHISTORRA</t>
  </si>
  <si>
    <t>PAPA-LONGANIZAS-POLLO-QUESOS-CHIMICHURRI</t>
  </si>
  <si>
    <t>JAMONES-PAVO-POLLO-LONGANIZA-CREMA</t>
  </si>
  <si>
    <t>PASTOR-POSTRES-QUESOS-POLLO-SALCHICHA</t>
  </si>
  <si>
    <t>PASTOR-POLLO-MOLE-QUESOS-CREMA-LONGANIZA</t>
  </si>
  <si>
    <t>POLLO-QUESO</t>
  </si>
  <si>
    <t xml:space="preserve">NOMINA # 46 Y Vac </t>
  </si>
  <si>
    <t xml:space="preserve">NOMINA # 46 </t>
  </si>
  <si>
    <t>LONGANIZA-JAMON-PEPERONI-CHISTORRA</t>
  </si>
  <si>
    <t>JAMON-QUESOS-POLLO-PATE-CHISTORRA-SALCHICHA</t>
  </si>
  <si>
    <t>ARABE-CHORIZO-TOTOPOS-POLLO-QUESOS</t>
  </si>
  <si>
    <t>POLLO-QUESOS-LONGANIZA-CHORIZO</t>
  </si>
  <si>
    <t>POLLO-QUESOS-JAMON-NATA-LONGANIZA</t>
  </si>
  <si>
    <t>SALNCHICHA-MOLE-MAIZ-POLLO-QUESOS-CHORIZO</t>
  </si>
  <si>
    <t>Sobrante</t>
  </si>
  <si>
    <t>PASTOR-ARABE-POLLO-QUESOS</t>
  </si>
  <si>
    <t>Nomina # 47</t>
  </si>
  <si>
    <t>abastos</t>
  </si>
  <si>
    <t>POLLO-QUESOS-NATA-FLANES-PASTOR-JAMONE-ROAST-BEEF-CHISTORRA</t>
  </si>
  <si>
    <t>PAVO-SALCHICHA-CHORIZO-POLLO-QUESOS-JAMON-</t>
  </si>
  <si>
    <t>POLLO-QUESOS-SALCHICHA</t>
  </si>
  <si>
    <t>QUESOS-POLLO-PICAÑA-</t>
  </si>
  <si>
    <t>NOMINA # 48</t>
  </si>
  <si>
    <t>15577 D</t>
  </si>
  <si>
    <t>15645 D</t>
  </si>
  <si>
    <t>15651 D</t>
  </si>
  <si>
    <t>15712 D</t>
  </si>
  <si>
    <t>15823 D</t>
  </si>
  <si>
    <t>15903 D</t>
  </si>
  <si>
    <t>16097 D</t>
  </si>
  <si>
    <t>16157 D</t>
  </si>
  <si>
    <t>16363 D</t>
  </si>
  <si>
    <t>16482 D</t>
  </si>
  <si>
    <t>16564 D</t>
  </si>
  <si>
    <t>16666 D</t>
  </si>
  <si>
    <t>16807 D</t>
  </si>
  <si>
    <t>16922 D</t>
  </si>
  <si>
    <t>17103 D</t>
  </si>
  <si>
    <t>17180 D</t>
  </si>
  <si>
    <t>17292 D</t>
  </si>
  <si>
    <t>17421 D</t>
  </si>
  <si>
    <t>17530 D</t>
  </si>
  <si>
    <t>17641 D</t>
  </si>
  <si>
    <t>17760 D</t>
  </si>
  <si>
    <t>17812 D</t>
  </si>
  <si>
    <t>17891 D</t>
  </si>
  <si>
    <t>18002 D</t>
  </si>
  <si>
    <t>18116 D</t>
  </si>
  <si>
    <t>18259 D</t>
  </si>
  <si>
    <t>18378 D</t>
  </si>
  <si>
    <t>11-Nov-22--16-Nov-22</t>
  </si>
  <si>
    <t>16-Nov-22--18-Nov-22</t>
  </si>
  <si>
    <t>18-Nov-22--19-Nov-22</t>
  </si>
  <si>
    <t>19-Nov-22--25-Nov-22</t>
  </si>
  <si>
    <t>25-Nov-22--29-Nov-22</t>
  </si>
  <si>
    <t>29-Nov-22--2-Dic-22</t>
  </si>
  <si>
    <t>31-oct-2022</t>
  </si>
  <si>
    <t>1-nov-2022</t>
  </si>
  <si>
    <t>3-nov-2022</t>
  </si>
  <si>
    <t>4-nov-2022</t>
  </si>
  <si>
    <t>5-nov-2022</t>
  </si>
  <si>
    <t>6-nov-2022</t>
  </si>
  <si>
    <t>7-nov-2022</t>
  </si>
  <si>
    <t>8-nov-2022</t>
  </si>
  <si>
    <t>9-nov-2022</t>
  </si>
  <si>
    <t>10-nov-2022</t>
  </si>
  <si>
    <t>11-nov-2022</t>
  </si>
  <si>
    <t>12-nov-2022</t>
  </si>
  <si>
    <t>14-nov-2022</t>
  </si>
  <si>
    <t>15-nov-2022</t>
  </si>
  <si>
    <t>16-nov-2022</t>
  </si>
  <si>
    <t>17-nov-2022</t>
  </si>
  <si>
    <t>18-nov-2022</t>
  </si>
  <si>
    <t>19-nov-2022</t>
  </si>
  <si>
    <t>21-nov-2022</t>
  </si>
  <si>
    <t>22-nov-2022</t>
  </si>
  <si>
    <t>23-nov-2022</t>
  </si>
  <si>
    <t>24-nov-2022</t>
  </si>
  <si>
    <t>25-nov-2022</t>
  </si>
  <si>
    <t>26-nov-2022</t>
  </si>
  <si>
    <t>GUARDIA</t>
  </si>
  <si>
    <t>SEGURO CARGA</t>
  </si>
  <si>
    <t>Calendarios</t>
  </si>
  <si>
    <t>ALBICIA</t>
  </si>
  <si>
    <t>CARNE BMRCASH</t>
  </si>
  <si>
    <t>SISTEMA PCS</t>
  </si>
  <si>
    <t>BALANCE      ABASTO 4 CARNES    Z A V A L E T A    DICIEMBRE          2 0 2 2</t>
  </si>
  <si>
    <t>18581 D</t>
  </si>
  <si>
    <t>18470 D</t>
  </si>
  <si>
    <t>18677 D</t>
  </si>
  <si>
    <t xml:space="preserve">18814 D </t>
  </si>
  <si>
    <t>18888 D</t>
  </si>
  <si>
    <t>19034 D</t>
  </si>
  <si>
    <t>19168 D</t>
  </si>
  <si>
    <t>19202 D</t>
  </si>
  <si>
    <t>19308 D</t>
  </si>
  <si>
    <t>19309 D</t>
  </si>
  <si>
    <t>19450 D</t>
  </si>
  <si>
    <t>19516 D</t>
  </si>
  <si>
    <t>19645 D</t>
  </si>
  <si>
    <t>19660 D</t>
  </si>
  <si>
    <t>19689 D</t>
  </si>
  <si>
    <t>19759 D</t>
  </si>
  <si>
    <t>19839 D</t>
  </si>
  <si>
    <t>19914 D</t>
  </si>
  <si>
    <t>20034 D</t>
  </si>
  <si>
    <t>20199 D</t>
  </si>
  <si>
    <t>20267 D</t>
  </si>
  <si>
    <t>20331 D</t>
  </si>
  <si>
    <t>20503 D</t>
  </si>
  <si>
    <t>20507 D</t>
  </si>
  <si>
    <t>20594 D</t>
  </si>
  <si>
    <t>20597 D</t>
  </si>
  <si>
    <t>20651 D</t>
  </si>
  <si>
    <t>20763 D</t>
  </si>
  <si>
    <t>20853 D</t>
  </si>
  <si>
    <t>21067 D</t>
  </si>
  <si>
    <t>21126 D</t>
  </si>
  <si>
    <t>21215 D</t>
  </si>
  <si>
    <t>21216 D</t>
  </si>
  <si>
    <t>21373 D</t>
  </si>
  <si>
    <t>21566 D</t>
  </si>
  <si>
    <t>21615 D</t>
  </si>
  <si>
    <t>21694 D</t>
  </si>
  <si>
    <t xml:space="preserve">21807 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</si>
</sst>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73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5" fontId="20" fillId="16" borderId="27" xfId="0" applyNumberFormat="1" applyFont="1" applyFill="1" applyBorder="1" applyAlignment="1">
      <alignment horizontal="center"/>
    </xf>
    <xf numFmtId="44" fontId="3" fillId="6" borderId="26" xfId="1" applyFont="1" applyFill="1" applyBorder="1"/>
    <xf numFmtId="44" fontId="3" fillId="9" borderId="26" xfId="1" applyFont="1" applyFill="1" applyBorder="1"/>
    <xf numFmtId="0" fontId="66" fillId="0" borderId="0" xfId="0" applyFont="1" applyFill="1" applyAlignment="1">
      <alignment horizontal="center"/>
    </xf>
    <xf numFmtId="165" fontId="70" fillId="0" borderId="21" xfId="0" applyNumberFormat="1" applyFont="1" applyFill="1" applyBorder="1"/>
    <xf numFmtId="44" fontId="70" fillId="0" borderId="21" xfId="1" applyFont="1" applyFill="1" applyBorder="1"/>
    <xf numFmtId="44" fontId="70" fillId="0" borderId="25" xfId="1" applyFont="1" applyFill="1" applyBorder="1"/>
    <xf numFmtId="165" fontId="70" fillId="0" borderId="21" xfId="0" applyNumberFormat="1" applyFont="1" applyFill="1" applyBorder="1" applyAlignment="1">
      <alignment wrapText="1"/>
    </xf>
    <xf numFmtId="44" fontId="10" fillId="0" borderId="25" xfId="1" applyFont="1" applyFill="1" applyBorder="1"/>
    <xf numFmtId="165" fontId="10" fillId="0" borderId="25" xfId="0" applyNumberFormat="1" applyFont="1" applyFill="1" applyBorder="1"/>
    <xf numFmtId="165" fontId="10" fillId="0" borderId="25" xfId="0" applyNumberFormat="1" applyFont="1" applyFill="1" applyBorder="1" applyAlignment="1">
      <alignment wrapText="1"/>
    </xf>
    <xf numFmtId="44" fontId="78" fillId="0" borderId="25" xfId="1" applyFont="1" applyFill="1" applyBorder="1"/>
    <xf numFmtId="44" fontId="73" fillId="0" borderId="25" xfId="1" applyFont="1" applyFill="1" applyBorder="1"/>
    <xf numFmtId="165" fontId="73" fillId="0" borderId="25" xfId="0" applyNumberFormat="1" applyFont="1" applyFill="1" applyBorder="1"/>
    <xf numFmtId="165" fontId="73" fillId="0" borderId="25" xfId="0" applyNumberFormat="1" applyFont="1" applyFill="1" applyBorder="1" applyAlignment="1">
      <alignment wrapText="1"/>
    </xf>
    <xf numFmtId="44" fontId="79" fillId="0" borderId="25" xfId="1" applyFont="1" applyFill="1" applyBorder="1"/>
    <xf numFmtId="44" fontId="80" fillId="0" borderId="25" xfId="1" applyFont="1" applyFill="1" applyBorder="1"/>
    <xf numFmtId="165" fontId="79" fillId="0" borderId="25" xfId="0" applyNumberFormat="1" applyFont="1" applyFill="1" applyBorder="1" applyAlignment="1">
      <alignment wrapText="1"/>
    </xf>
    <xf numFmtId="165" fontId="80" fillId="0" borderId="25" xfId="0" applyNumberFormat="1" applyFont="1" applyFill="1" applyBorder="1"/>
    <xf numFmtId="165" fontId="80" fillId="0" borderId="25" xfId="0" applyNumberFormat="1" applyFont="1" applyFill="1" applyBorder="1" applyAlignment="1">
      <alignment wrapText="1"/>
    </xf>
    <xf numFmtId="165" fontId="78" fillId="0" borderId="25" xfId="0" applyNumberFormat="1" applyFont="1" applyFill="1" applyBorder="1"/>
    <xf numFmtId="44" fontId="13" fillId="0" borderId="0" xfId="1" applyFont="1" applyFill="1" applyBorder="1" applyAlignment="1">
      <alignment horizontal="center" vertical="center"/>
    </xf>
    <xf numFmtId="49" fontId="3" fillId="21" borderId="91" xfId="0" applyNumberFormat="1" applyFont="1" applyFill="1" applyBorder="1" applyAlignment="1">
      <alignment horizontal="center"/>
    </xf>
    <xf numFmtId="49" fontId="3" fillId="29" borderId="91" xfId="0" applyNumberFormat="1" applyFont="1" applyFill="1" applyBorder="1"/>
    <xf numFmtId="0" fontId="3" fillId="29" borderId="86" xfId="0" applyFont="1" applyFill="1" applyBorder="1" applyAlignment="1">
      <alignment horizontal="center"/>
    </xf>
    <xf numFmtId="44" fontId="3" fillId="29" borderId="86" xfId="1" applyFont="1" applyFill="1" applyBorder="1"/>
    <xf numFmtId="49" fontId="3" fillId="0" borderId="91" xfId="0" applyNumberFormat="1" applyFont="1" applyFill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0000FF"/>
      <color rgb="FFFF00FF"/>
      <color rgb="FF99CCFF"/>
      <color rgb="FFFFCCFF"/>
      <color rgb="FFCCFF66"/>
      <color rgb="FFCC99FF"/>
      <color rgb="FF66FFFF"/>
      <color rgb="FF9900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5256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5065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6445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3233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3447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915"/>
      <c r="C1" s="917" t="s">
        <v>25</v>
      </c>
      <c r="D1" s="918"/>
      <c r="E1" s="918"/>
      <c r="F1" s="918"/>
      <c r="G1" s="918"/>
      <c r="H1" s="918"/>
      <c r="I1" s="918"/>
      <c r="J1" s="918"/>
      <c r="K1" s="918"/>
      <c r="L1" s="918"/>
      <c r="M1" s="918"/>
    </row>
    <row r="2" spans="1:19" ht="16.5" thickBot="1" x14ac:dyDescent="0.3">
      <c r="B2" s="916"/>
      <c r="C2" s="3"/>
      <c r="H2" s="5"/>
      <c r="I2" s="6"/>
      <c r="J2" s="7"/>
      <c r="L2" s="8"/>
      <c r="M2" s="6"/>
      <c r="N2" s="9"/>
    </row>
    <row r="3" spans="1:19" ht="21.75" thickBot="1" x14ac:dyDescent="0.35">
      <c r="B3" s="919" t="s">
        <v>0</v>
      </c>
      <c r="C3" s="920"/>
      <c r="D3" s="10"/>
      <c r="E3" s="11"/>
      <c r="F3" s="11"/>
      <c r="H3" s="921" t="s">
        <v>26</v>
      </c>
      <c r="I3" s="921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922" t="s">
        <v>2</v>
      </c>
      <c r="F4" s="923"/>
      <c r="H4" s="924" t="s">
        <v>3</v>
      </c>
      <c r="I4" s="925"/>
      <c r="J4" s="19"/>
      <c r="K4" s="166"/>
      <c r="L4" s="20"/>
      <c r="M4" s="21" t="s">
        <v>4</v>
      </c>
      <c r="N4" s="22" t="s">
        <v>5</v>
      </c>
      <c r="P4" s="896" t="s">
        <v>6</v>
      </c>
      <c r="Q4" s="897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898">
        <f>SUM(M5:M38)</f>
        <v>247061</v>
      </c>
      <c r="N39" s="900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899"/>
      <c r="N40" s="901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902" t="s">
        <v>11</v>
      </c>
      <c r="I52" s="903"/>
      <c r="J52" s="100"/>
      <c r="K52" s="904">
        <f>I50+L50</f>
        <v>53873.49</v>
      </c>
      <c r="L52" s="905"/>
      <c r="M52" s="906">
        <f>N39+M39</f>
        <v>419924</v>
      </c>
      <c r="N52" s="907"/>
      <c r="P52" s="34"/>
      <c r="Q52" s="9"/>
    </row>
    <row r="53" spans="1:17" ht="15.75" x14ac:dyDescent="0.25">
      <c r="D53" s="908" t="s">
        <v>12</v>
      </c>
      <c r="E53" s="908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908" t="s">
        <v>95</v>
      </c>
      <c r="E54" s="908"/>
      <c r="F54" s="96">
        <v>-549976.4</v>
      </c>
      <c r="I54" s="909" t="s">
        <v>13</v>
      </c>
      <c r="J54" s="910"/>
      <c r="K54" s="911">
        <f>F56+F57+F58</f>
        <v>-24577.400000000023</v>
      </c>
      <c r="L54" s="912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913">
        <f>-C4</f>
        <v>0</v>
      </c>
      <c r="L56" s="914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91" t="s">
        <v>18</v>
      </c>
      <c r="E58" s="892"/>
      <c r="F58" s="113">
        <v>567389.35</v>
      </c>
      <c r="I58" s="893" t="s">
        <v>97</v>
      </c>
      <c r="J58" s="894"/>
      <c r="K58" s="895">
        <f>K54+K56</f>
        <v>-24577.400000000023</v>
      </c>
      <c r="L58" s="895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87" t="s">
        <v>597</v>
      </c>
      <c r="J76" s="988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89"/>
      <c r="J77" s="990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53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54"/>
      <c r="K81" s="1"/>
      <c r="L81" s="97"/>
      <c r="M81" s="3"/>
      <c r="N81" s="1"/>
    </row>
    <row r="82" spans="1:14" ht="18.75" x14ac:dyDescent="0.3">
      <c r="A82" s="435"/>
      <c r="B82" s="986" t="s">
        <v>595</v>
      </c>
      <c r="C82" s="986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15"/>
      <c r="C1" s="957" t="s">
        <v>451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25" ht="16.5" thickBot="1" x14ac:dyDescent="0.3">
      <c r="B2" s="916"/>
      <c r="C2" s="3"/>
      <c r="H2" s="5"/>
      <c r="I2" s="6"/>
      <c r="J2" s="7"/>
      <c r="L2" s="8"/>
      <c r="M2" s="6"/>
      <c r="N2" s="9"/>
    </row>
    <row r="3" spans="1:25" ht="21.75" thickBot="1" x14ac:dyDescent="0.35">
      <c r="B3" s="919" t="s">
        <v>0</v>
      </c>
      <c r="C3" s="920"/>
      <c r="D3" s="10"/>
      <c r="E3" s="11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922" t="s">
        <v>2</v>
      </c>
      <c r="F4" s="923"/>
      <c r="H4" s="924" t="s">
        <v>3</v>
      </c>
      <c r="I4" s="925"/>
      <c r="J4" s="19"/>
      <c r="K4" s="166"/>
      <c r="L4" s="20"/>
      <c r="M4" s="21" t="s">
        <v>4</v>
      </c>
      <c r="N4" s="22" t="s">
        <v>5</v>
      </c>
      <c r="P4" s="946"/>
      <c r="Q4" s="322" t="s">
        <v>217</v>
      </c>
      <c r="R4" s="956"/>
      <c r="W4" s="928" t="s">
        <v>124</v>
      </c>
      <c r="X4" s="928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28"/>
      <c r="X5" s="928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32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33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34"/>
      <c r="X21" s="934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35"/>
      <c r="X23" s="935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35"/>
      <c r="X24" s="935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36"/>
      <c r="X25" s="936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36"/>
      <c r="X26" s="936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29"/>
      <c r="X27" s="930"/>
      <c r="Y27" s="931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30"/>
      <c r="X28" s="930"/>
      <c r="Y28" s="931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47">
        <f>SUM(M5:M35)</f>
        <v>2220612.02</v>
      </c>
      <c r="N36" s="949">
        <f>SUM(N5:N35)</f>
        <v>833865</v>
      </c>
      <c r="O36" s="276"/>
      <c r="P36" s="277">
        <v>0</v>
      </c>
      <c r="Q36" s="982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48"/>
      <c r="N37" s="950"/>
      <c r="O37" s="276"/>
      <c r="P37" s="277">
        <v>0</v>
      </c>
      <c r="Q37" s="983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84">
        <f>M36+N36</f>
        <v>3054477.02</v>
      </c>
      <c r="N39" s="985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902" t="s">
        <v>11</v>
      </c>
      <c r="I68" s="903"/>
      <c r="J68" s="100"/>
      <c r="K68" s="904">
        <f>I66+L66</f>
        <v>314868.39999999997</v>
      </c>
      <c r="L68" s="937"/>
      <c r="M68" s="272"/>
      <c r="N68" s="272"/>
      <c r="P68" s="34"/>
      <c r="Q68" s="13"/>
    </row>
    <row r="69" spans="1:17" x14ac:dyDescent="0.25">
      <c r="D69" s="908" t="s">
        <v>12</v>
      </c>
      <c r="E69" s="908"/>
      <c r="F69" s="312">
        <f>F66-K68-C66</f>
        <v>1594593.8500000003</v>
      </c>
      <c r="I69" s="102"/>
      <c r="J69" s="103"/>
    </row>
    <row r="70" spans="1:17" ht="18.75" x14ac:dyDescent="0.3">
      <c r="D70" s="938" t="s">
        <v>95</v>
      </c>
      <c r="E70" s="938"/>
      <c r="F70" s="111">
        <v>-1360260.32</v>
      </c>
      <c r="I70" s="909" t="s">
        <v>13</v>
      </c>
      <c r="J70" s="910"/>
      <c r="K70" s="911">
        <f>F72+F73+F74</f>
        <v>1938640.11</v>
      </c>
      <c r="L70" s="911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913">
        <f>-C4</f>
        <v>-1266568.45</v>
      </c>
      <c r="L72" s="914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91" t="s">
        <v>18</v>
      </c>
      <c r="E74" s="892"/>
      <c r="F74" s="113">
        <v>1792817.68</v>
      </c>
      <c r="I74" s="893" t="s">
        <v>198</v>
      </c>
      <c r="J74" s="894"/>
      <c r="K74" s="895">
        <f>K70+K72</f>
        <v>672071.66000000015</v>
      </c>
      <c r="L74" s="895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95" t="s">
        <v>594</v>
      </c>
      <c r="J44" s="996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97"/>
      <c r="J45" s="998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99"/>
      <c r="J46" s="1000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53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54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91" t="s">
        <v>594</v>
      </c>
      <c r="J83" s="992"/>
    </row>
    <row r="84" spans="1:14" ht="19.5" thickBot="1" x14ac:dyDescent="0.35">
      <c r="A84" s="513" t="s">
        <v>598</v>
      </c>
      <c r="B84" s="514"/>
      <c r="C84" s="515"/>
      <c r="D84" s="491"/>
      <c r="I84" s="993"/>
      <c r="J84" s="994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15"/>
      <c r="C1" s="957" t="s">
        <v>620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25" ht="16.5" thickBot="1" x14ac:dyDescent="0.3">
      <c r="B2" s="916"/>
      <c r="C2" s="3"/>
      <c r="H2" s="5"/>
      <c r="I2" s="6"/>
      <c r="J2" s="7"/>
      <c r="L2" s="8"/>
      <c r="M2" s="6"/>
      <c r="N2" s="9"/>
    </row>
    <row r="3" spans="1:25" ht="21.75" thickBot="1" x14ac:dyDescent="0.35">
      <c r="B3" s="919" t="s">
        <v>0</v>
      </c>
      <c r="C3" s="920"/>
      <c r="D3" s="10"/>
      <c r="E3" s="11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922" t="s">
        <v>2</v>
      </c>
      <c r="F4" s="923"/>
      <c r="H4" s="924" t="s">
        <v>3</v>
      </c>
      <c r="I4" s="925"/>
      <c r="J4" s="19"/>
      <c r="K4" s="166"/>
      <c r="L4" s="20"/>
      <c r="M4" s="21" t="s">
        <v>4</v>
      </c>
      <c r="N4" s="22" t="s">
        <v>5</v>
      </c>
      <c r="P4" s="946"/>
      <c r="Q4" s="322" t="s">
        <v>217</v>
      </c>
      <c r="R4" s="956"/>
      <c r="W4" s="928" t="s">
        <v>124</v>
      </c>
      <c r="X4" s="928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28"/>
      <c r="X5" s="928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32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33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34"/>
      <c r="X21" s="934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35"/>
      <c r="X23" s="935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35"/>
      <c r="X24" s="935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36"/>
      <c r="X25" s="936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36"/>
      <c r="X26" s="936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29"/>
      <c r="X27" s="930"/>
      <c r="Y27" s="931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30"/>
      <c r="X28" s="930"/>
      <c r="Y28" s="931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47">
        <f>SUM(M5:M40)</f>
        <v>2479367.6100000003</v>
      </c>
      <c r="N41" s="947">
        <f>SUM(N5:N40)</f>
        <v>1195667</v>
      </c>
      <c r="P41" s="505">
        <f>SUM(P5:P40)</f>
        <v>4355326.74</v>
      </c>
      <c r="Q41" s="1001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48"/>
      <c r="N42" s="948"/>
      <c r="P42" s="34"/>
      <c r="Q42" s="1002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1003">
        <f>M41+N41</f>
        <v>3675034.6100000003</v>
      </c>
      <c r="N45" s="1004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902" t="s">
        <v>11</v>
      </c>
      <c r="I70" s="903"/>
      <c r="J70" s="100"/>
      <c r="K70" s="904">
        <f>I68+L68</f>
        <v>428155.54000000004</v>
      </c>
      <c r="L70" s="937"/>
      <c r="M70" s="272"/>
      <c r="N70" s="272"/>
      <c r="P70" s="34"/>
      <c r="Q70" s="13"/>
    </row>
    <row r="71" spans="1:17" x14ac:dyDescent="0.25">
      <c r="D71" s="908" t="s">
        <v>12</v>
      </c>
      <c r="E71" s="908"/>
      <c r="F71" s="312">
        <f>F68-K70-C68</f>
        <v>1631087.67</v>
      </c>
      <c r="I71" s="102"/>
      <c r="J71" s="103"/>
      <c r="P71" s="34"/>
    </row>
    <row r="72" spans="1:17" ht="18.75" x14ac:dyDescent="0.3">
      <c r="D72" s="938" t="s">
        <v>95</v>
      </c>
      <c r="E72" s="938"/>
      <c r="F72" s="111">
        <v>-1884975.46</v>
      </c>
      <c r="I72" s="909" t="s">
        <v>13</v>
      </c>
      <c r="J72" s="910"/>
      <c r="K72" s="911">
        <f>F74+F75+F76</f>
        <v>1777829.89</v>
      </c>
      <c r="L72" s="911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913">
        <f>-C4</f>
        <v>-1792817.68</v>
      </c>
      <c r="L74" s="914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91" t="s">
        <v>18</v>
      </c>
      <c r="E76" s="892"/>
      <c r="F76" s="113">
        <v>2112071.92</v>
      </c>
      <c r="I76" s="893" t="s">
        <v>852</v>
      </c>
      <c r="J76" s="894"/>
      <c r="K76" s="895">
        <f>K72+K74</f>
        <v>-14987.790000000037</v>
      </c>
      <c r="L76" s="895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95" t="s">
        <v>594</v>
      </c>
      <c r="J54" s="996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97"/>
      <c r="J55" s="998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99"/>
      <c r="J56" s="1000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53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54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91" t="s">
        <v>594</v>
      </c>
      <c r="J93" s="992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93"/>
      <c r="J94" s="994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1005">
        <f>SUM(D106:D129)</f>
        <v>759581.99999999988</v>
      </c>
      <c r="D130" s="1006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1020" t="s">
        <v>1242</v>
      </c>
      <c r="C2" s="1021"/>
      <c r="D2" s="1022"/>
      <c r="F2" s="1008" t="s">
        <v>1241</v>
      </c>
      <c r="G2" s="1009"/>
      <c r="H2" s="1010"/>
    </row>
    <row r="3" spans="2:8" ht="27.75" customHeight="1" thickBot="1" x14ac:dyDescent="0.3">
      <c r="B3" s="1023"/>
      <c r="C3" s="1024"/>
      <c r="D3" s="1025"/>
      <c r="F3" s="1011"/>
      <c r="G3" s="1012"/>
      <c r="H3" s="1013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1014">
        <f>SUM(H5:H10)</f>
        <v>334337</v>
      </c>
      <c r="H11" s="1015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1018" t="s">
        <v>749</v>
      </c>
      <c r="D15" s="1016">
        <f>D11-D13</f>
        <v>-69877</v>
      </c>
      <c r="E15" s="1026" t="s">
        <v>1243</v>
      </c>
      <c r="F15" s="1027"/>
      <c r="G15" s="1027"/>
      <c r="H15" s="1028"/>
    </row>
    <row r="16" spans="2:8" ht="18.75" customHeight="1" thickBot="1" x14ac:dyDescent="0.3">
      <c r="C16" s="1019"/>
      <c r="D16" s="1017"/>
      <c r="E16" s="1029"/>
      <c r="F16" s="1030"/>
      <c r="G16" s="1030"/>
      <c r="H16" s="1031"/>
    </row>
    <row r="17" spans="3:4" ht="18.75" x14ac:dyDescent="0.3">
      <c r="C17" s="1007" t="s">
        <v>751</v>
      </c>
      <c r="D17" s="1007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15"/>
      <c r="C1" s="957" t="s">
        <v>752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25" ht="16.5" thickBot="1" x14ac:dyDescent="0.3">
      <c r="B2" s="916"/>
      <c r="C2" s="3"/>
      <c r="H2" s="5"/>
      <c r="I2" s="6"/>
      <c r="J2" s="7"/>
      <c r="L2" s="8"/>
      <c r="M2" s="6"/>
      <c r="N2" s="9"/>
    </row>
    <row r="3" spans="1:25" ht="21.75" thickBot="1" x14ac:dyDescent="0.35">
      <c r="B3" s="919" t="s">
        <v>0</v>
      </c>
      <c r="C3" s="920"/>
      <c r="D3" s="10"/>
      <c r="E3" s="553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922" t="s">
        <v>2</v>
      </c>
      <c r="F4" s="923"/>
      <c r="H4" s="924" t="s">
        <v>3</v>
      </c>
      <c r="I4" s="925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56"/>
      <c r="U4" s="34"/>
      <c r="V4" s="128"/>
      <c r="W4" s="1038"/>
      <c r="X4" s="1038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38"/>
      <c r="X5" s="1038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39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39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34"/>
      <c r="X21" s="934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35"/>
      <c r="X23" s="935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35"/>
      <c r="X24" s="935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36"/>
      <c r="X25" s="936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36"/>
      <c r="X26" s="936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29"/>
      <c r="X27" s="930"/>
      <c r="Y27" s="931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30"/>
      <c r="X28" s="930"/>
      <c r="Y28" s="931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47">
        <f>SUM(M5:M40)</f>
        <v>1509924.1</v>
      </c>
      <c r="N41" s="947">
        <f>SUM(N5:N40)</f>
        <v>1012291</v>
      </c>
      <c r="P41" s="505">
        <f>SUM(P5:P40)</f>
        <v>3152648.1</v>
      </c>
      <c r="Q41" s="1001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48"/>
      <c r="N42" s="948"/>
      <c r="P42" s="34"/>
      <c r="Q42" s="1002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1003">
        <f>M41+N41</f>
        <v>2522215.1</v>
      </c>
      <c r="N45" s="1004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902" t="s">
        <v>11</v>
      </c>
      <c r="I63" s="903"/>
      <c r="J63" s="559"/>
      <c r="K63" s="1035">
        <f>I61+L61</f>
        <v>340912.75</v>
      </c>
      <c r="L63" s="1036"/>
      <c r="M63" s="272"/>
      <c r="N63" s="272"/>
      <c r="P63" s="34"/>
      <c r="Q63" s="13"/>
    </row>
    <row r="64" spans="1:17" x14ac:dyDescent="0.25">
      <c r="D64" s="908" t="s">
        <v>12</v>
      </c>
      <c r="E64" s="908"/>
      <c r="F64" s="312">
        <f>F61-K63-C61</f>
        <v>1458827.53</v>
      </c>
      <c r="I64" s="102"/>
      <c r="J64" s="560"/>
    </row>
    <row r="65" spans="2:17" ht="18.75" x14ac:dyDescent="0.3">
      <c r="D65" s="938" t="s">
        <v>95</v>
      </c>
      <c r="E65" s="938"/>
      <c r="F65" s="111">
        <v>-1572197.3</v>
      </c>
      <c r="I65" s="909" t="s">
        <v>13</v>
      </c>
      <c r="J65" s="910"/>
      <c r="K65" s="911">
        <f>F67+F68+F69</f>
        <v>2392765.5300000003</v>
      </c>
      <c r="L65" s="911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37">
        <f>-C4</f>
        <v>-2112071.92</v>
      </c>
      <c r="L67" s="911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91" t="s">
        <v>18</v>
      </c>
      <c r="E69" s="892"/>
      <c r="F69" s="113">
        <v>2546982.16</v>
      </c>
      <c r="I69" s="1032" t="s">
        <v>198</v>
      </c>
      <c r="J69" s="1033"/>
      <c r="K69" s="1034">
        <f>K65+K67</f>
        <v>280693.61000000034</v>
      </c>
      <c r="L69" s="1034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95" t="s">
        <v>594</v>
      </c>
      <c r="J38" s="996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97"/>
      <c r="J39" s="998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99"/>
      <c r="J40" s="1000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53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54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91" t="s">
        <v>594</v>
      </c>
      <c r="J74" s="992"/>
    </row>
    <row r="75" spans="1:14" ht="19.5" thickBot="1" x14ac:dyDescent="0.35">
      <c r="A75" s="456"/>
      <c r="B75" s="649"/>
      <c r="C75" s="233"/>
      <c r="D75" s="650"/>
      <c r="E75" s="519"/>
      <c r="F75" s="111"/>
      <c r="I75" s="993"/>
      <c r="J75" s="994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42" t="s">
        <v>804</v>
      </c>
      <c r="B89" s="1043"/>
      <c r="C89" s="1043"/>
      <c r="E89"/>
      <c r="F89" s="111"/>
      <c r="I89"/>
      <c r="J89" s="194"/>
      <c r="M89"/>
      <c r="N89"/>
    </row>
    <row r="90" spans="1:14" ht="18.75" x14ac:dyDescent="0.3">
      <c r="A90" s="454"/>
      <c r="B90" s="1044" t="s">
        <v>805</v>
      </c>
      <c r="C90" s="1045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40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41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15"/>
      <c r="C1" s="957" t="s">
        <v>882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18" ht="16.5" thickBot="1" x14ac:dyDescent="0.3">
      <c r="B2" s="916"/>
      <c r="C2" s="3"/>
      <c r="H2" s="5"/>
      <c r="I2" s="6"/>
      <c r="J2" s="7"/>
      <c r="L2" s="8"/>
      <c r="M2" s="6"/>
      <c r="N2" s="9"/>
    </row>
    <row r="3" spans="1:18" ht="21.75" thickBot="1" x14ac:dyDescent="0.35">
      <c r="B3" s="919" t="s">
        <v>0</v>
      </c>
      <c r="C3" s="920"/>
      <c r="D3" s="10"/>
      <c r="E3" s="553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922" t="s">
        <v>2</v>
      </c>
      <c r="F4" s="923"/>
      <c r="H4" s="924" t="s">
        <v>3</v>
      </c>
      <c r="I4" s="925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56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47">
        <f>SUM(M5:M40)</f>
        <v>1737024</v>
      </c>
      <c r="N41" s="947">
        <f>SUM(N5:N40)</f>
        <v>1314313</v>
      </c>
      <c r="P41" s="505">
        <f>SUM(P5:P40)</f>
        <v>3810957.55</v>
      </c>
      <c r="Q41" s="1001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48"/>
      <c r="N42" s="948"/>
      <c r="P42" s="34"/>
      <c r="Q42" s="1002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1003">
        <f>M41+N41</f>
        <v>3051337</v>
      </c>
      <c r="N45" s="1004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2" t="s">
        <v>11</v>
      </c>
      <c r="I69" s="903"/>
      <c r="J69" s="559"/>
      <c r="K69" s="1035">
        <f>I67+L67</f>
        <v>534683.29</v>
      </c>
      <c r="L69" s="1036"/>
      <c r="M69" s="272"/>
      <c r="N69" s="272"/>
      <c r="P69" s="34"/>
      <c r="Q69" s="13"/>
    </row>
    <row r="70" spans="1:17" x14ac:dyDescent="0.25">
      <c r="D70" s="908" t="s">
        <v>12</v>
      </c>
      <c r="E70" s="908"/>
      <c r="F70" s="312">
        <f>F67-K69-C67</f>
        <v>1883028.8699999999</v>
      </c>
      <c r="I70" s="102"/>
      <c r="J70" s="560"/>
    </row>
    <row r="71" spans="1:17" ht="18.75" x14ac:dyDescent="0.3">
      <c r="D71" s="938" t="s">
        <v>95</v>
      </c>
      <c r="E71" s="938"/>
      <c r="F71" s="111">
        <v>-2122394.9</v>
      </c>
      <c r="I71" s="909" t="s">
        <v>13</v>
      </c>
      <c r="J71" s="910"/>
      <c r="K71" s="911">
        <f>F73+F74+F75</f>
        <v>2367293.46</v>
      </c>
      <c r="L71" s="91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37">
        <f>-C4</f>
        <v>-2546982.16</v>
      </c>
      <c r="L73" s="911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91" t="s">
        <v>18</v>
      </c>
      <c r="E75" s="892"/>
      <c r="F75" s="113">
        <v>2355426.54</v>
      </c>
      <c r="I75" s="893" t="s">
        <v>97</v>
      </c>
      <c r="J75" s="894"/>
      <c r="K75" s="895">
        <f>K71+K73</f>
        <v>-179688.70000000019</v>
      </c>
      <c r="L75" s="89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95" t="s">
        <v>594</v>
      </c>
      <c r="I43" s="996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97"/>
      <c r="I44" s="998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99"/>
      <c r="I45" s="1000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91" t="s">
        <v>594</v>
      </c>
      <c r="I67" s="992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53" t="s">
        <v>207</v>
      </c>
      <c r="H68" s="993"/>
      <c r="I68" s="99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5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26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27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15"/>
      <c r="C1" s="957" t="s">
        <v>1025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18" ht="16.5" thickBot="1" x14ac:dyDescent="0.3">
      <c r="B2" s="916"/>
      <c r="C2" s="3"/>
      <c r="H2" s="5"/>
      <c r="I2" s="6"/>
      <c r="J2" s="7"/>
      <c r="L2" s="8"/>
      <c r="M2" s="6"/>
      <c r="N2" s="9"/>
    </row>
    <row r="3" spans="1:18" ht="21.75" thickBot="1" x14ac:dyDescent="0.35">
      <c r="B3" s="919" t="s">
        <v>0</v>
      </c>
      <c r="C3" s="920"/>
      <c r="D3" s="10"/>
      <c r="E3" s="553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922" t="s">
        <v>2</v>
      </c>
      <c r="F4" s="923"/>
      <c r="H4" s="924" t="s">
        <v>3</v>
      </c>
      <c r="I4" s="925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56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47">
        <f>SUM(M5:M40)</f>
        <v>2180659.5</v>
      </c>
      <c r="N41" s="947">
        <f>SUM(N5:N40)</f>
        <v>1072718</v>
      </c>
      <c r="P41" s="505">
        <f>SUM(P5:P40)</f>
        <v>4807723.83</v>
      </c>
      <c r="Q41" s="1001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48"/>
      <c r="N42" s="948"/>
      <c r="P42" s="34"/>
      <c r="Q42" s="1002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1003">
        <f>M41+N41</f>
        <v>3253377.5</v>
      </c>
      <c r="N45" s="100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2" t="s">
        <v>11</v>
      </c>
      <c r="I69" s="903"/>
      <c r="J69" s="559"/>
      <c r="K69" s="1035">
        <f>I67+L67</f>
        <v>515778.65000000026</v>
      </c>
      <c r="L69" s="1036"/>
      <c r="M69" s="272"/>
      <c r="N69" s="272"/>
      <c r="P69" s="34"/>
      <c r="Q69" s="13"/>
    </row>
    <row r="70" spans="1:17" x14ac:dyDescent="0.25">
      <c r="D70" s="908" t="s">
        <v>12</v>
      </c>
      <c r="E70" s="908"/>
      <c r="F70" s="312">
        <f>F67-K69-C67</f>
        <v>1573910.5599999998</v>
      </c>
      <c r="I70" s="102"/>
      <c r="J70" s="560"/>
    </row>
    <row r="71" spans="1:17" ht="18.75" x14ac:dyDescent="0.3">
      <c r="D71" s="938" t="s">
        <v>95</v>
      </c>
      <c r="E71" s="938"/>
      <c r="F71" s="111">
        <v>-1727771.26</v>
      </c>
      <c r="I71" s="909" t="s">
        <v>13</v>
      </c>
      <c r="J71" s="910"/>
      <c r="K71" s="911">
        <f>F73+F74+F75</f>
        <v>2141254.8899999997</v>
      </c>
      <c r="L71" s="91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37">
        <f>-C4</f>
        <v>-2355426.54</v>
      </c>
      <c r="L73" s="911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91" t="s">
        <v>18</v>
      </c>
      <c r="E75" s="892"/>
      <c r="F75" s="113">
        <v>2274653.09</v>
      </c>
      <c r="I75" s="1032" t="s">
        <v>97</v>
      </c>
      <c r="J75" s="1033"/>
      <c r="K75" s="1034">
        <f>K71+K73</f>
        <v>-214171.65000000037</v>
      </c>
      <c r="L75" s="1034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13" workbookViewId="0">
      <selection activeCell="H33" sqref="H33:K3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46" t="s">
        <v>1450</v>
      </c>
      <c r="I33" s="1047"/>
      <c r="J33" s="1047"/>
      <c r="K33" s="1048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46"/>
      <c r="I34" s="1047"/>
      <c r="J34" s="1047"/>
      <c r="K34" s="1048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95" t="s">
        <v>594</v>
      </c>
      <c r="I40" s="996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97"/>
      <c r="I41" s="998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99"/>
      <c r="I42" s="1000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91" t="s">
        <v>594</v>
      </c>
      <c r="I67" s="992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53" t="s">
        <v>207</v>
      </c>
      <c r="H68" s="993"/>
      <c r="I68" s="99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5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915"/>
      <c r="C1" s="957" t="s">
        <v>1142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19" ht="16.5" thickBot="1" x14ac:dyDescent="0.3">
      <c r="B2" s="916"/>
      <c r="C2" s="3"/>
      <c r="H2" s="5"/>
      <c r="I2" s="6"/>
      <c r="J2" s="7"/>
      <c r="L2" s="8"/>
      <c r="M2" s="6"/>
      <c r="N2" s="9"/>
    </row>
    <row r="3" spans="1:19" ht="21.75" thickBot="1" x14ac:dyDescent="0.35">
      <c r="B3" s="919" t="s">
        <v>0</v>
      </c>
      <c r="C3" s="920"/>
      <c r="D3" s="10"/>
      <c r="E3" s="553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922" t="s">
        <v>2</v>
      </c>
      <c r="F4" s="923"/>
      <c r="H4" s="924" t="s">
        <v>3</v>
      </c>
      <c r="I4" s="925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56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47">
        <f>SUM(M5:M40)</f>
        <v>1553743.1800000002</v>
      </c>
      <c r="N41" s="947">
        <f>SUM(N5:N40)</f>
        <v>1198132</v>
      </c>
      <c r="P41" s="505">
        <f>SUM(P5:P40)</f>
        <v>3384938.6799999997</v>
      </c>
      <c r="Q41" s="1001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48"/>
      <c r="N42" s="948"/>
      <c r="P42" s="34"/>
      <c r="Q42" s="1002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1003">
        <f>M41+N41</f>
        <v>2751875.18</v>
      </c>
      <c r="N45" s="100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2" t="s">
        <v>11</v>
      </c>
      <c r="I69" s="903"/>
      <c r="J69" s="559"/>
      <c r="K69" s="1035">
        <f>I67+L67</f>
        <v>573073.52</v>
      </c>
      <c r="L69" s="1036"/>
      <c r="M69" s="272"/>
      <c r="N69" s="272"/>
      <c r="P69" s="34"/>
      <c r="Q69" s="13"/>
    </row>
    <row r="70" spans="1:17" x14ac:dyDescent="0.25">
      <c r="D70" s="908" t="s">
        <v>12</v>
      </c>
      <c r="E70" s="908"/>
      <c r="F70" s="312">
        <f>F67-K69-C67</f>
        <v>1262114.75</v>
      </c>
      <c r="I70" s="102"/>
      <c r="J70" s="560"/>
    </row>
    <row r="71" spans="1:17" ht="18.75" x14ac:dyDescent="0.3">
      <c r="D71" s="938" t="s">
        <v>95</v>
      </c>
      <c r="E71" s="938"/>
      <c r="F71" s="111">
        <v>-1715125.23</v>
      </c>
      <c r="I71" s="909" t="s">
        <v>13</v>
      </c>
      <c r="J71" s="910"/>
      <c r="K71" s="911">
        <f>F73+F74+F75</f>
        <v>2249865.5500000003</v>
      </c>
      <c r="L71" s="91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37">
        <f>-C4</f>
        <v>-2274653.09</v>
      </c>
      <c r="L73" s="911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91" t="s">
        <v>18</v>
      </c>
      <c r="E75" s="892"/>
      <c r="F75" s="113">
        <v>2672555.9900000002</v>
      </c>
      <c r="I75" s="893" t="s">
        <v>97</v>
      </c>
      <c r="J75" s="894"/>
      <c r="K75" s="895">
        <f>K71+K73</f>
        <v>-24787.539999999572</v>
      </c>
      <c r="L75" s="895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46" t="s">
        <v>1450</v>
      </c>
      <c r="I37" s="1047"/>
      <c r="J37" s="1047"/>
      <c r="K37" s="1048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46"/>
      <c r="I38" s="1047"/>
      <c r="J38" s="1047"/>
      <c r="K38" s="1048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95" t="s">
        <v>594</v>
      </c>
      <c r="I40" s="996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97"/>
      <c r="I41" s="998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99"/>
      <c r="I42" s="1000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91" t="s">
        <v>594</v>
      </c>
      <c r="I67" s="992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53" t="s">
        <v>207</v>
      </c>
      <c r="H68" s="993"/>
      <c r="I68" s="994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54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55" t="s">
        <v>1376</v>
      </c>
      <c r="I73" s="1056"/>
      <c r="J73" s="1057"/>
      <c r="L73"/>
      <c r="M73"/>
    </row>
    <row r="74" spans="1:13" ht="18.75" customHeight="1" thickBot="1" x14ac:dyDescent="0.3">
      <c r="A74" s="98"/>
      <c r="B74" s="799"/>
      <c r="C74" s="129"/>
      <c r="D74" s="800"/>
      <c r="E74" s="1061" t="s">
        <v>1375</v>
      </c>
      <c r="F74" s="1062"/>
      <c r="H74" s="1058"/>
      <c r="I74" s="1059"/>
      <c r="J74" s="1060"/>
      <c r="L74"/>
      <c r="M74"/>
    </row>
    <row r="75" spans="1:13" ht="17.25" thickTop="1" thickBot="1" x14ac:dyDescent="0.3">
      <c r="A75" s="98"/>
      <c r="B75" s="799"/>
      <c r="C75" s="233"/>
      <c r="D75" s="800"/>
      <c r="E75" s="1063"/>
      <c r="F75" s="1064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50">
        <v>642271.04</v>
      </c>
      <c r="F77" s="1051"/>
      <c r="H77" s="1052">
        <v>584997.29</v>
      </c>
      <c r="I77" s="1053"/>
      <c r="J77" s="1054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49" t="s">
        <v>1377</v>
      </c>
      <c r="G80" s="1049"/>
      <c r="H80" s="1049"/>
      <c r="I80" s="1049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49"/>
      <c r="G81" s="1049"/>
      <c r="H81" s="1049"/>
      <c r="I81" s="1049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915"/>
      <c r="C1" s="957" t="s">
        <v>1244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22" ht="16.5" thickBot="1" x14ac:dyDescent="0.3">
      <c r="B2" s="916"/>
      <c r="C2" s="3"/>
      <c r="H2" s="5"/>
      <c r="I2" s="6"/>
      <c r="J2" s="7"/>
      <c r="L2" s="8"/>
      <c r="M2" s="6"/>
      <c r="N2" s="9"/>
    </row>
    <row r="3" spans="1:22" ht="21.75" thickBot="1" x14ac:dyDescent="0.35">
      <c r="B3" s="919" t="s">
        <v>0</v>
      </c>
      <c r="C3" s="920"/>
      <c r="D3" s="10"/>
      <c r="E3" s="553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922" t="s">
        <v>2</v>
      </c>
      <c r="F4" s="923"/>
      <c r="H4" s="924" t="s">
        <v>3</v>
      </c>
      <c r="I4" s="925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56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47">
        <f>SUM(M5:M40)</f>
        <v>2172487.6799999997</v>
      </c>
      <c r="N41" s="947">
        <f>SUM(N5:N40)</f>
        <v>1625219</v>
      </c>
      <c r="P41" s="505">
        <f>SUM(P5:P40)</f>
        <v>4566318.68</v>
      </c>
      <c r="Q41" s="1001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48"/>
      <c r="N42" s="948"/>
      <c r="P42" s="34"/>
      <c r="Q42" s="1002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1003">
        <f>M41+N41</f>
        <v>3797706.6799999997</v>
      </c>
      <c r="N45" s="1004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2" t="s">
        <v>11</v>
      </c>
      <c r="I69" s="903"/>
      <c r="J69" s="559"/>
      <c r="K69" s="1035">
        <f>I67+L67</f>
        <v>401450.39</v>
      </c>
      <c r="L69" s="1036"/>
      <c r="M69" s="272"/>
      <c r="N69" s="272"/>
      <c r="P69" s="34"/>
      <c r="Q69" s="13"/>
    </row>
    <row r="70" spans="1:17" x14ac:dyDescent="0.25">
      <c r="D70" s="908" t="s">
        <v>12</v>
      </c>
      <c r="E70" s="908"/>
      <c r="F70" s="312">
        <f>F67-K69-C67</f>
        <v>1484547.7999999998</v>
      </c>
      <c r="I70" s="102"/>
      <c r="J70" s="560"/>
    </row>
    <row r="71" spans="1:17" ht="18.75" x14ac:dyDescent="0.3">
      <c r="D71" s="938" t="s">
        <v>95</v>
      </c>
      <c r="E71" s="938"/>
      <c r="F71" s="111">
        <v>-2600214.79</v>
      </c>
      <c r="I71" s="909" t="s">
        <v>13</v>
      </c>
      <c r="J71" s="910"/>
      <c r="K71" s="911">
        <f>F73+F74+F75</f>
        <v>2724761.13</v>
      </c>
      <c r="L71" s="911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37">
        <f>-C4</f>
        <v>-2672555.9900000002</v>
      </c>
      <c r="L73" s="911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91" t="s">
        <v>18</v>
      </c>
      <c r="E75" s="892"/>
      <c r="F75" s="113">
        <v>3773503.4</v>
      </c>
      <c r="I75" s="1065" t="s">
        <v>198</v>
      </c>
      <c r="J75" s="1066"/>
      <c r="K75" s="1067">
        <f>K71+K73</f>
        <v>52205.139999999665</v>
      </c>
      <c r="L75" s="106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A25" workbookViewId="0">
      <selection activeCell="D45" sqref="D45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995" t="s">
        <v>594</v>
      </c>
      <c r="J40" s="996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97"/>
      <c r="J41" s="998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99"/>
      <c r="J42" s="1000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46" t="s">
        <v>1450</v>
      </c>
      <c r="J45" s="1047"/>
      <c r="K45" s="1047"/>
      <c r="L45" s="1048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46"/>
      <c r="J46" s="1047"/>
      <c r="K46" s="1047"/>
      <c r="L46" s="1048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991" t="s">
        <v>594</v>
      </c>
      <c r="J67" s="992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3" t="s">
        <v>207</v>
      </c>
      <c r="I68" s="993"/>
      <c r="J68" s="994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4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A49" workbookViewId="0">
      <selection activeCell="D81" sqref="D81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15"/>
      <c r="C1" s="957" t="s">
        <v>1378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18" ht="16.5" thickBot="1" x14ac:dyDescent="0.3">
      <c r="B2" s="916"/>
      <c r="C2" s="3"/>
      <c r="H2" s="5"/>
      <c r="I2" s="6"/>
      <c r="J2" s="7"/>
      <c r="L2" s="8"/>
      <c r="M2" s="6"/>
      <c r="N2" s="9"/>
    </row>
    <row r="3" spans="1:18" ht="21.75" thickBot="1" x14ac:dyDescent="0.35">
      <c r="B3" s="919" t="s">
        <v>0</v>
      </c>
      <c r="C3" s="920"/>
      <c r="D3" s="10"/>
      <c r="E3" s="553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922" t="s">
        <v>2</v>
      </c>
      <c r="F4" s="923"/>
      <c r="H4" s="924" t="s">
        <v>3</v>
      </c>
      <c r="I4" s="925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56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>
        <v>44841</v>
      </c>
      <c r="K39" s="663" t="s">
        <v>201</v>
      </c>
      <c r="L39" s="39">
        <v>549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>
        <v>44844</v>
      </c>
      <c r="K40" s="38" t="s">
        <v>824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>
        <v>44844</v>
      </c>
      <c r="K41" s="751" t="s">
        <v>830</v>
      </c>
      <c r="L41" s="39">
        <v>1856</v>
      </c>
      <c r="M41" s="947">
        <f>SUM(M5:M40)</f>
        <v>2247959.2000000002</v>
      </c>
      <c r="N41" s="947">
        <f>SUM(N5:N40)</f>
        <v>1207891</v>
      </c>
      <c r="P41" s="505">
        <f>SUM(P5:P40)</f>
        <v>4224165.1999999993</v>
      </c>
      <c r="Q41" s="1068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44848</v>
      </c>
      <c r="K42" s="752" t="s">
        <v>1564</v>
      </c>
      <c r="L42" s="702">
        <v>31059</v>
      </c>
      <c r="M42" s="948"/>
      <c r="N42" s="948"/>
      <c r="P42" s="34"/>
      <c r="Q42" s="1069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44848</v>
      </c>
      <c r="K43" s="751" t="s">
        <v>1565</v>
      </c>
      <c r="L43" s="39">
        <v>6032</v>
      </c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44852</v>
      </c>
      <c r="K44" s="38" t="s">
        <v>1566</v>
      </c>
      <c r="L44" s="39">
        <v>22100.639999999999</v>
      </c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44859</v>
      </c>
      <c r="K45" s="38" t="s">
        <v>840</v>
      </c>
      <c r="L45" s="39">
        <v>1126.45</v>
      </c>
      <c r="M45" s="1003">
        <f>M41+N41</f>
        <v>3455850.2</v>
      </c>
      <c r="N45" s="100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44860</v>
      </c>
      <c r="K46" s="38" t="s">
        <v>1565</v>
      </c>
      <c r="L46" s="39">
        <v>4176</v>
      </c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366706.42000000004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2" t="s">
        <v>11</v>
      </c>
      <c r="I69" s="903"/>
      <c r="J69" s="559"/>
      <c r="K69" s="1035">
        <f>I67+L67</f>
        <v>436784.42000000004</v>
      </c>
      <c r="L69" s="1036"/>
      <c r="M69" s="272"/>
      <c r="N69" s="272"/>
      <c r="P69" s="34"/>
      <c r="Q69" s="13"/>
    </row>
    <row r="70" spans="1:17" x14ac:dyDescent="0.25">
      <c r="D70" s="908" t="s">
        <v>12</v>
      </c>
      <c r="E70" s="908"/>
      <c r="F70" s="312">
        <f>F67-K69-C67</f>
        <v>3197994.58</v>
      </c>
      <c r="I70" s="102"/>
      <c r="J70" s="560"/>
    </row>
    <row r="71" spans="1:17" ht="18.75" x14ac:dyDescent="0.3">
      <c r="D71" s="938" t="s">
        <v>95</v>
      </c>
      <c r="E71" s="938"/>
      <c r="F71" s="111">
        <v>-2010648.49</v>
      </c>
      <c r="I71" s="909" t="s">
        <v>13</v>
      </c>
      <c r="J71" s="910"/>
      <c r="K71" s="911">
        <f>F73+F74+F75</f>
        <v>4262125.54</v>
      </c>
      <c r="L71" s="911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1010554.8900000001</v>
      </c>
      <c r="H73" s="555"/>
      <c r="I73" s="108" t="s">
        <v>15</v>
      </c>
      <c r="J73" s="109"/>
      <c r="K73" s="1037">
        <f>-C4</f>
        <v>-3773503.4</v>
      </c>
      <c r="L73" s="911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891" t="s">
        <v>18</v>
      </c>
      <c r="E75" s="892"/>
      <c r="F75" s="113">
        <v>3176585.65</v>
      </c>
      <c r="I75" s="1065" t="s">
        <v>198</v>
      </c>
      <c r="J75" s="1066"/>
      <c r="K75" s="1067">
        <f>K71+K73</f>
        <v>488622.14000000013</v>
      </c>
      <c r="L75" s="106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E25" workbookViewId="0">
      <selection activeCell="G77" sqref="G77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868">
        <v>44876</v>
      </c>
      <c r="F3" s="869">
        <v>88125.66</v>
      </c>
      <c r="G3" s="410">
        <f>D3-F3</f>
        <v>0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868">
        <v>44876</v>
      </c>
      <c r="F4" s="870">
        <v>56205.15</v>
      </c>
      <c r="G4" s="544">
        <f t="shared" ref="G4:G65" si="0">D4-F4</f>
        <v>0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868">
        <v>44876</v>
      </c>
      <c r="F5" s="870">
        <v>65950</v>
      </c>
      <c r="G5" s="544">
        <f t="shared" si="0"/>
        <v>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868">
        <v>44876</v>
      </c>
      <c r="F6" s="870">
        <v>11783.6</v>
      </c>
      <c r="G6" s="544">
        <f t="shared" si="0"/>
        <v>0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868">
        <v>44876</v>
      </c>
      <c r="F7" s="870">
        <v>43663.74</v>
      </c>
      <c r="G7" s="544">
        <f t="shared" si="0"/>
        <v>0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868">
        <v>44876</v>
      </c>
      <c r="F8" s="870">
        <v>134361.29999999999</v>
      </c>
      <c r="G8" s="544">
        <f t="shared" si="0"/>
        <v>0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31.5" x14ac:dyDescent="0.25">
      <c r="B9" s="454">
        <v>44842</v>
      </c>
      <c r="C9" s="246" t="s">
        <v>1419</v>
      </c>
      <c r="D9" s="111">
        <v>119152.93</v>
      </c>
      <c r="E9" s="871" t="s">
        <v>1534</v>
      </c>
      <c r="F9" s="872">
        <f>72563.05+46589.88</f>
        <v>119152.93</v>
      </c>
      <c r="G9" s="544">
        <f t="shared" si="0"/>
        <v>0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873">
        <v>44881</v>
      </c>
      <c r="F10" s="872">
        <v>56609.8</v>
      </c>
      <c r="G10" s="544">
        <f t="shared" si="0"/>
        <v>0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873">
        <v>44881</v>
      </c>
      <c r="F11" s="872">
        <v>11900.34</v>
      </c>
      <c r="G11" s="544">
        <f t="shared" si="0"/>
        <v>0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873">
        <v>44881</v>
      </c>
      <c r="F12" s="872">
        <v>4077.4</v>
      </c>
      <c r="G12" s="544">
        <f t="shared" si="0"/>
        <v>0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873">
        <v>44881</v>
      </c>
      <c r="F13" s="872">
        <v>34319.599999999999</v>
      </c>
      <c r="G13" s="544">
        <f t="shared" si="0"/>
        <v>0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31.5" x14ac:dyDescent="0.25">
      <c r="B14" s="454">
        <v>44845</v>
      </c>
      <c r="C14" s="246" t="s">
        <v>1424</v>
      </c>
      <c r="D14" s="111">
        <v>75381.73</v>
      </c>
      <c r="E14" s="874" t="s">
        <v>1535</v>
      </c>
      <c r="F14" s="876">
        <f>71661.48+3720.25</f>
        <v>75381.73</v>
      </c>
      <c r="G14" s="544">
        <f t="shared" si="0"/>
        <v>0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877">
        <v>44883</v>
      </c>
      <c r="F15" s="876">
        <v>16980.2</v>
      </c>
      <c r="G15" s="544">
        <f t="shared" si="0"/>
        <v>0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31.5" x14ac:dyDescent="0.25">
      <c r="B16" s="454">
        <v>44846</v>
      </c>
      <c r="C16" s="246" t="s">
        <v>1426</v>
      </c>
      <c r="D16" s="111">
        <v>105790.02</v>
      </c>
      <c r="E16" s="878" t="s">
        <v>1536</v>
      </c>
      <c r="F16" s="111">
        <f>101800.55+3989.47</f>
        <v>105790.02</v>
      </c>
      <c r="G16" s="544">
        <f t="shared" si="0"/>
        <v>0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1427</v>
      </c>
      <c r="D17" s="111">
        <v>24981.4</v>
      </c>
      <c r="E17" s="412">
        <v>44884</v>
      </c>
      <c r="F17" s="111">
        <v>24981.4</v>
      </c>
      <c r="G17" s="544">
        <f t="shared" si="0"/>
        <v>0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4" ht="31.5" x14ac:dyDescent="0.25">
      <c r="B18" s="454">
        <v>44848</v>
      </c>
      <c r="C18" s="246" t="s">
        <v>1428</v>
      </c>
      <c r="D18" s="111">
        <v>86391.58</v>
      </c>
      <c r="E18" s="834" t="s">
        <v>1537</v>
      </c>
      <c r="F18" s="879">
        <f>35513.13+50878.45</f>
        <v>86391.579999999987</v>
      </c>
      <c r="G18" s="544">
        <f t="shared" si="0"/>
        <v>0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4" ht="31.5" x14ac:dyDescent="0.25">
      <c r="B19" s="454">
        <v>44849</v>
      </c>
      <c r="C19" s="246" t="s">
        <v>1429</v>
      </c>
      <c r="D19" s="111">
        <v>94144.84</v>
      </c>
      <c r="E19" s="881" t="s">
        <v>1538</v>
      </c>
      <c r="F19" s="880">
        <f>52285.55+41859.29</f>
        <v>94144.84</v>
      </c>
      <c r="G19" s="544">
        <f t="shared" si="0"/>
        <v>0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1430</v>
      </c>
      <c r="D20" s="111">
        <v>70298.16</v>
      </c>
      <c r="E20" s="882">
        <v>44894</v>
      </c>
      <c r="F20" s="880">
        <v>70298.16</v>
      </c>
      <c r="G20" s="544">
        <f t="shared" si="0"/>
        <v>0</v>
      </c>
      <c r="I20" s="859" t="s">
        <v>1465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32.25" x14ac:dyDescent="0.3">
      <c r="B21" s="454">
        <v>44853</v>
      </c>
      <c r="C21" s="246" t="s">
        <v>1431</v>
      </c>
      <c r="D21" s="111">
        <v>146110.1</v>
      </c>
      <c r="E21" s="883" t="s">
        <v>1539</v>
      </c>
      <c r="F21" s="875">
        <f>100052.55+46057.55</f>
        <v>146110.1</v>
      </c>
      <c r="G21" s="544">
        <f t="shared" si="0"/>
        <v>0</v>
      </c>
      <c r="I21" s="859" t="s">
        <v>1466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1432</v>
      </c>
      <c r="D22" s="111">
        <v>57043.199999999997</v>
      </c>
      <c r="E22" s="884">
        <v>44897</v>
      </c>
      <c r="F22" s="875">
        <v>57043.199999999997</v>
      </c>
      <c r="G22" s="544">
        <f t="shared" si="0"/>
        <v>0</v>
      </c>
      <c r="H22" s="644"/>
      <c r="I22" s="859" t="s">
        <v>1467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1433</v>
      </c>
      <c r="D23" s="111">
        <v>20156.400000000001</v>
      </c>
      <c r="E23" s="884">
        <v>44897</v>
      </c>
      <c r="F23" s="875">
        <v>20156.400000000001</v>
      </c>
      <c r="G23" s="544">
        <f t="shared" si="0"/>
        <v>0</v>
      </c>
      <c r="H23" s="2"/>
      <c r="I23" s="859" t="s">
        <v>1468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21" customHeight="1" x14ac:dyDescent="0.25">
      <c r="B24" s="454">
        <v>44854</v>
      </c>
      <c r="C24" s="246" t="s">
        <v>1434</v>
      </c>
      <c r="D24" s="111">
        <v>27112.25</v>
      </c>
      <c r="E24" s="884">
        <v>44897</v>
      </c>
      <c r="F24" s="875">
        <v>8517.35</v>
      </c>
      <c r="G24" s="544">
        <f t="shared" si="0"/>
        <v>18594.900000000001</v>
      </c>
      <c r="H24" s="2"/>
      <c r="I24" s="858" t="s">
        <v>1468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1435</v>
      </c>
      <c r="D25" s="111">
        <v>89839.6</v>
      </c>
      <c r="E25" s="412"/>
      <c r="F25" s="111"/>
      <c r="G25" s="544">
        <f t="shared" si="0"/>
        <v>89839.6</v>
      </c>
      <c r="H25" s="645"/>
      <c r="I25" s="858" t="s">
        <v>1469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1436</v>
      </c>
      <c r="D26" s="111">
        <v>63880.7</v>
      </c>
      <c r="E26" s="412"/>
      <c r="F26" s="111"/>
      <c r="G26" s="544">
        <f t="shared" si="0"/>
        <v>63880.7</v>
      </c>
      <c r="H26" s="645"/>
      <c r="I26" s="858" t="s">
        <v>1470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1437</v>
      </c>
      <c r="D27" s="111">
        <v>33646.400000000001</v>
      </c>
      <c r="E27" s="412"/>
      <c r="F27" s="111"/>
      <c r="G27" s="544">
        <f t="shared" si="0"/>
        <v>33646.400000000001</v>
      </c>
      <c r="H27" s="645"/>
      <c r="I27" s="858" t="s">
        <v>1471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15.75" x14ac:dyDescent="0.25">
      <c r="B28" s="454">
        <v>44859</v>
      </c>
      <c r="C28" s="246" t="s">
        <v>1438</v>
      </c>
      <c r="D28" s="111">
        <v>103246.58</v>
      </c>
      <c r="E28" s="412"/>
      <c r="F28" s="111"/>
      <c r="G28" s="544">
        <f t="shared" si="0"/>
        <v>103246.58</v>
      </c>
      <c r="H28" s="645"/>
      <c r="I28" s="859" t="s">
        <v>1471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15.75" x14ac:dyDescent="0.25">
      <c r="B29" s="454">
        <v>44860</v>
      </c>
      <c r="C29" s="246" t="s">
        <v>1439</v>
      </c>
      <c r="D29" s="111">
        <v>144593.79999999999</v>
      </c>
      <c r="E29" s="412"/>
      <c r="F29" s="111"/>
      <c r="G29" s="544">
        <f t="shared" si="0"/>
        <v>144593.79999999999</v>
      </c>
      <c r="H29" s="645"/>
      <c r="I29" s="859" t="s">
        <v>1472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1440</v>
      </c>
      <c r="D30" s="111">
        <v>89553.91</v>
      </c>
      <c r="E30" s="412"/>
      <c r="F30" s="111"/>
      <c r="G30" s="544">
        <f t="shared" si="0"/>
        <v>89553.91</v>
      </c>
      <c r="H30" s="645"/>
      <c r="I30" s="859" t="s">
        <v>1472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1441</v>
      </c>
      <c r="D31" s="111">
        <v>24569.3</v>
      </c>
      <c r="E31" s="412"/>
      <c r="F31" s="111"/>
      <c r="G31" s="544">
        <f t="shared" si="0"/>
        <v>24569.3</v>
      </c>
      <c r="H31" s="2"/>
      <c r="I31" s="858" t="s">
        <v>1473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1442</v>
      </c>
      <c r="D32" s="111">
        <v>3740</v>
      </c>
      <c r="E32" s="412"/>
      <c r="F32" s="111"/>
      <c r="G32" s="544">
        <f t="shared" si="0"/>
        <v>3740</v>
      </c>
      <c r="H32" s="2"/>
      <c r="I32" s="859" t="s">
        <v>1473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/>
      <c r="F33" s="111"/>
      <c r="G33" s="544">
        <f t="shared" si="0"/>
        <v>107038.8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46" t="s">
        <v>1474</v>
      </c>
      <c r="J36" s="1047"/>
      <c r="K36" s="1047"/>
      <c r="L36" s="1048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46"/>
      <c r="J37" s="1047"/>
      <c r="K37" s="1047"/>
      <c r="L37" s="1048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95" t="s">
        <v>594</v>
      </c>
      <c r="J40" s="996"/>
      <c r="K40" s="69"/>
      <c r="L40" s="253"/>
      <c r="M40" s="69"/>
      <c r="N40" s="137">
        <f t="shared" si="1"/>
        <v>96391.2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97"/>
      <c r="J41" s="998"/>
      <c r="K41" s="69"/>
      <c r="L41" s="253"/>
      <c r="M41" s="69"/>
      <c r="N41" s="137">
        <f t="shared" si="1"/>
        <v>96391.2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99"/>
      <c r="J42" s="1000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1331944.5</v>
      </c>
      <c r="G67" s="153">
        <f>SUM(G3:G66)</f>
        <v>678703.99000000011</v>
      </c>
      <c r="I67" s="991" t="s">
        <v>594</v>
      </c>
      <c r="J67" s="992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3" t="s">
        <v>207</v>
      </c>
      <c r="I68" s="993"/>
      <c r="J68" s="994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4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D72" s="307">
        <v>46589.88</v>
      </c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D73" s="111">
        <v>56609.8</v>
      </c>
      <c r="E73" s="456"/>
      <c r="F73"/>
      <c r="H73" s="2"/>
      <c r="I73" s="792"/>
      <c r="J73" s="793"/>
      <c r="K73" s="794"/>
      <c r="L73" s="794"/>
      <c r="M73"/>
      <c r="N73"/>
    </row>
    <row r="74" spans="2:14" ht="15.75" x14ac:dyDescent="0.25">
      <c r="C74" s="194"/>
      <c r="D74" s="111">
        <v>11900.34</v>
      </c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111">
        <v>4077.4</v>
      </c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111">
        <v>34319.599999999999</v>
      </c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111">
        <v>71661.48</v>
      </c>
      <c r="E77" s="456"/>
      <c r="I77"/>
      <c r="J77"/>
      <c r="K77"/>
      <c r="M77"/>
      <c r="N77"/>
    </row>
    <row r="78" spans="2:14" ht="15.75" x14ac:dyDescent="0.25">
      <c r="C78" s="194"/>
      <c r="D78" s="111">
        <v>0</v>
      </c>
      <c r="E78" s="456"/>
      <c r="I78"/>
      <c r="J78"/>
      <c r="K78"/>
      <c r="M78"/>
      <c r="N78"/>
    </row>
    <row r="79" spans="2:14" ht="15.75" x14ac:dyDescent="0.25">
      <c r="C79" s="194"/>
      <c r="D79" s="111">
        <v>0</v>
      </c>
      <c r="E79" s="456"/>
      <c r="I79"/>
      <c r="J79"/>
      <c r="K79"/>
      <c r="M79"/>
      <c r="N79"/>
    </row>
    <row r="80" spans="2:14" ht="15.75" x14ac:dyDescent="0.25">
      <c r="C80" s="194"/>
      <c r="D80" s="111">
        <v>0</v>
      </c>
      <c r="E80" s="456"/>
      <c r="I80"/>
      <c r="J80"/>
      <c r="K80"/>
      <c r="M80"/>
      <c r="N80"/>
    </row>
    <row r="81" spans="3:14" ht="15.75" x14ac:dyDescent="0.25">
      <c r="C81" s="116"/>
      <c r="D81" s="111">
        <v>0</v>
      </c>
      <c r="E81" s="456"/>
      <c r="I81"/>
      <c r="J81"/>
      <c r="K81"/>
      <c r="M81"/>
      <c r="N81"/>
    </row>
    <row r="82" spans="3:14" ht="15.75" x14ac:dyDescent="0.25">
      <c r="C82" s="116"/>
      <c r="D82" s="111">
        <v>0</v>
      </c>
      <c r="E82" s="456"/>
      <c r="I82"/>
      <c r="J82"/>
      <c r="K82"/>
      <c r="M82"/>
      <c r="N82"/>
    </row>
    <row r="83" spans="3:14" ht="15.75" x14ac:dyDescent="0.25">
      <c r="C83" s="116"/>
      <c r="D83" s="233">
        <f>SUM(D72:D82)</f>
        <v>225158.5</v>
      </c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opLeftCell="A28" workbookViewId="0">
      <selection activeCell="F82" sqref="F82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15"/>
      <c r="C1" s="957" t="s">
        <v>1475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18" ht="16.5" thickBot="1" x14ac:dyDescent="0.3">
      <c r="B2" s="916"/>
      <c r="C2" s="3"/>
      <c r="H2" s="5"/>
      <c r="I2" s="6"/>
      <c r="J2" s="7"/>
      <c r="L2" s="8"/>
      <c r="M2" s="6"/>
      <c r="N2" s="9"/>
    </row>
    <row r="3" spans="1:18" ht="21.75" thickBot="1" x14ac:dyDescent="0.35">
      <c r="B3" s="919" t="s">
        <v>0</v>
      </c>
      <c r="C3" s="920"/>
      <c r="D3" s="10"/>
      <c r="E3" s="553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922" t="s">
        <v>2</v>
      </c>
      <c r="F4" s="923"/>
      <c r="H4" s="924" t="s">
        <v>3</v>
      </c>
      <c r="I4" s="925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56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7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864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>
        <v>18157</v>
      </c>
      <c r="D12" s="35" t="s">
        <v>1484</v>
      </c>
      <c r="E12" s="27">
        <v>44872</v>
      </c>
      <c r="F12" s="28">
        <v>152397</v>
      </c>
      <c r="G12" s="572"/>
      <c r="H12" s="29">
        <v>44872</v>
      </c>
      <c r="I12" s="30">
        <v>6309</v>
      </c>
      <c r="J12" s="37"/>
      <c r="K12" s="169"/>
      <c r="L12" s="39"/>
      <c r="M12" s="32">
        <f>8000+50243+6297</f>
        <v>64540</v>
      </c>
      <c r="N12" s="33">
        <v>63391</v>
      </c>
      <c r="O12" s="176" t="s">
        <v>937</v>
      </c>
      <c r="P12" s="39">
        <f t="shared" si="1"/>
        <v>152397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>
        <v>28211</v>
      </c>
      <c r="D13" s="42" t="s">
        <v>1485</v>
      </c>
      <c r="E13" s="27">
        <v>44873</v>
      </c>
      <c r="F13" s="28">
        <v>138088</v>
      </c>
      <c r="G13" s="572"/>
      <c r="H13" s="29">
        <v>44873</v>
      </c>
      <c r="I13" s="30">
        <v>2096</v>
      </c>
      <c r="J13" s="37"/>
      <c r="K13" s="38"/>
      <c r="L13" s="39"/>
      <c r="M13" s="32">
        <f>55772+14000</f>
        <v>69772</v>
      </c>
      <c r="N13" s="33">
        <v>38009</v>
      </c>
      <c r="O13" s="176" t="s">
        <v>937</v>
      </c>
      <c r="P13" s="39">
        <f>N13+M13+L13+I13+C13</f>
        <v>138088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>
        <v>20066</v>
      </c>
      <c r="D14" s="40" t="s">
        <v>1486</v>
      </c>
      <c r="E14" s="27">
        <v>44874</v>
      </c>
      <c r="F14" s="28">
        <v>140007</v>
      </c>
      <c r="G14" s="572"/>
      <c r="H14" s="29">
        <v>44874</v>
      </c>
      <c r="I14" s="30">
        <v>981</v>
      </c>
      <c r="J14" s="37"/>
      <c r="K14" s="38"/>
      <c r="L14" s="39"/>
      <c r="M14" s="32">
        <f>9691+15824+53847+6000</f>
        <v>85362</v>
      </c>
      <c r="N14" s="33">
        <v>33598</v>
      </c>
      <c r="O14" s="176" t="s">
        <v>937</v>
      </c>
      <c r="P14" s="39">
        <f t="shared" si="1"/>
        <v>140007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>
        <v>7548.5</v>
      </c>
      <c r="D15" s="40" t="s">
        <v>1487</v>
      </c>
      <c r="E15" s="27">
        <v>44875</v>
      </c>
      <c r="F15" s="28">
        <v>117829</v>
      </c>
      <c r="G15" s="572"/>
      <c r="H15" s="29">
        <v>44875</v>
      </c>
      <c r="I15" s="30">
        <v>1224</v>
      </c>
      <c r="J15" s="37"/>
      <c r="K15" s="38"/>
      <c r="L15" s="39"/>
      <c r="M15" s="32">
        <f>6000+67980.5</f>
        <v>73980.5</v>
      </c>
      <c r="N15" s="33">
        <v>35076</v>
      </c>
      <c r="O15" s="176" t="s">
        <v>937</v>
      </c>
      <c r="P15" s="39">
        <f t="shared" si="1"/>
        <v>117829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>
        <v>14040</v>
      </c>
      <c r="D16" s="35" t="s">
        <v>1488</v>
      </c>
      <c r="E16" s="27">
        <v>44876</v>
      </c>
      <c r="F16" s="28">
        <v>125361</v>
      </c>
      <c r="G16" s="572"/>
      <c r="H16" s="29">
        <v>44876</v>
      </c>
      <c r="I16" s="30">
        <v>1235</v>
      </c>
      <c r="J16" s="37"/>
      <c r="K16" s="169"/>
      <c r="L16" s="9"/>
      <c r="M16" s="32">
        <f>10000+67084</f>
        <v>77084</v>
      </c>
      <c r="N16" s="33">
        <v>32902</v>
      </c>
      <c r="O16" s="176" t="s">
        <v>937</v>
      </c>
      <c r="P16" s="39">
        <f t="shared" si="1"/>
        <v>125261</v>
      </c>
      <c r="Q16" s="865">
        <f t="shared" si="0"/>
        <v>-100</v>
      </c>
      <c r="R16" s="319">
        <v>0</v>
      </c>
    </row>
    <row r="17" spans="1:18" ht="18" thickBot="1" x14ac:dyDescent="0.35">
      <c r="A17" s="23"/>
      <c r="B17" s="24">
        <v>44877</v>
      </c>
      <c r="C17" s="25">
        <v>8101</v>
      </c>
      <c r="D17" s="42" t="s">
        <v>1489</v>
      </c>
      <c r="E17" s="27">
        <v>44877</v>
      </c>
      <c r="F17" s="28">
        <v>153045</v>
      </c>
      <c r="G17" s="572"/>
      <c r="H17" s="29">
        <v>44877</v>
      </c>
      <c r="I17" s="30">
        <v>2768</v>
      </c>
      <c r="J17" s="37">
        <v>44877</v>
      </c>
      <c r="K17" s="785" t="s">
        <v>1490</v>
      </c>
      <c r="L17" s="45">
        <v>20062</v>
      </c>
      <c r="M17" s="32">
        <f>57720+358</f>
        <v>58078</v>
      </c>
      <c r="N17" s="33">
        <v>64036</v>
      </c>
      <c r="O17" s="176" t="s">
        <v>937</v>
      </c>
      <c r="P17" s="39">
        <f t="shared" si="1"/>
        <v>153045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>
        <v>35473</v>
      </c>
      <c r="D18" s="35" t="s">
        <v>1492</v>
      </c>
      <c r="E18" s="27">
        <v>44878</v>
      </c>
      <c r="F18" s="28">
        <v>91719</v>
      </c>
      <c r="G18" s="572"/>
      <c r="H18" s="29">
        <v>44878</v>
      </c>
      <c r="I18" s="30">
        <v>1557</v>
      </c>
      <c r="J18" s="37"/>
      <c r="K18" s="564"/>
      <c r="L18" s="39"/>
      <c r="M18" s="32">
        <v>16374</v>
      </c>
      <c r="N18" s="33">
        <v>38315</v>
      </c>
      <c r="O18" s="176" t="s">
        <v>937</v>
      </c>
      <c r="P18" s="39">
        <f t="shared" si="1"/>
        <v>91719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25">
        <v>20931</v>
      </c>
      <c r="D19" s="35" t="s">
        <v>1493</v>
      </c>
      <c r="E19" s="27">
        <v>44879</v>
      </c>
      <c r="F19" s="28">
        <v>130095</v>
      </c>
      <c r="G19" s="572"/>
      <c r="H19" s="29">
        <v>44879</v>
      </c>
      <c r="I19" s="30">
        <v>8571</v>
      </c>
      <c r="J19" s="37"/>
      <c r="K19" s="863"/>
      <c r="L19" s="47"/>
      <c r="M19" s="32">
        <f>56661+11262.5</f>
        <v>67923.5</v>
      </c>
      <c r="N19" s="33">
        <v>32669</v>
      </c>
      <c r="O19" s="176" t="s">
        <v>937</v>
      </c>
      <c r="P19" s="39">
        <f t="shared" si="1"/>
        <v>130094.5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>
        <v>16767</v>
      </c>
      <c r="D20" s="35" t="s">
        <v>1494</v>
      </c>
      <c r="E20" s="27">
        <v>44880</v>
      </c>
      <c r="F20" s="28">
        <v>16023</v>
      </c>
      <c r="G20" s="572"/>
      <c r="H20" s="29">
        <v>44880</v>
      </c>
      <c r="I20" s="30">
        <v>1507</v>
      </c>
      <c r="J20" s="37"/>
      <c r="K20" s="171"/>
      <c r="L20" s="45"/>
      <c r="M20" s="32">
        <f>6219.92+21000+7885+65840</f>
        <v>100944.92</v>
      </c>
      <c r="N20" s="33">
        <v>41011</v>
      </c>
      <c r="O20" s="176" t="s">
        <v>937</v>
      </c>
      <c r="P20" s="39">
        <f t="shared" si="1"/>
        <v>160229.91999999998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>
        <v>19179</v>
      </c>
      <c r="D21" s="35" t="s">
        <v>1495</v>
      </c>
      <c r="E21" s="27">
        <v>44881</v>
      </c>
      <c r="F21" s="28">
        <v>148682</v>
      </c>
      <c r="G21" s="572"/>
      <c r="H21" s="29">
        <v>44881</v>
      </c>
      <c r="I21" s="30">
        <v>1326</v>
      </c>
      <c r="J21" s="37"/>
      <c r="K21" s="565"/>
      <c r="L21" s="45"/>
      <c r="M21" s="32">
        <f>10541+20070.6+64484</f>
        <v>95095.6</v>
      </c>
      <c r="N21" s="33">
        <v>33081</v>
      </c>
      <c r="O21" s="867" t="s">
        <v>1501</v>
      </c>
      <c r="P21" s="39">
        <f t="shared" si="1"/>
        <v>148681.60000000001</v>
      </c>
      <c r="Q21" s="325">
        <f t="shared" si="0"/>
        <v>-0.39999999999417923</v>
      </c>
      <c r="R21" s="319">
        <v>0</v>
      </c>
    </row>
    <row r="22" spans="1:18" ht="18" thickBot="1" x14ac:dyDescent="0.35">
      <c r="A22" s="23"/>
      <c r="B22" s="24">
        <v>44882</v>
      </c>
      <c r="C22" s="25">
        <v>12383</v>
      </c>
      <c r="D22" s="35" t="s">
        <v>1496</v>
      </c>
      <c r="E22" s="27">
        <v>44882</v>
      </c>
      <c r="F22" s="28">
        <v>114401</v>
      </c>
      <c r="G22" s="572"/>
      <c r="H22" s="29">
        <v>44882</v>
      </c>
      <c r="I22" s="30">
        <v>1099</v>
      </c>
      <c r="J22" s="37"/>
      <c r="K22" s="773"/>
      <c r="L22" s="49"/>
      <c r="M22" s="32">
        <v>66340</v>
      </c>
      <c r="N22" s="33">
        <v>34579</v>
      </c>
      <c r="O22" s="176" t="s">
        <v>937</v>
      </c>
      <c r="P22" s="39">
        <f t="shared" si="1"/>
        <v>114401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>
        <v>12769</v>
      </c>
      <c r="D23" s="35" t="s">
        <v>1497</v>
      </c>
      <c r="E23" s="27">
        <v>44883</v>
      </c>
      <c r="F23" s="28">
        <v>118501</v>
      </c>
      <c r="G23" s="572"/>
      <c r="H23" s="29">
        <v>44883</v>
      </c>
      <c r="I23" s="30">
        <v>1900</v>
      </c>
      <c r="J23" s="50"/>
      <c r="K23" s="172"/>
      <c r="L23" s="45"/>
      <c r="M23" s="32">
        <v>100000</v>
      </c>
      <c r="N23" s="33">
        <v>32060</v>
      </c>
      <c r="O23" s="31" t="s">
        <v>1498</v>
      </c>
      <c r="P23" s="39">
        <f t="shared" si="1"/>
        <v>146729</v>
      </c>
      <c r="Q23" s="866">
        <f t="shared" si="0"/>
        <v>28228</v>
      </c>
      <c r="R23" s="319">
        <v>0</v>
      </c>
    </row>
    <row r="24" spans="1:18" ht="18" customHeight="1" thickBot="1" x14ac:dyDescent="0.35">
      <c r="A24" s="23"/>
      <c r="B24" s="24">
        <v>44884</v>
      </c>
      <c r="C24" s="25">
        <v>11863</v>
      </c>
      <c r="D24" s="42" t="s">
        <v>1499</v>
      </c>
      <c r="E24" s="27">
        <v>44884</v>
      </c>
      <c r="F24" s="28">
        <v>165515</v>
      </c>
      <c r="G24" s="572"/>
      <c r="H24" s="29">
        <v>44884</v>
      </c>
      <c r="I24" s="30">
        <v>8036</v>
      </c>
      <c r="J24" s="51">
        <v>44884</v>
      </c>
      <c r="K24" s="172" t="s">
        <v>1500</v>
      </c>
      <c r="L24" s="52">
        <v>18380</v>
      </c>
      <c r="M24" s="32">
        <v>36824</v>
      </c>
      <c r="N24" s="33">
        <v>62184</v>
      </c>
      <c r="O24" s="176" t="s">
        <v>937</v>
      </c>
      <c r="P24" s="39">
        <f>N24+M24+L24+I24+C24</f>
        <v>137287</v>
      </c>
      <c r="Q24" s="418">
        <f t="shared" si="0"/>
        <v>-28228</v>
      </c>
      <c r="R24" s="319">
        <v>0</v>
      </c>
    </row>
    <row r="25" spans="1:18" ht="18" thickBot="1" x14ac:dyDescent="0.35">
      <c r="A25" s="23"/>
      <c r="B25" s="24">
        <v>44885</v>
      </c>
      <c r="C25" s="25">
        <v>650</v>
      </c>
      <c r="D25" s="35" t="s">
        <v>1282</v>
      </c>
      <c r="E25" s="27">
        <v>44885</v>
      </c>
      <c r="F25" s="28">
        <v>122010</v>
      </c>
      <c r="G25" s="572"/>
      <c r="H25" s="29">
        <v>44885</v>
      </c>
      <c r="I25" s="30">
        <v>1592</v>
      </c>
      <c r="J25" s="50"/>
      <c r="K25" s="38"/>
      <c r="L25" s="54"/>
      <c r="M25" s="32">
        <v>82437</v>
      </c>
      <c r="N25" s="33">
        <v>37331</v>
      </c>
      <c r="O25" s="867" t="s">
        <v>1501</v>
      </c>
      <c r="P25" s="283">
        <f t="shared" si="1"/>
        <v>122010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>
        <v>13119</v>
      </c>
      <c r="D26" s="35" t="s">
        <v>1502</v>
      </c>
      <c r="E26" s="27">
        <v>44886</v>
      </c>
      <c r="F26" s="28">
        <v>100398</v>
      </c>
      <c r="G26" s="572"/>
      <c r="H26" s="29">
        <v>44886</v>
      </c>
      <c r="I26" s="30">
        <v>991</v>
      </c>
      <c r="J26" s="37"/>
      <c r="K26" s="728"/>
      <c r="L26" s="729"/>
      <c r="M26" s="32">
        <f>17563+33430</f>
        <v>50993</v>
      </c>
      <c r="N26" s="33">
        <v>35295</v>
      </c>
      <c r="O26" s="867" t="s">
        <v>1501</v>
      </c>
      <c r="P26" s="283">
        <f t="shared" si="1"/>
        <v>100398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>
        <v>24001</v>
      </c>
      <c r="D27" s="42" t="s">
        <v>1503</v>
      </c>
      <c r="E27" s="27">
        <v>44887</v>
      </c>
      <c r="F27" s="28">
        <v>129876</v>
      </c>
      <c r="G27" s="572"/>
      <c r="H27" s="29">
        <v>44887</v>
      </c>
      <c r="I27" s="30">
        <v>1957</v>
      </c>
      <c r="J27" s="55"/>
      <c r="K27" s="174"/>
      <c r="L27" s="54"/>
      <c r="M27" s="32">
        <f>44439+8444.8</f>
        <v>52883.8</v>
      </c>
      <c r="N27" s="33">
        <v>51034</v>
      </c>
      <c r="O27" s="867" t="s">
        <v>1501</v>
      </c>
      <c r="P27" s="283">
        <f t="shared" si="1"/>
        <v>129875.8</v>
      </c>
      <c r="Q27" s="325">
        <f t="shared" si="0"/>
        <v>-0.19999999999708962</v>
      </c>
      <c r="R27" s="319">
        <v>0</v>
      </c>
    </row>
    <row r="28" spans="1:18" ht="18" customHeight="1" thickBot="1" x14ac:dyDescent="0.35">
      <c r="A28" s="23"/>
      <c r="B28" s="24">
        <v>44888</v>
      </c>
      <c r="C28" s="25">
        <v>6680</v>
      </c>
      <c r="D28" s="42" t="s">
        <v>1504</v>
      </c>
      <c r="E28" s="27">
        <v>44888</v>
      </c>
      <c r="F28" s="28">
        <v>109545</v>
      </c>
      <c r="G28" s="572"/>
      <c r="H28" s="29">
        <v>44888</v>
      </c>
      <c r="I28" s="30">
        <v>1482</v>
      </c>
      <c r="J28" s="56"/>
      <c r="K28" s="57"/>
      <c r="L28" s="54"/>
      <c r="M28" s="32">
        <f>55288+7477+1143</f>
        <v>63908</v>
      </c>
      <c r="N28" s="33">
        <v>37475</v>
      </c>
      <c r="O28" s="867" t="s">
        <v>1501</v>
      </c>
      <c r="P28" s="283">
        <f t="shared" si="1"/>
        <v>109545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>
        <v>7169</v>
      </c>
      <c r="D29" s="58" t="s">
        <v>328</v>
      </c>
      <c r="E29" s="27">
        <v>44889</v>
      </c>
      <c r="F29" s="28">
        <v>107327</v>
      </c>
      <c r="G29" s="572"/>
      <c r="H29" s="29">
        <v>44889</v>
      </c>
      <c r="I29" s="30">
        <v>1936.5</v>
      </c>
      <c r="J29" s="59"/>
      <c r="K29" s="175"/>
      <c r="L29" s="54"/>
      <c r="M29" s="32">
        <v>62625.5</v>
      </c>
      <c r="N29" s="33">
        <v>35596</v>
      </c>
      <c r="O29" s="176" t="s">
        <v>937</v>
      </c>
      <c r="P29" s="283">
        <f t="shared" si="1"/>
        <v>107327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>
        <v>7888</v>
      </c>
      <c r="D30" s="58" t="s">
        <v>1499</v>
      </c>
      <c r="E30" s="27">
        <v>44890</v>
      </c>
      <c r="F30" s="28">
        <v>144750</v>
      </c>
      <c r="G30" s="572"/>
      <c r="H30" s="29">
        <v>44890</v>
      </c>
      <c r="I30" s="30">
        <v>2052</v>
      </c>
      <c r="J30" s="56"/>
      <c r="K30" s="38"/>
      <c r="L30" s="39"/>
      <c r="M30" s="32">
        <v>97853</v>
      </c>
      <c r="N30" s="33">
        <v>36957</v>
      </c>
      <c r="O30" s="176" t="s">
        <v>937</v>
      </c>
      <c r="P30" s="283">
        <f t="shared" si="1"/>
        <v>144750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>
        <v>18955</v>
      </c>
      <c r="D31" s="67" t="s">
        <v>1505</v>
      </c>
      <c r="E31" s="27">
        <v>44891</v>
      </c>
      <c r="F31" s="28">
        <v>171631</v>
      </c>
      <c r="G31" s="572"/>
      <c r="H31" s="29">
        <v>44891</v>
      </c>
      <c r="I31" s="30">
        <v>3150.5</v>
      </c>
      <c r="J31" s="56">
        <v>44891</v>
      </c>
      <c r="K31" s="821" t="s">
        <v>1506</v>
      </c>
      <c r="L31" s="54">
        <v>20071</v>
      </c>
      <c r="M31" s="32">
        <f>8465.1+63787.5</f>
        <v>72252.600000000006</v>
      </c>
      <c r="N31" s="33">
        <v>57202</v>
      </c>
      <c r="O31" s="176" t="s">
        <v>937</v>
      </c>
      <c r="P31" s="34">
        <f t="shared" si="1"/>
        <v>171631.1</v>
      </c>
      <c r="Q31" s="325">
        <f t="shared" si="0"/>
        <v>0.10000000000582077</v>
      </c>
      <c r="R31" s="319">
        <v>0</v>
      </c>
    </row>
    <row r="32" spans="1:18" ht="18" thickBot="1" x14ac:dyDescent="0.35">
      <c r="A32" s="23"/>
      <c r="B32" s="24">
        <v>44892</v>
      </c>
      <c r="C32" s="25">
        <v>0</v>
      </c>
      <c r="D32" s="64"/>
      <c r="E32" s="27">
        <v>44892</v>
      </c>
      <c r="F32" s="28">
        <v>90630</v>
      </c>
      <c r="G32" s="572"/>
      <c r="H32" s="29">
        <v>44892</v>
      </c>
      <c r="I32" s="30">
        <v>925</v>
      </c>
      <c r="J32" s="56"/>
      <c r="K32" s="38"/>
      <c r="L32" s="39"/>
      <c r="M32" s="32">
        <v>52428</v>
      </c>
      <c r="N32" s="33">
        <v>37277</v>
      </c>
      <c r="O32" s="176" t="s">
        <v>937</v>
      </c>
      <c r="P32" s="34">
        <f t="shared" si="1"/>
        <v>90630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39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44877</v>
      </c>
      <c r="K35" s="740" t="s">
        <v>1491</v>
      </c>
      <c r="L35" s="702">
        <v>20516.759999999998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44862</v>
      </c>
      <c r="C36" s="693">
        <v>10932</v>
      </c>
      <c r="D36" s="786" t="s">
        <v>1567</v>
      </c>
      <c r="E36" s="27"/>
      <c r="F36" s="28"/>
      <c r="G36" s="662"/>
      <c r="H36" s="29"/>
      <c r="I36" s="30"/>
      <c r="J36" s="56">
        <v>44884</v>
      </c>
      <c r="K36" s="751" t="s">
        <v>111</v>
      </c>
      <c r="L36" s="39">
        <v>18158.84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44862</v>
      </c>
      <c r="C37" s="692">
        <v>11075</v>
      </c>
      <c r="D37" s="742" t="s">
        <v>1567</v>
      </c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44862</v>
      </c>
      <c r="C38" s="692">
        <v>6147</v>
      </c>
      <c r="D38" s="742" t="s">
        <v>1567</v>
      </c>
      <c r="E38" s="27"/>
      <c r="F38" s="28"/>
      <c r="G38" s="662"/>
      <c r="H38" s="29"/>
      <c r="I38" s="30"/>
      <c r="J38" s="56">
        <v>44869</v>
      </c>
      <c r="K38" s="663" t="s">
        <v>824</v>
      </c>
      <c r="L38" s="39">
        <v>4006.5</v>
      </c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44862</v>
      </c>
      <c r="C39" s="692">
        <v>200000</v>
      </c>
      <c r="D39" s="695" t="s">
        <v>979</v>
      </c>
      <c r="E39" s="27"/>
      <c r="F39" s="508"/>
      <c r="G39" s="662"/>
      <c r="H39" s="29"/>
      <c r="I39" s="71"/>
      <c r="J39" s="56">
        <v>44869</v>
      </c>
      <c r="K39" s="663" t="s">
        <v>834</v>
      </c>
      <c r="L39" s="39">
        <v>4698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>
        <v>44865</v>
      </c>
      <c r="C40" s="692">
        <v>6879.33</v>
      </c>
      <c r="D40" s="742" t="s">
        <v>1568</v>
      </c>
      <c r="E40" s="27"/>
      <c r="F40" s="70"/>
      <c r="G40" s="572"/>
      <c r="H40" s="36"/>
      <c r="I40" s="71"/>
      <c r="J40" s="56">
        <v>44869</v>
      </c>
      <c r="K40" s="38" t="s">
        <v>826</v>
      </c>
      <c r="L40" s="39">
        <v>28000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44866</v>
      </c>
      <c r="C41" s="692">
        <v>192259.20000000001</v>
      </c>
      <c r="D41" s="697" t="s">
        <v>979</v>
      </c>
      <c r="E41" s="74"/>
      <c r="F41" s="75"/>
      <c r="G41" s="572"/>
      <c r="H41" s="76"/>
      <c r="I41" s="77"/>
      <c r="J41" s="56">
        <v>44872</v>
      </c>
      <c r="K41" s="751" t="s">
        <v>1569</v>
      </c>
      <c r="L41" s="39">
        <v>29894.35</v>
      </c>
      <c r="M41" s="947">
        <f>SUM(M5:M40)</f>
        <v>1976342.9200000002</v>
      </c>
      <c r="N41" s="947">
        <f>SUM(N5:N40)</f>
        <v>1174373</v>
      </c>
      <c r="P41" s="505">
        <f>SUM(P5:P40)</f>
        <v>3702973.3</v>
      </c>
      <c r="Q41" s="1068">
        <f>SUM(Q5:Q40)</f>
        <v>-100.11999999998079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44874</v>
      </c>
      <c r="K42" s="752" t="s">
        <v>825</v>
      </c>
      <c r="L42" s="702">
        <v>2320</v>
      </c>
      <c r="M42" s="948"/>
      <c r="N42" s="948"/>
      <c r="P42" s="34"/>
      <c r="Q42" s="1069"/>
      <c r="R42" s="788">
        <f>SUM(R5:R41)</f>
        <v>39446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44879</v>
      </c>
      <c r="K43" s="751" t="s">
        <v>830</v>
      </c>
      <c r="L43" s="39">
        <v>1856</v>
      </c>
      <c r="M43" s="861"/>
      <c r="N43" s="861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61"/>
      <c r="N44" s="861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1003">
        <f>M41+N41</f>
        <v>3150715.92</v>
      </c>
      <c r="N45" s="100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61"/>
      <c r="N46" s="861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61"/>
      <c r="N47" s="861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61"/>
      <c r="N48" s="861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829422.03</v>
      </c>
      <c r="D67" s="88"/>
      <c r="E67" s="91" t="s">
        <v>8</v>
      </c>
      <c r="F67" s="90">
        <f>SUM(F5:F60)</f>
        <v>3519421</v>
      </c>
      <c r="G67" s="573"/>
      <c r="H67" s="91" t="s">
        <v>9</v>
      </c>
      <c r="I67" s="92">
        <f>SUM(I5:I60)</f>
        <v>73932</v>
      </c>
      <c r="J67" s="93"/>
      <c r="K67" s="94" t="s">
        <v>10</v>
      </c>
      <c r="L67" s="95">
        <f>SUM(L5:L65)-L26</f>
        <v>205161.22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2" t="s">
        <v>11</v>
      </c>
      <c r="I69" s="903"/>
      <c r="J69" s="559"/>
      <c r="K69" s="1035">
        <f>I67+L67</f>
        <v>279093.21999999997</v>
      </c>
      <c r="L69" s="1036"/>
      <c r="M69" s="272"/>
      <c r="N69" s="272"/>
      <c r="P69" s="34"/>
      <c r="Q69" s="13"/>
    </row>
    <row r="70" spans="1:17" x14ac:dyDescent="0.25">
      <c r="D70" s="908" t="s">
        <v>12</v>
      </c>
      <c r="E70" s="908"/>
      <c r="F70" s="312">
        <f>F67-K69-C67</f>
        <v>2410905.75</v>
      </c>
      <c r="I70" s="102"/>
      <c r="J70" s="560"/>
    </row>
    <row r="71" spans="1:17" ht="18.75" x14ac:dyDescent="0.3">
      <c r="D71" s="938" t="s">
        <v>95</v>
      </c>
      <c r="E71" s="938"/>
      <c r="F71" s="111">
        <v>-1884182.28</v>
      </c>
      <c r="I71" s="909" t="s">
        <v>13</v>
      </c>
      <c r="J71" s="910"/>
      <c r="K71" s="911">
        <f>F73+F74+F75</f>
        <v>4251710.88</v>
      </c>
      <c r="L71" s="911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-129244.66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397478.80999999994</v>
      </c>
      <c r="H73" s="555"/>
      <c r="I73" s="108" t="s">
        <v>15</v>
      </c>
      <c r="J73" s="109"/>
      <c r="K73" s="1037">
        <f>-C4</f>
        <v>-3176585.65</v>
      </c>
      <c r="L73" s="911"/>
    </row>
    <row r="74" spans="1:17" ht="16.5" thickBot="1" x14ac:dyDescent="0.3">
      <c r="D74" s="110" t="s">
        <v>16</v>
      </c>
      <c r="E74" s="98" t="s">
        <v>17</v>
      </c>
      <c r="F74" s="111">
        <v>408827</v>
      </c>
    </row>
    <row r="75" spans="1:17" ht="20.25" thickTop="1" thickBot="1" x14ac:dyDescent="0.35">
      <c r="C75" s="112">
        <v>44892</v>
      </c>
      <c r="D75" s="891" t="s">
        <v>18</v>
      </c>
      <c r="E75" s="892"/>
      <c r="F75" s="113">
        <v>3445405.07</v>
      </c>
      <c r="I75" s="1065" t="s">
        <v>198</v>
      </c>
      <c r="J75" s="1066"/>
      <c r="K75" s="1067">
        <f>K71+K73</f>
        <v>1075125.23</v>
      </c>
      <c r="L75" s="106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39" right="0.16" top="0.34" bottom="0.26" header="0.3" footer="0.3"/>
  <pageSetup paperSize="5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23"/>
  <sheetViews>
    <sheetView topLeftCell="A19" workbookViewId="0">
      <selection activeCell="C34" sqref="C34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44865</v>
      </c>
      <c r="C3" s="845" t="s">
        <v>1507</v>
      </c>
      <c r="D3" s="307">
        <v>123171.5</v>
      </c>
      <c r="E3" s="732"/>
      <c r="F3" s="307"/>
      <c r="G3" s="410">
        <f>D3-F3</f>
        <v>123171.5</v>
      </c>
      <c r="I3" s="886" t="s">
        <v>1540</v>
      </c>
      <c r="J3" s="501">
        <v>10737</v>
      </c>
      <c r="K3" s="502">
        <v>9640</v>
      </c>
      <c r="L3" s="732"/>
      <c r="M3" s="349"/>
      <c r="N3" s="183">
        <f>K3-M3</f>
        <v>9640</v>
      </c>
    </row>
    <row r="4" spans="2:14" ht="18.75" x14ac:dyDescent="0.3">
      <c r="B4" s="454">
        <v>44865</v>
      </c>
      <c r="C4" s="246" t="s">
        <v>1508</v>
      </c>
      <c r="D4" s="111">
        <v>7344</v>
      </c>
      <c r="E4" s="412"/>
      <c r="F4" s="111"/>
      <c r="G4" s="544">
        <f t="shared" ref="G4:G65" si="0">D4-F4</f>
        <v>7344</v>
      </c>
      <c r="H4" s="138"/>
      <c r="I4" s="393" t="s">
        <v>1541</v>
      </c>
      <c r="J4" s="391">
        <v>10741</v>
      </c>
      <c r="K4" s="392">
        <v>440</v>
      </c>
      <c r="L4" s="732"/>
      <c r="M4" s="349"/>
      <c r="N4" s="137">
        <f>N3+K4-M4</f>
        <v>10080</v>
      </c>
    </row>
    <row r="5" spans="2:14" ht="15.75" x14ac:dyDescent="0.25">
      <c r="B5" s="454">
        <v>44865</v>
      </c>
      <c r="C5" s="246" t="s">
        <v>1509</v>
      </c>
      <c r="D5" s="111">
        <v>7910.6</v>
      </c>
      <c r="E5" s="412"/>
      <c r="F5" s="111"/>
      <c r="G5" s="544">
        <f t="shared" si="0"/>
        <v>7910.6</v>
      </c>
      <c r="I5" s="500" t="s">
        <v>1542</v>
      </c>
      <c r="J5" s="501">
        <v>10753</v>
      </c>
      <c r="K5" s="502">
        <v>3932.4</v>
      </c>
      <c r="L5" s="732"/>
      <c r="M5" s="349"/>
      <c r="N5" s="137">
        <f t="shared" ref="N5:N65" si="1">N4+K5-M5</f>
        <v>14012.4</v>
      </c>
    </row>
    <row r="6" spans="2:14" ht="15.75" x14ac:dyDescent="0.25">
      <c r="B6" s="454">
        <v>44866</v>
      </c>
      <c r="C6" s="246" t="s">
        <v>1510</v>
      </c>
      <c r="D6" s="111">
        <v>30194.62</v>
      </c>
      <c r="E6" s="412"/>
      <c r="F6" s="111"/>
      <c r="G6" s="544">
        <f t="shared" si="0"/>
        <v>30194.62</v>
      </c>
      <c r="I6" s="497" t="s">
        <v>1543</v>
      </c>
      <c r="J6" s="498">
        <v>10772</v>
      </c>
      <c r="K6" s="499">
        <v>550</v>
      </c>
      <c r="L6" s="732"/>
      <c r="M6" s="349"/>
      <c r="N6" s="137">
        <f t="shared" si="1"/>
        <v>14562.4</v>
      </c>
    </row>
    <row r="7" spans="2:14" ht="15.75" x14ac:dyDescent="0.25">
      <c r="B7" s="454">
        <v>44867</v>
      </c>
      <c r="C7" s="246" t="s">
        <v>1511</v>
      </c>
      <c r="D7" s="111">
        <v>154190.75</v>
      </c>
      <c r="E7" s="412"/>
      <c r="F7" s="111"/>
      <c r="G7" s="544">
        <f t="shared" si="0"/>
        <v>154190.75</v>
      </c>
      <c r="I7" s="500" t="s">
        <v>1544</v>
      </c>
      <c r="J7" s="501">
        <v>10783</v>
      </c>
      <c r="K7" s="502">
        <v>18950</v>
      </c>
      <c r="L7" s="732"/>
      <c r="M7" s="349"/>
      <c r="N7" s="137">
        <f t="shared" si="1"/>
        <v>33512.400000000001</v>
      </c>
    </row>
    <row r="8" spans="2:14" ht="15.75" x14ac:dyDescent="0.25">
      <c r="B8" s="454">
        <v>44868</v>
      </c>
      <c r="C8" s="246" t="s">
        <v>1512</v>
      </c>
      <c r="D8" s="111">
        <v>30140.240000000002</v>
      </c>
      <c r="E8" s="412"/>
      <c r="F8" s="111"/>
      <c r="G8" s="544">
        <f t="shared" si="0"/>
        <v>30140.240000000002</v>
      </c>
      <c r="I8" s="497" t="s">
        <v>1545</v>
      </c>
      <c r="J8" s="498">
        <v>10794</v>
      </c>
      <c r="K8" s="499">
        <v>924</v>
      </c>
      <c r="L8" s="732"/>
      <c r="M8" s="349"/>
      <c r="N8" s="137">
        <f t="shared" si="1"/>
        <v>34436.400000000001</v>
      </c>
    </row>
    <row r="9" spans="2:14" ht="15.75" x14ac:dyDescent="0.25">
      <c r="B9" s="454">
        <v>44869</v>
      </c>
      <c r="C9" s="246" t="s">
        <v>1513</v>
      </c>
      <c r="D9" s="111">
        <v>53530.58</v>
      </c>
      <c r="E9" s="412"/>
      <c r="F9" s="111"/>
      <c r="G9" s="544">
        <f t="shared" si="0"/>
        <v>53530.58</v>
      </c>
      <c r="I9" s="500" t="s">
        <v>1546</v>
      </c>
      <c r="J9" s="501">
        <v>10795</v>
      </c>
      <c r="K9" s="502">
        <v>330</v>
      </c>
      <c r="L9" s="732"/>
      <c r="M9" s="349"/>
      <c r="N9" s="137">
        <f t="shared" si="1"/>
        <v>34766.400000000001</v>
      </c>
    </row>
    <row r="10" spans="2:14" ht="18.75" x14ac:dyDescent="0.3">
      <c r="B10" s="454">
        <v>44870</v>
      </c>
      <c r="C10" s="246" t="s">
        <v>1514</v>
      </c>
      <c r="D10" s="111">
        <v>99250.02</v>
      </c>
      <c r="E10" s="412"/>
      <c r="F10" s="111"/>
      <c r="G10" s="544">
        <f t="shared" si="0"/>
        <v>99250.02</v>
      </c>
      <c r="H10" s="138"/>
      <c r="I10" s="393" t="s">
        <v>1547</v>
      </c>
      <c r="J10" s="391">
        <v>10801</v>
      </c>
      <c r="K10" s="392">
        <v>1134</v>
      </c>
      <c r="L10" s="732"/>
      <c r="M10" s="349"/>
      <c r="N10" s="137">
        <f t="shared" si="1"/>
        <v>35900.400000000001</v>
      </c>
    </row>
    <row r="11" spans="2:14" ht="15.75" x14ac:dyDescent="0.25">
      <c r="B11" s="454">
        <v>44872</v>
      </c>
      <c r="C11" s="246" t="s">
        <v>1515</v>
      </c>
      <c r="D11" s="111">
        <v>24540.97</v>
      </c>
      <c r="E11" s="412"/>
      <c r="F11" s="111"/>
      <c r="G11" s="544">
        <f t="shared" si="0"/>
        <v>24540.97</v>
      </c>
      <c r="I11" s="887" t="s">
        <v>1548</v>
      </c>
      <c r="J11" s="888">
        <v>10808</v>
      </c>
      <c r="K11" s="889">
        <v>440</v>
      </c>
      <c r="L11" s="732"/>
      <c r="M11" s="349"/>
      <c r="N11" s="137">
        <f t="shared" si="1"/>
        <v>36340.400000000001</v>
      </c>
    </row>
    <row r="12" spans="2:14" ht="15.75" x14ac:dyDescent="0.25">
      <c r="B12" s="454">
        <v>44873</v>
      </c>
      <c r="C12" s="246" t="s">
        <v>1516</v>
      </c>
      <c r="D12" s="111">
        <v>73144.320000000007</v>
      </c>
      <c r="E12" s="412"/>
      <c r="F12" s="111"/>
      <c r="G12" s="544">
        <f t="shared" si="0"/>
        <v>73144.320000000007</v>
      </c>
      <c r="I12" s="393" t="s">
        <v>1548</v>
      </c>
      <c r="J12" s="391">
        <v>10809</v>
      </c>
      <c r="K12" s="392">
        <v>110</v>
      </c>
      <c r="L12" s="732"/>
      <c r="M12" s="349"/>
      <c r="N12" s="137">
        <f t="shared" si="1"/>
        <v>36450.400000000001</v>
      </c>
    </row>
    <row r="13" spans="2:14" ht="15.75" x14ac:dyDescent="0.25">
      <c r="B13" s="454">
        <v>44874</v>
      </c>
      <c r="C13" s="246" t="s">
        <v>1517</v>
      </c>
      <c r="D13" s="111">
        <v>12870.6</v>
      </c>
      <c r="E13" s="412"/>
      <c r="F13" s="111"/>
      <c r="G13" s="544">
        <f t="shared" si="0"/>
        <v>12870.6</v>
      </c>
      <c r="I13" s="887" t="s">
        <v>1549</v>
      </c>
      <c r="J13" s="888">
        <v>10824</v>
      </c>
      <c r="K13" s="889">
        <v>360</v>
      </c>
      <c r="L13" s="732"/>
      <c r="M13" s="349"/>
      <c r="N13" s="137">
        <f t="shared" si="1"/>
        <v>36810.400000000001</v>
      </c>
    </row>
    <row r="14" spans="2:14" ht="15.75" x14ac:dyDescent="0.25">
      <c r="B14" s="454">
        <v>44875</v>
      </c>
      <c r="C14" s="246" t="s">
        <v>1518</v>
      </c>
      <c r="D14" s="111">
        <v>65232.92</v>
      </c>
      <c r="E14" s="412"/>
      <c r="F14" s="111"/>
      <c r="G14" s="544">
        <f t="shared" si="0"/>
        <v>65232.92</v>
      </c>
      <c r="I14" s="497" t="s">
        <v>1550</v>
      </c>
      <c r="J14" s="498">
        <v>10832</v>
      </c>
      <c r="K14" s="499">
        <v>15521.6</v>
      </c>
      <c r="L14" s="732"/>
      <c r="M14" s="349"/>
      <c r="N14" s="137">
        <f t="shared" si="1"/>
        <v>52332</v>
      </c>
    </row>
    <row r="15" spans="2:14" ht="15.75" x14ac:dyDescent="0.25">
      <c r="B15" s="454">
        <v>44876</v>
      </c>
      <c r="C15" s="246" t="s">
        <v>1519</v>
      </c>
      <c r="D15" s="111">
        <v>83013.039999999994</v>
      </c>
      <c r="E15" s="412"/>
      <c r="F15" s="111"/>
      <c r="G15" s="544">
        <f t="shared" si="0"/>
        <v>83013.039999999994</v>
      </c>
      <c r="I15" s="500" t="s">
        <v>1551</v>
      </c>
      <c r="J15" s="501">
        <v>10843</v>
      </c>
      <c r="K15" s="502">
        <v>600</v>
      </c>
      <c r="L15" s="732"/>
      <c r="M15" s="349"/>
      <c r="N15" s="137">
        <f t="shared" si="1"/>
        <v>52932</v>
      </c>
    </row>
    <row r="16" spans="2:14" ht="15.75" x14ac:dyDescent="0.25">
      <c r="B16" s="454">
        <v>44877</v>
      </c>
      <c r="C16" s="246" t="s">
        <v>1520</v>
      </c>
      <c r="D16" s="111">
        <v>131948.72</v>
      </c>
      <c r="E16" s="412"/>
      <c r="F16" s="111"/>
      <c r="G16" s="544">
        <f t="shared" si="0"/>
        <v>131948.72</v>
      </c>
      <c r="I16" s="393" t="s">
        <v>1552</v>
      </c>
      <c r="J16" s="391">
        <v>10857</v>
      </c>
      <c r="K16" s="392">
        <v>9200</v>
      </c>
      <c r="L16" s="732"/>
      <c r="M16" s="349"/>
      <c r="N16" s="137">
        <f t="shared" si="1"/>
        <v>62132</v>
      </c>
    </row>
    <row r="17" spans="2:14" ht="15.75" x14ac:dyDescent="0.25">
      <c r="B17" s="454">
        <v>44879</v>
      </c>
      <c r="C17" s="246" t="s">
        <v>1521</v>
      </c>
      <c r="D17" s="111">
        <v>37599.68</v>
      </c>
      <c r="E17" s="412"/>
      <c r="F17" s="111"/>
      <c r="G17" s="544">
        <f t="shared" si="0"/>
        <v>37599.68</v>
      </c>
      <c r="I17" s="887" t="s">
        <v>1552</v>
      </c>
      <c r="J17" s="888">
        <v>10862</v>
      </c>
      <c r="K17" s="889">
        <v>480</v>
      </c>
      <c r="L17" s="732"/>
      <c r="M17" s="349"/>
      <c r="N17" s="137">
        <f t="shared" si="1"/>
        <v>62612</v>
      </c>
    </row>
    <row r="18" spans="2:14" ht="15.75" x14ac:dyDescent="0.25">
      <c r="B18" s="454">
        <v>44880</v>
      </c>
      <c r="C18" s="246" t="s">
        <v>1522</v>
      </c>
      <c r="D18" s="111">
        <v>23481.200000000001</v>
      </c>
      <c r="E18" s="412"/>
      <c r="F18" s="111"/>
      <c r="G18" s="544">
        <f t="shared" si="0"/>
        <v>23481.200000000001</v>
      </c>
      <c r="I18" s="497" t="s">
        <v>1553</v>
      </c>
      <c r="J18" s="498">
        <v>10864</v>
      </c>
      <c r="K18" s="499">
        <v>360</v>
      </c>
      <c r="L18" s="732"/>
      <c r="M18" s="349"/>
      <c r="N18" s="137">
        <f t="shared" si="1"/>
        <v>62972</v>
      </c>
    </row>
    <row r="19" spans="2:14" ht="15.75" x14ac:dyDescent="0.25">
      <c r="B19" s="454">
        <v>44881</v>
      </c>
      <c r="C19" s="246" t="s">
        <v>1523</v>
      </c>
      <c r="D19" s="111">
        <v>89195.38</v>
      </c>
      <c r="E19" s="412"/>
      <c r="F19" s="111"/>
      <c r="G19" s="544">
        <f t="shared" si="0"/>
        <v>89195.38</v>
      </c>
      <c r="I19" s="500" t="s">
        <v>1554</v>
      </c>
      <c r="J19" s="501">
        <v>10871</v>
      </c>
      <c r="K19" s="502">
        <v>360</v>
      </c>
      <c r="L19" s="732"/>
      <c r="M19" s="349"/>
      <c r="N19" s="137">
        <f t="shared" si="1"/>
        <v>63332</v>
      </c>
    </row>
    <row r="20" spans="2:14" ht="17.25" x14ac:dyDescent="0.3">
      <c r="B20" s="454">
        <v>44882</v>
      </c>
      <c r="C20" s="246" t="s">
        <v>1524</v>
      </c>
      <c r="D20" s="111">
        <v>70308.98</v>
      </c>
      <c r="E20" s="412"/>
      <c r="F20" s="111"/>
      <c r="G20" s="544">
        <f t="shared" si="0"/>
        <v>70308.98</v>
      </c>
      <c r="I20" s="497" t="s">
        <v>1555</v>
      </c>
      <c r="J20" s="498">
        <v>10885</v>
      </c>
      <c r="K20" s="499">
        <v>18765</v>
      </c>
      <c r="L20" s="732"/>
      <c r="M20" s="706"/>
      <c r="N20" s="137">
        <f t="shared" si="1"/>
        <v>82097</v>
      </c>
    </row>
    <row r="21" spans="2:14" ht="17.25" x14ac:dyDescent="0.3">
      <c r="B21" s="454">
        <v>44883</v>
      </c>
      <c r="C21" s="246" t="s">
        <v>1525</v>
      </c>
      <c r="D21" s="111">
        <v>139090.9</v>
      </c>
      <c r="E21" s="412"/>
      <c r="F21" s="111"/>
      <c r="G21" s="544">
        <f t="shared" si="0"/>
        <v>139090.9</v>
      </c>
      <c r="I21" s="887" t="s">
        <v>1556</v>
      </c>
      <c r="J21" s="888">
        <v>10895</v>
      </c>
      <c r="K21" s="889">
        <v>4480</v>
      </c>
      <c r="L21" s="732"/>
      <c r="M21" s="706"/>
      <c r="N21" s="137">
        <f t="shared" si="1"/>
        <v>86577</v>
      </c>
    </row>
    <row r="22" spans="2:14" ht="18.75" x14ac:dyDescent="0.3">
      <c r="B22" s="454">
        <v>44884</v>
      </c>
      <c r="C22" s="246" t="s">
        <v>1526</v>
      </c>
      <c r="D22" s="111">
        <v>51462.14</v>
      </c>
      <c r="E22" s="412"/>
      <c r="F22" s="111"/>
      <c r="G22" s="544">
        <f t="shared" si="0"/>
        <v>51462.14</v>
      </c>
      <c r="H22" s="644"/>
      <c r="I22" s="393" t="s">
        <v>1557</v>
      </c>
      <c r="J22" s="391">
        <v>10903</v>
      </c>
      <c r="K22" s="392">
        <v>600</v>
      </c>
      <c r="L22" s="732"/>
      <c r="M22" s="706"/>
      <c r="N22" s="137">
        <f t="shared" si="1"/>
        <v>87177</v>
      </c>
    </row>
    <row r="23" spans="2:14" ht="15.75" x14ac:dyDescent="0.25">
      <c r="B23" s="454">
        <v>44886</v>
      </c>
      <c r="C23" s="246" t="s">
        <v>1527</v>
      </c>
      <c r="D23" s="111">
        <v>78579.7</v>
      </c>
      <c r="E23" s="412"/>
      <c r="F23" s="111"/>
      <c r="G23" s="544">
        <f t="shared" si="0"/>
        <v>78579.7</v>
      </c>
      <c r="H23" s="2"/>
      <c r="I23" s="887" t="s">
        <v>1558</v>
      </c>
      <c r="J23" s="888">
        <v>10914</v>
      </c>
      <c r="K23" s="889">
        <v>10403</v>
      </c>
      <c r="L23" s="412"/>
      <c r="M23" s="111"/>
      <c r="N23" s="137">
        <f t="shared" si="1"/>
        <v>97580</v>
      </c>
    </row>
    <row r="24" spans="2:14" ht="21" customHeight="1" x14ac:dyDescent="0.25">
      <c r="B24" s="454">
        <v>44886</v>
      </c>
      <c r="C24" s="246" t="s">
        <v>1528</v>
      </c>
      <c r="D24" s="111">
        <v>140884.20000000001</v>
      </c>
      <c r="E24" s="412"/>
      <c r="F24" s="111"/>
      <c r="G24" s="544">
        <f t="shared" si="0"/>
        <v>140884.20000000001</v>
      </c>
      <c r="H24" s="2"/>
      <c r="I24" s="497" t="s">
        <v>1559</v>
      </c>
      <c r="J24" s="498">
        <v>10922</v>
      </c>
      <c r="K24" s="499">
        <v>360</v>
      </c>
      <c r="L24" s="412"/>
      <c r="M24" s="111"/>
      <c r="N24" s="137">
        <f t="shared" si="1"/>
        <v>97940</v>
      </c>
    </row>
    <row r="25" spans="2:14" ht="15.75" x14ac:dyDescent="0.25">
      <c r="B25" s="454">
        <v>44887</v>
      </c>
      <c r="C25" s="246" t="s">
        <v>1529</v>
      </c>
      <c r="D25" s="111">
        <v>36300.57</v>
      </c>
      <c r="E25" s="412"/>
      <c r="F25" s="111"/>
      <c r="G25" s="544">
        <f t="shared" si="0"/>
        <v>36300.57</v>
      </c>
      <c r="H25" s="645"/>
      <c r="I25" s="887" t="s">
        <v>1560</v>
      </c>
      <c r="J25" s="888">
        <v>10937</v>
      </c>
      <c r="K25" s="889">
        <v>480</v>
      </c>
      <c r="L25" s="412"/>
      <c r="M25" s="111"/>
      <c r="N25" s="137">
        <f t="shared" si="1"/>
        <v>98420</v>
      </c>
    </row>
    <row r="26" spans="2:14" ht="15.75" x14ac:dyDescent="0.25">
      <c r="B26" s="454">
        <v>44888</v>
      </c>
      <c r="C26" s="246" t="s">
        <v>1530</v>
      </c>
      <c r="D26" s="111">
        <v>88444.52</v>
      </c>
      <c r="E26" s="412"/>
      <c r="F26" s="111"/>
      <c r="G26" s="544">
        <f t="shared" si="0"/>
        <v>88444.52</v>
      </c>
      <c r="H26" s="645"/>
      <c r="I26" s="497" t="s">
        <v>1561</v>
      </c>
      <c r="J26" s="498">
        <v>10945</v>
      </c>
      <c r="K26" s="499">
        <v>29384.66</v>
      </c>
      <c r="L26" s="412"/>
      <c r="M26" s="111"/>
      <c r="N26" s="137">
        <f t="shared" si="1"/>
        <v>127804.66</v>
      </c>
    </row>
    <row r="27" spans="2:14" ht="15.75" x14ac:dyDescent="0.25">
      <c r="B27" s="454">
        <v>44889</v>
      </c>
      <c r="C27" s="246" t="s">
        <v>1531</v>
      </c>
      <c r="D27" s="111">
        <v>14951.9</v>
      </c>
      <c r="E27" s="412"/>
      <c r="F27" s="111"/>
      <c r="G27" s="544">
        <f t="shared" si="0"/>
        <v>14951.9</v>
      </c>
      <c r="H27" s="645"/>
      <c r="I27" s="500" t="s">
        <v>1562</v>
      </c>
      <c r="J27" s="501">
        <v>10953</v>
      </c>
      <c r="K27" s="502">
        <v>1080</v>
      </c>
      <c r="L27" s="412"/>
      <c r="M27" s="111"/>
      <c r="N27" s="137">
        <f t="shared" si="1"/>
        <v>128884.66</v>
      </c>
    </row>
    <row r="28" spans="2:14" ht="15.75" x14ac:dyDescent="0.25">
      <c r="B28" s="454">
        <v>44890</v>
      </c>
      <c r="C28" s="246" t="s">
        <v>1532</v>
      </c>
      <c r="D28" s="111">
        <v>141455.91</v>
      </c>
      <c r="E28" s="412"/>
      <c r="F28" s="111"/>
      <c r="G28" s="544">
        <f t="shared" si="0"/>
        <v>141455.91</v>
      </c>
      <c r="H28" s="645"/>
      <c r="I28" s="497" t="s">
        <v>1563</v>
      </c>
      <c r="J28" s="498">
        <v>10966</v>
      </c>
      <c r="K28" s="499">
        <v>360</v>
      </c>
      <c r="L28" s="412"/>
      <c r="M28" s="111"/>
      <c r="N28" s="137">
        <f t="shared" si="1"/>
        <v>129244.66</v>
      </c>
    </row>
    <row r="29" spans="2:14" ht="15.75" x14ac:dyDescent="0.25">
      <c r="B29" s="454">
        <v>44891</v>
      </c>
      <c r="C29" s="246" t="s">
        <v>1533</v>
      </c>
      <c r="D29" s="111">
        <v>75944.320000000007</v>
      </c>
      <c r="E29" s="412"/>
      <c r="F29" s="111"/>
      <c r="G29" s="544">
        <f t="shared" si="0"/>
        <v>75944.320000000007</v>
      </c>
      <c r="H29" s="645"/>
      <c r="I29" s="862"/>
      <c r="J29" s="347"/>
      <c r="K29" s="349"/>
      <c r="L29" s="412"/>
      <c r="M29" s="111"/>
      <c r="N29" s="137">
        <f t="shared" si="1"/>
        <v>129244.66</v>
      </c>
    </row>
    <row r="30" spans="2:14" ht="15.75" x14ac:dyDescent="0.25">
      <c r="B30" s="454"/>
      <c r="C30" s="246"/>
      <c r="D30" s="111"/>
      <c r="E30" s="412"/>
      <c r="F30" s="111"/>
      <c r="G30" s="544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129244.66</v>
      </c>
    </row>
    <row r="31" spans="2:14" ht="15.75" x14ac:dyDescent="0.25">
      <c r="B31" s="454"/>
      <c r="C31" s="246"/>
      <c r="D31" s="111"/>
      <c r="E31" s="412"/>
      <c r="F31" s="111"/>
      <c r="G31" s="544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129244.66</v>
      </c>
    </row>
    <row r="32" spans="2:14" ht="15.75" x14ac:dyDescent="0.25">
      <c r="B32" s="454"/>
      <c r="C32" s="246"/>
      <c r="D32" s="111"/>
      <c r="E32" s="412"/>
      <c r="F32" s="111"/>
      <c r="G32" s="544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129244.66</v>
      </c>
    </row>
    <row r="33" spans="2:14" ht="15.75" x14ac:dyDescent="0.25">
      <c r="B33" s="454"/>
      <c r="C33" s="246"/>
      <c r="D33" s="111"/>
      <c r="E33" s="412"/>
      <c r="F33" s="111"/>
      <c r="G33" s="544">
        <f t="shared" si="0"/>
        <v>0</v>
      </c>
      <c r="I33" s="393"/>
      <c r="J33" s="391"/>
      <c r="K33" s="392"/>
      <c r="L33" s="412"/>
      <c r="M33" s="111"/>
      <c r="N33" s="137">
        <f t="shared" si="1"/>
        <v>129244.66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393"/>
      <c r="J34" s="391"/>
      <c r="K34" s="392"/>
      <c r="L34" s="412"/>
      <c r="M34" s="111"/>
      <c r="N34" s="137">
        <f t="shared" si="1"/>
        <v>129244.66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129244.66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70"/>
      <c r="J36" s="1071"/>
      <c r="K36" s="1071"/>
      <c r="L36" s="1072"/>
      <c r="M36" s="111"/>
      <c r="N36" s="137">
        <f t="shared" si="1"/>
        <v>129244.66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70"/>
      <c r="J37" s="1071"/>
      <c r="K37" s="1071"/>
      <c r="L37" s="1072"/>
      <c r="M37" s="111"/>
      <c r="N37" s="137">
        <f t="shared" si="1"/>
        <v>129244.66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129244.66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129244.66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95" t="s">
        <v>594</v>
      </c>
      <c r="J40" s="996"/>
      <c r="K40" s="69"/>
      <c r="L40" s="253"/>
      <c r="M40" s="69"/>
      <c r="N40" s="137">
        <f t="shared" si="1"/>
        <v>129244.66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97"/>
      <c r="J41" s="998"/>
      <c r="K41" s="69"/>
      <c r="L41" s="253"/>
      <c r="M41" s="69"/>
      <c r="N41" s="137">
        <f t="shared" si="1"/>
        <v>129244.66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99"/>
      <c r="J42" s="1000"/>
      <c r="K42" s="69"/>
      <c r="L42" s="253"/>
      <c r="M42" s="69"/>
      <c r="N42" s="137">
        <f t="shared" si="1"/>
        <v>129244.66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129244.66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129244.66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129244.66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129244.66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129244.66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129244.66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129244.66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129244.66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129244.66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129244.66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129244.66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129244.66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129244.66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129244.66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129244.66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129244.66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129244.66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129244.66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129244.66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129244.66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129244.66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129244.66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129244.66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1884182.2799999998</v>
      </c>
      <c r="E67" s="407"/>
      <c r="F67" s="395">
        <f>SUM(F3:F66)</f>
        <v>0</v>
      </c>
      <c r="G67" s="153">
        <f>SUM(G3:G66)</f>
        <v>1884182.2799999998</v>
      </c>
      <c r="I67" s="991" t="s">
        <v>594</v>
      </c>
      <c r="J67" s="992"/>
      <c r="K67" s="642">
        <f>SUM(K3:K66)</f>
        <v>129244.66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3" t="s">
        <v>207</v>
      </c>
      <c r="I68" s="993"/>
      <c r="J68" s="994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4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915"/>
      <c r="C1" s="917" t="s">
        <v>208</v>
      </c>
      <c r="D1" s="918"/>
      <c r="E1" s="918"/>
      <c r="F1" s="918"/>
      <c r="G1" s="918"/>
      <c r="H1" s="918"/>
      <c r="I1" s="918"/>
      <c r="J1" s="918"/>
      <c r="K1" s="918"/>
      <c r="L1" s="918"/>
      <c r="M1" s="918"/>
    </row>
    <row r="2" spans="1:25" ht="16.5" thickBot="1" x14ac:dyDescent="0.3">
      <c r="B2" s="916"/>
      <c r="C2" s="3"/>
      <c r="H2" s="5"/>
      <c r="I2" s="6"/>
      <c r="J2" s="7"/>
      <c r="L2" s="8"/>
      <c r="M2" s="6"/>
      <c r="N2" s="9"/>
    </row>
    <row r="3" spans="1:25" ht="21.75" thickBot="1" x14ac:dyDescent="0.35">
      <c r="B3" s="919" t="s">
        <v>0</v>
      </c>
      <c r="C3" s="920"/>
      <c r="D3" s="10"/>
      <c r="E3" s="11"/>
      <c r="F3" s="11"/>
      <c r="H3" s="921" t="s">
        <v>26</v>
      </c>
      <c r="I3" s="921"/>
      <c r="K3" s="165"/>
      <c r="L3" s="13"/>
      <c r="M3" s="14"/>
      <c r="P3" s="945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922" t="s">
        <v>2</v>
      </c>
      <c r="F4" s="923"/>
      <c r="H4" s="924" t="s">
        <v>3</v>
      </c>
      <c r="I4" s="925"/>
      <c r="J4" s="19"/>
      <c r="K4" s="166"/>
      <c r="L4" s="20"/>
      <c r="M4" s="21" t="s">
        <v>4</v>
      </c>
      <c r="N4" s="22" t="s">
        <v>5</v>
      </c>
      <c r="P4" s="946"/>
      <c r="Q4" s="286" t="s">
        <v>209</v>
      </c>
      <c r="W4" s="928" t="s">
        <v>124</v>
      </c>
      <c r="X4" s="928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28"/>
      <c r="X5" s="928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32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33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34"/>
      <c r="X21" s="934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35"/>
      <c r="X23" s="935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35"/>
      <c r="X24" s="935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36"/>
      <c r="X25" s="936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36"/>
      <c r="X26" s="936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29"/>
      <c r="X27" s="930"/>
      <c r="Y27" s="931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30"/>
      <c r="X28" s="930"/>
      <c r="Y28" s="931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47">
        <f>SUM(M5:M35)</f>
        <v>321168.83</v>
      </c>
      <c r="N36" s="949">
        <f>SUM(N5:N35)</f>
        <v>467016</v>
      </c>
      <c r="O36" s="276"/>
      <c r="P36" s="277">
        <v>0</v>
      </c>
      <c r="Q36" s="951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48"/>
      <c r="N37" s="950"/>
      <c r="O37" s="276"/>
      <c r="P37" s="277">
        <v>0</v>
      </c>
      <c r="Q37" s="952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02" t="s">
        <v>11</v>
      </c>
      <c r="I52" s="903"/>
      <c r="J52" s="100"/>
      <c r="K52" s="904">
        <f>I50+L50</f>
        <v>71911.59</v>
      </c>
      <c r="L52" s="937"/>
      <c r="M52" s="272"/>
      <c r="N52" s="272"/>
      <c r="P52" s="34"/>
      <c r="Q52" s="13"/>
    </row>
    <row r="53" spans="1:17" ht="16.5" thickBot="1" x14ac:dyDescent="0.3">
      <c r="D53" s="908" t="s">
        <v>12</v>
      </c>
      <c r="E53" s="908"/>
      <c r="F53" s="312">
        <f>F50-K52-C50</f>
        <v>-25952.549999999814</v>
      </c>
      <c r="I53" s="102"/>
      <c r="J53" s="103"/>
    </row>
    <row r="54" spans="1:17" ht="18.75" x14ac:dyDescent="0.3">
      <c r="D54" s="938" t="s">
        <v>95</v>
      </c>
      <c r="E54" s="938"/>
      <c r="F54" s="111">
        <v>-706888.38</v>
      </c>
      <c r="I54" s="909" t="s">
        <v>13</v>
      </c>
      <c r="J54" s="910"/>
      <c r="K54" s="911">
        <f>F56+F57+F58</f>
        <v>1308778.3500000003</v>
      </c>
      <c r="L54" s="911"/>
      <c r="M54" s="939" t="s">
        <v>211</v>
      </c>
      <c r="N54" s="940"/>
      <c r="O54" s="940"/>
      <c r="P54" s="940"/>
      <c r="Q54" s="941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42"/>
      <c r="N55" s="943"/>
      <c r="O55" s="943"/>
      <c r="P55" s="943"/>
      <c r="Q55" s="944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913">
        <f>-C4</f>
        <v>-567389.35</v>
      </c>
      <c r="L56" s="914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91" t="s">
        <v>18</v>
      </c>
      <c r="E58" s="892"/>
      <c r="F58" s="113">
        <v>2142307.62</v>
      </c>
      <c r="I58" s="893" t="s">
        <v>198</v>
      </c>
      <c r="J58" s="894"/>
      <c r="K58" s="895">
        <f>K54+K56</f>
        <v>741389.00000000035</v>
      </c>
      <c r="L58" s="89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R97"/>
  <sheetViews>
    <sheetView workbookViewId="0">
      <pane ySplit="4" topLeftCell="A5" activePane="bottomLeft" state="frozen"/>
      <selection pane="bottomLeft" activeCell="I33" sqref="I33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6.8554687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915"/>
      <c r="C1" s="957" t="s">
        <v>1570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18" ht="16.5" thickBot="1" x14ac:dyDescent="0.3">
      <c r="B2" s="916"/>
      <c r="C2" s="3"/>
      <c r="H2" s="5"/>
      <c r="I2" s="6"/>
      <c r="J2" s="7"/>
      <c r="L2" s="8"/>
      <c r="M2" s="6"/>
      <c r="N2" s="9"/>
    </row>
    <row r="3" spans="1:18" ht="21.75" thickBot="1" x14ac:dyDescent="0.35">
      <c r="B3" s="919" t="s">
        <v>0</v>
      </c>
      <c r="C3" s="920"/>
      <c r="D3" s="10"/>
      <c r="E3" s="553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18" ht="32.25" thickTop="1" thickBot="1" x14ac:dyDescent="0.35">
      <c r="A4" s="15" t="s">
        <v>1</v>
      </c>
      <c r="B4" s="16"/>
      <c r="C4" s="17">
        <v>3445405.07</v>
      </c>
      <c r="D4" s="18">
        <v>44892</v>
      </c>
      <c r="E4" s="922" t="s">
        <v>2</v>
      </c>
      <c r="F4" s="923"/>
      <c r="H4" s="924" t="s">
        <v>3</v>
      </c>
      <c r="I4" s="925"/>
      <c r="J4" s="556"/>
      <c r="K4" s="562"/>
      <c r="L4" s="563"/>
      <c r="M4" s="21" t="s">
        <v>4</v>
      </c>
      <c r="N4" s="22" t="s">
        <v>5</v>
      </c>
      <c r="P4" s="946"/>
      <c r="Q4" s="322" t="s">
        <v>217</v>
      </c>
      <c r="R4" s="956"/>
    </row>
    <row r="5" spans="1:18" ht="18" thickBot="1" x14ac:dyDescent="0.35">
      <c r="A5" s="23" t="s">
        <v>7</v>
      </c>
      <c r="B5" s="24">
        <v>44893</v>
      </c>
      <c r="C5" s="25"/>
      <c r="D5" s="26"/>
      <c r="E5" s="27">
        <v>44893</v>
      </c>
      <c r="F5" s="28"/>
      <c r="G5" s="572"/>
      <c r="H5" s="29">
        <v>44893</v>
      </c>
      <c r="I5" s="30"/>
      <c r="J5" s="37"/>
      <c r="K5" s="31"/>
      <c r="L5" s="9"/>
      <c r="M5" s="32">
        <v>0</v>
      </c>
      <c r="N5" s="33">
        <v>0</v>
      </c>
      <c r="P5" s="34">
        <f>N5+M5+L5+I5+C5</f>
        <v>0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44894</v>
      </c>
      <c r="C6" s="25"/>
      <c r="D6" s="35"/>
      <c r="E6" s="27">
        <v>44894</v>
      </c>
      <c r="F6" s="28"/>
      <c r="G6" s="572"/>
      <c r="H6" s="29">
        <v>44894</v>
      </c>
      <c r="I6" s="30"/>
      <c r="J6" s="37"/>
      <c r="K6" s="38"/>
      <c r="L6" s="39"/>
      <c r="M6" s="32">
        <v>0</v>
      </c>
      <c r="N6" s="33">
        <v>0</v>
      </c>
      <c r="P6" s="39">
        <f>N6+M6+L6+I6+C6</f>
        <v>0</v>
      </c>
      <c r="Q6" s="325">
        <v>0</v>
      </c>
      <c r="R6" s="379">
        <v>0</v>
      </c>
    </row>
    <row r="7" spans="1:18" ht="18" thickBot="1" x14ac:dyDescent="0.35">
      <c r="A7" s="23"/>
      <c r="B7" s="24">
        <v>44895</v>
      </c>
      <c r="C7" s="25"/>
      <c r="D7" s="40"/>
      <c r="E7" s="27">
        <v>44895</v>
      </c>
      <c r="F7" s="28"/>
      <c r="G7" s="572"/>
      <c r="H7" s="29">
        <v>44895</v>
      </c>
      <c r="I7" s="30"/>
      <c r="J7" s="37"/>
      <c r="K7" s="38"/>
      <c r="L7" s="39"/>
      <c r="M7" s="32">
        <v>0</v>
      </c>
      <c r="N7" s="33">
        <v>0</v>
      </c>
      <c r="P7" s="39">
        <f>N7+M7+L7+I7+C7</f>
        <v>0</v>
      </c>
      <c r="Q7" s="325">
        <f t="shared" ref="Q7:Q40" si="0">P7-F7</f>
        <v>0</v>
      </c>
      <c r="R7" s="379">
        <v>0</v>
      </c>
    </row>
    <row r="8" spans="1:18" ht="18" thickBot="1" x14ac:dyDescent="0.35">
      <c r="A8" s="23"/>
      <c r="B8" s="24">
        <v>44896</v>
      </c>
      <c r="C8" s="25"/>
      <c r="D8" s="42"/>
      <c r="E8" s="27">
        <v>44896</v>
      </c>
      <c r="F8" s="28"/>
      <c r="G8" s="572"/>
      <c r="H8" s="29">
        <v>44896</v>
      </c>
      <c r="I8" s="30"/>
      <c r="J8" s="43"/>
      <c r="K8" s="38"/>
      <c r="L8" s="39"/>
      <c r="M8" s="32">
        <v>0</v>
      </c>
      <c r="N8" s="33">
        <v>0</v>
      </c>
      <c r="P8" s="39">
        <f t="shared" ref="P8:P33" si="1">N8+M8+L8+I8+C8</f>
        <v>0</v>
      </c>
      <c r="Q8" s="325">
        <v>0</v>
      </c>
      <c r="R8" s="379">
        <v>0</v>
      </c>
    </row>
    <row r="9" spans="1:18" ht="18" thickBot="1" x14ac:dyDescent="0.35">
      <c r="A9" s="23"/>
      <c r="B9" s="24">
        <v>44897</v>
      </c>
      <c r="C9" s="25"/>
      <c r="D9" s="42"/>
      <c r="E9" s="27">
        <v>44897</v>
      </c>
      <c r="F9" s="28"/>
      <c r="G9" s="572"/>
      <c r="H9" s="29">
        <v>44897</v>
      </c>
      <c r="I9" s="30"/>
      <c r="J9" s="37"/>
      <c r="K9" s="223"/>
      <c r="L9" s="39"/>
      <c r="M9" s="32">
        <v>0</v>
      </c>
      <c r="N9" s="33">
        <v>0</v>
      </c>
      <c r="P9" s="39">
        <f t="shared" si="1"/>
        <v>0</v>
      </c>
      <c r="Q9" s="325">
        <f t="shared" si="0"/>
        <v>0</v>
      </c>
      <c r="R9" s="379">
        <v>0</v>
      </c>
    </row>
    <row r="10" spans="1:18" ht="18" thickBot="1" x14ac:dyDescent="0.35">
      <c r="A10" s="23"/>
      <c r="B10" s="24">
        <v>44898</v>
      </c>
      <c r="C10" s="25"/>
      <c r="D10" s="40"/>
      <c r="E10" s="27">
        <v>44898</v>
      </c>
      <c r="F10" s="28"/>
      <c r="G10" s="572"/>
      <c r="H10" s="29">
        <v>44898</v>
      </c>
      <c r="I10" s="30"/>
      <c r="J10" s="37"/>
      <c r="K10" s="167"/>
      <c r="L10" s="45"/>
      <c r="M10" s="32">
        <v>0</v>
      </c>
      <c r="N10" s="33">
        <v>0</v>
      </c>
      <c r="P10" s="39">
        <f>N10+M10+L10+I10+C10</f>
        <v>0</v>
      </c>
      <c r="Q10" s="325">
        <f>P10-F10</f>
        <v>0</v>
      </c>
      <c r="R10" s="379">
        <v>0</v>
      </c>
    </row>
    <row r="11" spans="1:18" ht="18" thickBot="1" x14ac:dyDescent="0.35">
      <c r="A11" s="23"/>
      <c r="B11" s="24">
        <v>44899</v>
      </c>
      <c r="C11" s="25"/>
      <c r="D11" s="35"/>
      <c r="E11" s="27">
        <v>44899</v>
      </c>
      <c r="F11" s="28"/>
      <c r="G11" s="572"/>
      <c r="H11" s="29">
        <v>44899</v>
      </c>
      <c r="I11" s="30"/>
      <c r="J11" s="43"/>
      <c r="K11" s="168"/>
      <c r="L11" s="39"/>
      <c r="M11" s="32">
        <v>0</v>
      </c>
      <c r="N11" s="33">
        <v>0</v>
      </c>
      <c r="P11" s="39">
        <f t="shared" si="1"/>
        <v>0</v>
      </c>
      <c r="Q11" s="325">
        <f t="shared" si="0"/>
        <v>0</v>
      </c>
      <c r="R11" s="379">
        <v>0</v>
      </c>
    </row>
    <row r="12" spans="1:18" ht="18" thickBot="1" x14ac:dyDescent="0.35">
      <c r="A12" s="23"/>
      <c r="B12" s="24">
        <v>44900</v>
      </c>
      <c r="C12" s="25"/>
      <c r="D12" s="35"/>
      <c r="E12" s="27">
        <v>44900</v>
      </c>
      <c r="F12" s="28"/>
      <c r="G12" s="572"/>
      <c r="H12" s="29">
        <v>44900</v>
      </c>
      <c r="I12" s="30"/>
      <c r="J12" s="37"/>
      <c r="K12" s="169"/>
      <c r="L12" s="39"/>
      <c r="M12" s="32">
        <v>0</v>
      </c>
      <c r="N12" s="33">
        <v>0</v>
      </c>
      <c r="P12" s="39">
        <f t="shared" si="1"/>
        <v>0</v>
      </c>
      <c r="Q12" s="325">
        <f t="shared" si="0"/>
        <v>0</v>
      </c>
      <c r="R12" s="379">
        <v>0</v>
      </c>
    </row>
    <row r="13" spans="1:18" ht="18" thickBot="1" x14ac:dyDescent="0.35">
      <c r="A13" s="23"/>
      <c r="B13" s="24">
        <v>44901</v>
      </c>
      <c r="C13" s="25"/>
      <c r="D13" s="42"/>
      <c r="E13" s="27">
        <v>44901</v>
      </c>
      <c r="F13" s="28"/>
      <c r="G13" s="572"/>
      <c r="H13" s="29">
        <v>44901</v>
      </c>
      <c r="I13" s="30"/>
      <c r="J13" s="37"/>
      <c r="K13" s="38"/>
      <c r="L13" s="39"/>
      <c r="M13" s="32">
        <v>0</v>
      </c>
      <c r="N13" s="33">
        <v>0</v>
      </c>
      <c r="P13" s="39">
        <f>N13+M13+L13+I13+C13</f>
        <v>0</v>
      </c>
      <c r="Q13" s="325">
        <f t="shared" si="0"/>
        <v>0</v>
      </c>
      <c r="R13" s="379">
        <v>0</v>
      </c>
    </row>
    <row r="14" spans="1:18" ht="18" thickBot="1" x14ac:dyDescent="0.35">
      <c r="A14" s="23"/>
      <c r="B14" s="24">
        <v>44902</v>
      </c>
      <c r="C14" s="25"/>
      <c r="D14" s="40"/>
      <c r="E14" s="27">
        <v>44902</v>
      </c>
      <c r="F14" s="28"/>
      <c r="G14" s="572"/>
      <c r="H14" s="29">
        <v>44902</v>
      </c>
      <c r="I14" s="30"/>
      <c r="J14" s="37"/>
      <c r="K14" s="38"/>
      <c r="L14" s="39"/>
      <c r="M14" s="32">
        <v>0</v>
      </c>
      <c r="N14" s="33">
        <v>0</v>
      </c>
      <c r="P14" s="39">
        <f t="shared" si="1"/>
        <v>0</v>
      </c>
      <c r="Q14" s="325">
        <v>0</v>
      </c>
      <c r="R14" s="379">
        <v>0</v>
      </c>
    </row>
    <row r="15" spans="1:18" ht="18" thickBot="1" x14ac:dyDescent="0.35">
      <c r="A15" s="23"/>
      <c r="B15" s="24">
        <v>44903</v>
      </c>
      <c r="C15" s="25"/>
      <c r="D15" s="40"/>
      <c r="E15" s="27">
        <v>44903</v>
      </c>
      <c r="F15" s="28"/>
      <c r="G15" s="572"/>
      <c r="H15" s="29">
        <v>44903</v>
      </c>
      <c r="I15" s="30"/>
      <c r="J15" s="37"/>
      <c r="K15" s="38"/>
      <c r="L15" s="39"/>
      <c r="M15" s="32">
        <v>0</v>
      </c>
      <c r="N15" s="33">
        <v>0</v>
      </c>
      <c r="P15" s="39">
        <f t="shared" si="1"/>
        <v>0</v>
      </c>
      <c r="Q15" s="325">
        <f t="shared" si="0"/>
        <v>0</v>
      </c>
      <c r="R15" s="379">
        <v>0</v>
      </c>
    </row>
    <row r="16" spans="1:18" ht="18" thickBot="1" x14ac:dyDescent="0.35">
      <c r="A16" s="23"/>
      <c r="B16" s="24">
        <v>44904</v>
      </c>
      <c r="C16" s="25"/>
      <c r="D16" s="35"/>
      <c r="E16" s="27">
        <v>44904</v>
      </c>
      <c r="F16" s="28"/>
      <c r="G16" s="572"/>
      <c r="H16" s="29">
        <v>44904</v>
      </c>
      <c r="I16" s="30"/>
      <c r="J16" s="37"/>
      <c r="K16" s="169"/>
      <c r="L16" s="9"/>
      <c r="M16" s="32">
        <v>0</v>
      </c>
      <c r="N16" s="33">
        <v>0</v>
      </c>
      <c r="P16" s="39">
        <f t="shared" si="1"/>
        <v>0</v>
      </c>
      <c r="Q16" s="325">
        <f t="shared" si="0"/>
        <v>0</v>
      </c>
      <c r="R16" s="379">
        <v>0</v>
      </c>
    </row>
    <row r="17" spans="1:18" ht="18" thickBot="1" x14ac:dyDescent="0.35">
      <c r="A17" s="23"/>
      <c r="B17" s="24">
        <v>44905</v>
      </c>
      <c r="C17" s="25"/>
      <c r="D17" s="42"/>
      <c r="E17" s="27">
        <v>44905</v>
      </c>
      <c r="F17" s="28"/>
      <c r="G17" s="572"/>
      <c r="H17" s="29">
        <v>44905</v>
      </c>
      <c r="I17" s="30"/>
      <c r="J17" s="37"/>
      <c r="K17" s="38"/>
      <c r="L17" s="45"/>
      <c r="M17" s="32">
        <v>0</v>
      </c>
      <c r="N17" s="33">
        <v>0</v>
      </c>
      <c r="P17" s="39">
        <f t="shared" si="1"/>
        <v>0</v>
      </c>
      <c r="Q17" s="325">
        <f t="shared" si="0"/>
        <v>0</v>
      </c>
      <c r="R17" s="379">
        <v>0</v>
      </c>
    </row>
    <row r="18" spans="1:18" ht="18" thickBot="1" x14ac:dyDescent="0.35">
      <c r="A18" s="23"/>
      <c r="B18" s="24">
        <v>44906</v>
      </c>
      <c r="C18" s="25"/>
      <c r="D18" s="35"/>
      <c r="E18" s="27">
        <v>44906</v>
      </c>
      <c r="F18" s="28"/>
      <c r="G18" s="572"/>
      <c r="H18" s="29">
        <v>44906</v>
      </c>
      <c r="I18" s="30"/>
      <c r="J18" s="37"/>
      <c r="K18" s="564"/>
      <c r="L18" s="39"/>
      <c r="M18" s="32">
        <v>0</v>
      </c>
      <c r="N18" s="33">
        <v>0</v>
      </c>
      <c r="P18" s="39">
        <f t="shared" si="1"/>
        <v>0</v>
      </c>
      <c r="Q18" s="325">
        <f t="shared" si="0"/>
        <v>0</v>
      </c>
      <c r="R18" s="379">
        <v>0</v>
      </c>
    </row>
    <row r="19" spans="1:18" ht="18" customHeight="1" thickBot="1" x14ac:dyDescent="0.35">
      <c r="A19" s="23"/>
      <c r="B19" s="24">
        <v>44907</v>
      </c>
      <c r="C19" s="25"/>
      <c r="D19" s="35"/>
      <c r="E19" s="27">
        <v>44907</v>
      </c>
      <c r="F19" s="28"/>
      <c r="G19" s="572"/>
      <c r="H19" s="29">
        <v>44907</v>
      </c>
      <c r="I19" s="30"/>
      <c r="J19" s="37"/>
      <c r="K19" s="863"/>
      <c r="L19" s="47"/>
      <c r="M19" s="32">
        <v>0</v>
      </c>
      <c r="N19" s="33">
        <v>0</v>
      </c>
      <c r="P19" s="39">
        <f t="shared" si="1"/>
        <v>0</v>
      </c>
      <c r="Q19" s="325">
        <v>0</v>
      </c>
      <c r="R19" s="379">
        <v>0</v>
      </c>
    </row>
    <row r="20" spans="1:18" ht="18" customHeight="1" thickBot="1" x14ac:dyDescent="0.35">
      <c r="A20" s="23"/>
      <c r="B20" s="24">
        <v>44908</v>
      </c>
      <c r="C20" s="25"/>
      <c r="D20" s="35"/>
      <c r="E20" s="27">
        <v>44908</v>
      </c>
      <c r="F20" s="28"/>
      <c r="G20" s="572"/>
      <c r="H20" s="29">
        <v>44908</v>
      </c>
      <c r="I20" s="30"/>
      <c r="J20" s="37"/>
      <c r="K20" s="171"/>
      <c r="L20" s="45"/>
      <c r="M20" s="32">
        <v>0</v>
      </c>
      <c r="N20" s="33">
        <v>0</v>
      </c>
      <c r="P20" s="39">
        <f t="shared" si="1"/>
        <v>0</v>
      </c>
      <c r="Q20" s="325">
        <v>0</v>
      </c>
      <c r="R20" s="379">
        <v>0</v>
      </c>
    </row>
    <row r="21" spans="1:18" ht="18" thickBot="1" x14ac:dyDescent="0.35">
      <c r="A21" s="23"/>
      <c r="B21" s="24">
        <v>44909</v>
      </c>
      <c r="C21" s="25"/>
      <c r="D21" s="35"/>
      <c r="E21" s="27">
        <v>44909</v>
      </c>
      <c r="F21" s="28"/>
      <c r="G21" s="572"/>
      <c r="H21" s="29">
        <v>44909</v>
      </c>
      <c r="I21" s="30"/>
      <c r="J21" s="37"/>
      <c r="K21" s="565"/>
      <c r="L21" s="45"/>
      <c r="M21" s="32">
        <v>0</v>
      </c>
      <c r="N21" s="33">
        <v>0</v>
      </c>
      <c r="O21" s="867"/>
      <c r="P21" s="39">
        <f t="shared" si="1"/>
        <v>0</v>
      </c>
      <c r="Q21" s="325">
        <f t="shared" si="0"/>
        <v>0</v>
      </c>
      <c r="R21" s="379">
        <v>0</v>
      </c>
    </row>
    <row r="22" spans="1:18" ht="18" thickBot="1" x14ac:dyDescent="0.35">
      <c r="A22" s="23"/>
      <c r="B22" s="24">
        <v>44910</v>
      </c>
      <c r="C22" s="25"/>
      <c r="D22" s="35"/>
      <c r="E22" s="27">
        <v>44910</v>
      </c>
      <c r="F22" s="28"/>
      <c r="G22" s="572"/>
      <c r="H22" s="29">
        <v>44910</v>
      </c>
      <c r="I22" s="30"/>
      <c r="J22" s="37"/>
      <c r="K22" s="773"/>
      <c r="L22" s="49"/>
      <c r="M22" s="32">
        <v>0</v>
      </c>
      <c r="N22" s="33">
        <v>0</v>
      </c>
      <c r="P22" s="39">
        <f t="shared" si="1"/>
        <v>0</v>
      </c>
      <c r="Q22" s="325">
        <f t="shared" si="0"/>
        <v>0</v>
      </c>
      <c r="R22" s="379">
        <v>0</v>
      </c>
    </row>
    <row r="23" spans="1:18" ht="18" customHeight="1" thickBot="1" x14ac:dyDescent="0.35">
      <c r="A23" s="23"/>
      <c r="B23" s="24">
        <v>44911</v>
      </c>
      <c r="C23" s="25"/>
      <c r="D23" s="35"/>
      <c r="E23" s="27">
        <v>44911</v>
      </c>
      <c r="F23" s="28"/>
      <c r="G23" s="572"/>
      <c r="H23" s="29">
        <v>44911</v>
      </c>
      <c r="I23" s="30"/>
      <c r="J23" s="50"/>
      <c r="K23" s="172"/>
      <c r="L23" s="45"/>
      <c r="M23" s="32">
        <v>0</v>
      </c>
      <c r="N23" s="33">
        <v>0</v>
      </c>
      <c r="O23" s="31"/>
      <c r="P23" s="39">
        <f t="shared" si="1"/>
        <v>0</v>
      </c>
      <c r="Q23" s="325">
        <f t="shared" si="0"/>
        <v>0</v>
      </c>
      <c r="R23" s="379">
        <v>0</v>
      </c>
    </row>
    <row r="24" spans="1:18" ht="18" customHeight="1" thickBot="1" x14ac:dyDescent="0.35">
      <c r="A24" s="23"/>
      <c r="B24" s="24">
        <v>44912</v>
      </c>
      <c r="C24" s="25"/>
      <c r="D24" s="42"/>
      <c r="E24" s="27">
        <v>44912</v>
      </c>
      <c r="F24" s="28"/>
      <c r="G24" s="572"/>
      <c r="H24" s="29">
        <v>44912</v>
      </c>
      <c r="I24" s="30"/>
      <c r="J24" s="51"/>
      <c r="K24" s="172"/>
      <c r="L24" s="52"/>
      <c r="M24" s="32">
        <v>0</v>
      </c>
      <c r="N24" s="33">
        <v>0</v>
      </c>
      <c r="P24" s="39">
        <f>N24+M24+L24+I24+C24</f>
        <v>0</v>
      </c>
      <c r="Q24" s="325">
        <f t="shared" si="0"/>
        <v>0</v>
      </c>
      <c r="R24" s="379">
        <v>0</v>
      </c>
    </row>
    <row r="25" spans="1:18" ht="18" thickBot="1" x14ac:dyDescent="0.35">
      <c r="A25" s="23"/>
      <c r="B25" s="24">
        <v>44913</v>
      </c>
      <c r="C25" s="25"/>
      <c r="D25" s="35"/>
      <c r="E25" s="27">
        <v>44913</v>
      </c>
      <c r="F25" s="28"/>
      <c r="G25" s="572"/>
      <c r="H25" s="29">
        <v>44913</v>
      </c>
      <c r="I25" s="30"/>
      <c r="J25" s="50"/>
      <c r="K25" s="38"/>
      <c r="L25" s="54"/>
      <c r="M25" s="32">
        <v>0</v>
      </c>
      <c r="N25" s="33">
        <v>0</v>
      </c>
      <c r="O25" s="867"/>
      <c r="P25" s="283">
        <f t="shared" si="1"/>
        <v>0</v>
      </c>
      <c r="Q25" s="325">
        <f t="shared" si="0"/>
        <v>0</v>
      </c>
      <c r="R25" s="379">
        <v>0</v>
      </c>
    </row>
    <row r="26" spans="1:18" ht="18" thickBot="1" x14ac:dyDescent="0.35">
      <c r="A26" s="23"/>
      <c r="B26" s="24">
        <v>44914</v>
      </c>
      <c r="C26" s="25"/>
      <c r="D26" s="35"/>
      <c r="E26" s="27">
        <v>44914</v>
      </c>
      <c r="F26" s="28"/>
      <c r="G26" s="572"/>
      <c r="H26" s="29">
        <v>44914</v>
      </c>
      <c r="I26" s="30"/>
      <c r="J26" s="37"/>
      <c r="K26" s="728"/>
      <c r="L26" s="729"/>
      <c r="M26" s="32">
        <v>0</v>
      </c>
      <c r="N26" s="33">
        <v>0</v>
      </c>
      <c r="O26" s="867"/>
      <c r="P26" s="283">
        <f t="shared" si="1"/>
        <v>0</v>
      </c>
      <c r="Q26" s="325">
        <f t="shared" si="0"/>
        <v>0</v>
      </c>
      <c r="R26" s="379">
        <v>0</v>
      </c>
    </row>
    <row r="27" spans="1:18" ht="18" customHeight="1" thickBot="1" x14ac:dyDescent="0.35">
      <c r="A27" s="23"/>
      <c r="B27" s="24">
        <v>44915</v>
      </c>
      <c r="C27" s="25"/>
      <c r="D27" s="42"/>
      <c r="E27" s="27">
        <v>44915</v>
      </c>
      <c r="F27" s="28"/>
      <c r="G27" s="572"/>
      <c r="H27" s="29">
        <v>44915</v>
      </c>
      <c r="I27" s="30"/>
      <c r="J27" s="55"/>
      <c r="K27" s="174"/>
      <c r="L27" s="54"/>
      <c r="M27" s="32">
        <v>0</v>
      </c>
      <c r="N27" s="33">
        <v>0</v>
      </c>
      <c r="O27" s="867"/>
      <c r="P27" s="283">
        <f t="shared" si="1"/>
        <v>0</v>
      </c>
      <c r="Q27" s="325">
        <f t="shared" si="0"/>
        <v>0</v>
      </c>
      <c r="R27" s="379">
        <v>0</v>
      </c>
    </row>
    <row r="28" spans="1:18" ht="18" customHeight="1" thickBot="1" x14ac:dyDescent="0.35">
      <c r="A28" s="23"/>
      <c r="B28" s="24">
        <v>44916</v>
      </c>
      <c r="C28" s="25"/>
      <c r="D28" s="42"/>
      <c r="E28" s="27">
        <v>44916</v>
      </c>
      <c r="F28" s="28"/>
      <c r="G28" s="572"/>
      <c r="H28" s="29">
        <v>44916</v>
      </c>
      <c r="I28" s="30"/>
      <c r="J28" s="56"/>
      <c r="K28" s="57"/>
      <c r="L28" s="54"/>
      <c r="M28" s="32">
        <v>0</v>
      </c>
      <c r="N28" s="33">
        <v>0</v>
      </c>
      <c r="O28" s="867"/>
      <c r="P28" s="283">
        <f t="shared" si="1"/>
        <v>0</v>
      </c>
      <c r="Q28" s="325">
        <f t="shared" si="0"/>
        <v>0</v>
      </c>
      <c r="R28" s="379">
        <v>0</v>
      </c>
    </row>
    <row r="29" spans="1:18" ht="18" thickBot="1" x14ac:dyDescent="0.35">
      <c r="A29" s="23"/>
      <c r="B29" s="24">
        <v>44917</v>
      </c>
      <c r="C29" s="25"/>
      <c r="D29" s="58"/>
      <c r="E29" s="27">
        <v>44917</v>
      </c>
      <c r="F29" s="28"/>
      <c r="G29" s="572"/>
      <c r="H29" s="29">
        <v>44917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79">
        <v>0</v>
      </c>
    </row>
    <row r="30" spans="1:18" ht="18" thickBot="1" x14ac:dyDescent="0.35">
      <c r="A30" s="23"/>
      <c r="B30" s="24">
        <v>44918</v>
      </c>
      <c r="C30" s="25"/>
      <c r="D30" s="58"/>
      <c r="E30" s="27">
        <v>44918</v>
      </c>
      <c r="F30" s="28"/>
      <c r="G30" s="572"/>
      <c r="H30" s="29">
        <v>44918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>
        <f t="shared" si="0"/>
        <v>0</v>
      </c>
      <c r="R30" s="379">
        <v>0</v>
      </c>
    </row>
    <row r="31" spans="1:18" ht="18" thickBot="1" x14ac:dyDescent="0.35">
      <c r="A31" s="23"/>
      <c r="B31" s="24">
        <v>44919</v>
      </c>
      <c r="C31" s="25"/>
      <c r="D31" s="67"/>
      <c r="E31" s="27">
        <v>44919</v>
      </c>
      <c r="F31" s="28"/>
      <c r="G31" s="572"/>
      <c r="H31" s="29">
        <v>44919</v>
      </c>
      <c r="I31" s="30"/>
      <c r="J31" s="56"/>
      <c r="K31" s="821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79">
        <v>0</v>
      </c>
    </row>
    <row r="32" spans="1:18" ht="18" thickBot="1" x14ac:dyDescent="0.35">
      <c r="A32" s="23"/>
      <c r="B32" s="24">
        <v>44920</v>
      </c>
      <c r="C32" s="25"/>
      <c r="D32" s="64"/>
      <c r="E32" s="27">
        <v>44920</v>
      </c>
      <c r="F32" s="28"/>
      <c r="G32" s="572"/>
      <c r="H32" s="29">
        <v>44920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79">
        <v>0</v>
      </c>
    </row>
    <row r="33" spans="1:18" ht="18" thickBot="1" x14ac:dyDescent="0.35">
      <c r="A33" s="23"/>
      <c r="B33" s="24">
        <v>44921</v>
      </c>
      <c r="C33" s="25"/>
      <c r="D33" s="64"/>
      <c r="E33" s="27">
        <v>44921</v>
      </c>
      <c r="F33" s="28"/>
      <c r="G33" s="572"/>
      <c r="H33" s="29">
        <v>44921</v>
      </c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79">
        <v>0</v>
      </c>
    </row>
    <row r="34" spans="1:18" ht="18" thickBot="1" x14ac:dyDescent="0.35">
      <c r="A34" s="23"/>
      <c r="B34" s="24">
        <v>44922</v>
      </c>
      <c r="C34" s="25"/>
      <c r="D34" s="64"/>
      <c r="E34" s="27">
        <v>44922</v>
      </c>
      <c r="F34" s="28"/>
      <c r="G34" s="572"/>
      <c r="H34" s="29">
        <v>44922</v>
      </c>
      <c r="I34" s="30"/>
      <c r="J34" s="56"/>
      <c r="K34" s="751"/>
      <c r="L34" s="39"/>
      <c r="M34" s="32">
        <v>0</v>
      </c>
      <c r="N34" s="33">
        <v>0</v>
      </c>
      <c r="P34" s="34">
        <v>0</v>
      </c>
      <c r="Q34" s="325">
        <f t="shared" si="0"/>
        <v>0</v>
      </c>
      <c r="R34" s="379">
        <v>0</v>
      </c>
    </row>
    <row r="35" spans="1:18" ht="18" thickBot="1" x14ac:dyDescent="0.35">
      <c r="A35" s="23"/>
      <c r="B35" s="24">
        <v>44923</v>
      </c>
      <c r="C35" s="690"/>
      <c r="D35" s="67"/>
      <c r="E35" s="27">
        <v>44923</v>
      </c>
      <c r="F35" s="28"/>
      <c r="G35" s="572"/>
      <c r="H35" s="29">
        <v>44923</v>
      </c>
      <c r="I35" s="30"/>
      <c r="J35" s="698"/>
      <c r="K35" s="752"/>
      <c r="L35" s="702"/>
      <c r="M35" s="32">
        <v>0</v>
      </c>
      <c r="N35" s="33">
        <v>0</v>
      </c>
      <c r="P35" s="34">
        <v>0</v>
      </c>
      <c r="Q35" s="325">
        <f t="shared" si="0"/>
        <v>0</v>
      </c>
      <c r="R35" s="379">
        <v>0</v>
      </c>
    </row>
    <row r="36" spans="1:18" ht="18" customHeight="1" thickTop="1" thickBot="1" x14ac:dyDescent="0.35">
      <c r="A36" s="23"/>
      <c r="B36" s="24">
        <v>44924</v>
      </c>
      <c r="C36" s="693"/>
      <c r="D36" s="786"/>
      <c r="E36" s="27">
        <v>44924</v>
      </c>
      <c r="F36" s="28"/>
      <c r="G36" s="662"/>
      <c r="H36" s="29">
        <v>44924</v>
      </c>
      <c r="I36" s="30"/>
      <c r="J36" s="56"/>
      <c r="K36" s="751"/>
      <c r="L36" s="39"/>
      <c r="M36" s="32">
        <v>0</v>
      </c>
      <c r="N36" s="33">
        <v>0</v>
      </c>
      <c r="P36" s="34">
        <v>0</v>
      </c>
      <c r="Q36" s="325">
        <f t="shared" si="0"/>
        <v>0</v>
      </c>
      <c r="R36" s="379">
        <v>0</v>
      </c>
    </row>
    <row r="37" spans="1:18" ht="18" customHeight="1" thickBot="1" x14ac:dyDescent="0.35">
      <c r="A37" s="23"/>
      <c r="B37" s="24">
        <v>44925</v>
      </c>
      <c r="C37" s="692"/>
      <c r="D37" s="742"/>
      <c r="E37" s="27">
        <v>44925</v>
      </c>
      <c r="F37" s="28"/>
      <c r="G37" s="662"/>
      <c r="H37" s="29">
        <v>44925</v>
      </c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79">
        <v>0</v>
      </c>
    </row>
    <row r="38" spans="1:18" ht="18" thickBot="1" x14ac:dyDescent="0.35">
      <c r="A38" s="23"/>
      <c r="B38" s="24">
        <v>44926</v>
      </c>
      <c r="C38" s="692"/>
      <c r="D38" s="742"/>
      <c r="E38" s="27">
        <v>44926</v>
      </c>
      <c r="F38" s="28"/>
      <c r="G38" s="662"/>
      <c r="H38" s="29">
        <v>44926</v>
      </c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79">
        <v>0</v>
      </c>
    </row>
    <row r="39" spans="1:18" ht="18" thickBot="1" x14ac:dyDescent="0.35">
      <c r="A39" s="23"/>
      <c r="B39" s="24">
        <v>44927</v>
      </c>
      <c r="C39" s="692"/>
      <c r="D39" s="695"/>
      <c r="E39" s="27">
        <v>44927</v>
      </c>
      <c r="F39" s="508"/>
      <c r="G39" s="662"/>
      <c r="H39" s="29">
        <v>44927</v>
      </c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79">
        <v>0</v>
      </c>
    </row>
    <row r="40" spans="1:18" ht="18" thickBot="1" x14ac:dyDescent="0.35">
      <c r="A40" s="23"/>
      <c r="B40" s="24">
        <v>44928</v>
      </c>
      <c r="C40" s="692"/>
      <c r="D40" s="742"/>
      <c r="E40" s="27">
        <v>44928</v>
      </c>
      <c r="F40" s="70"/>
      <c r="G40" s="572"/>
      <c r="H40" s="29">
        <v>44928</v>
      </c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7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47">
        <f>SUM(M5:M40)</f>
        <v>0</v>
      </c>
      <c r="N41" s="947">
        <f>SUM(N5:N40)</f>
        <v>0</v>
      </c>
      <c r="P41" s="505">
        <f>SUM(P5:P40)</f>
        <v>0</v>
      </c>
      <c r="Q41" s="1068">
        <f>SUM(Q5:Q40)</f>
        <v>0</v>
      </c>
      <c r="R41" s="37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48"/>
      <c r="N42" s="948"/>
      <c r="P42" s="34"/>
      <c r="Q42" s="1069"/>
      <c r="R42" s="788">
        <f>SUM(R5:R41)</f>
        <v>0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85"/>
      <c r="N43" s="885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85"/>
      <c r="N44" s="885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1003">
        <f>M41+N41</f>
        <v>0</v>
      </c>
      <c r="N45" s="1004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85"/>
      <c r="N46" s="885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85"/>
      <c r="N47" s="885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85"/>
      <c r="N48" s="885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85"/>
      <c r="N49" s="885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85"/>
      <c r="N50" s="885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85"/>
      <c r="N51" s="885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85"/>
      <c r="N52" s="885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85"/>
      <c r="N53" s="885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85"/>
      <c r="N54" s="885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85"/>
      <c r="N55" s="885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85"/>
      <c r="N56" s="885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85"/>
      <c r="N57" s="885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85"/>
      <c r="N58" s="885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85"/>
      <c r="N59" s="885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0</v>
      </c>
      <c r="D67" s="88"/>
      <c r="E67" s="91" t="s">
        <v>8</v>
      </c>
      <c r="F67" s="90">
        <f>SUM(F5:F60)</f>
        <v>0</v>
      </c>
      <c r="G67" s="573"/>
      <c r="H67" s="91" t="s">
        <v>9</v>
      </c>
      <c r="I67" s="92">
        <f>SUM(I5:I60)</f>
        <v>0</v>
      </c>
      <c r="J67" s="93"/>
      <c r="K67" s="94" t="s">
        <v>10</v>
      </c>
      <c r="L67" s="95">
        <f>SUM(L5:L65)-L26</f>
        <v>0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2" t="s">
        <v>11</v>
      </c>
      <c r="I69" s="903"/>
      <c r="J69" s="559"/>
      <c r="K69" s="1035">
        <f>I67+L67</f>
        <v>0</v>
      </c>
      <c r="L69" s="1036"/>
      <c r="M69" s="272"/>
      <c r="N69" s="272"/>
      <c r="P69" s="34"/>
      <c r="Q69" s="13"/>
    </row>
    <row r="70" spans="1:17" x14ac:dyDescent="0.25">
      <c r="D70" s="908" t="s">
        <v>12</v>
      </c>
      <c r="E70" s="908"/>
      <c r="F70" s="312">
        <f>F67-K69-C67</f>
        <v>0</v>
      </c>
      <c r="I70" s="102"/>
      <c r="J70" s="560"/>
    </row>
    <row r="71" spans="1:17" ht="18.75" x14ac:dyDescent="0.3">
      <c r="D71" s="938" t="s">
        <v>95</v>
      </c>
      <c r="E71" s="938"/>
      <c r="F71" s="111">
        <v>0</v>
      </c>
      <c r="I71" s="909" t="s">
        <v>13</v>
      </c>
      <c r="J71" s="910"/>
      <c r="K71" s="911">
        <f>F73+F74+F75</f>
        <v>0</v>
      </c>
      <c r="L71" s="911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0</v>
      </c>
      <c r="H73" s="555"/>
      <c r="I73" s="108" t="s">
        <v>15</v>
      </c>
      <c r="J73" s="109"/>
      <c r="K73" s="1037">
        <f>-C4</f>
        <v>-3445405.07</v>
      </c>
      <c r="L73" s="911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891" t="s">
        <v>18</v>
      </c>
      <c r="E75" s="892"/>
      <c r="F75" s="113">
        <v>0</v>
      </c>
      <c r="I75" s="1065" t="s">
        <v>198</v>
      </c>
      <c r="J75" s="1066"/>
      <c r="K75" s="1067">
        <f>K71+K73</f>
        <v>-3445405.07</v>
      </c>
      <c r="L75" s="1067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Q41:Q42"/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</mergeCells>
  <pageMargins left="0.23622047244094491" right="0.23622047244094491" top="0.31496062992125984" bottom="0.27559055118110237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B1:N123"/>
  <sheetViews>
    <sheetView tabSelected="1" zoomScale="130" zoomScaleNormal="13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D26" sqref="D26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44893</v>
      </c>
      <c r="C3" s="845" t="s">
        <v>1572</v>
      </c>
      <c r="D3" s="307">
        <v>71664.570000000007</v>
      </c>
      <c r="E3" s="732"/>
      <c r="F3" s="307"/>
      <c r="G3" s="410">
        <f>D3-F3</f>
        <v>71664.570000000007</v>
      </c>
      <c r="I3" s="890"/>
      <c r="J3" s="391"/>
      <c r="K3" s="392"/>
      <c r="L3" s="732"/>
      <c r="M3" s="349"/>
      <c r="N3" s="183">
        <f>K3-M3</f>
        <v>0</v>
      </c>
    </row>
    <row r="4" spans="2:14" ht="18.75" x14ac:dyDescent="0.3">
      <c r="B4" s="454">
        <v>44894</v>
      </c>
      <c r="C4" s="246" t="s">
        <v>1571</v>
      </c>
      <c r="D4" s="111">
        <v>67954.600000000006</v>
      </c>
      <c r="E4" s="412"/>
      <c r="F4" s="111"/>
      <c r="G4" s="544">
        <f t="shared" ref="G4:G65" si="0">D4-F4</f>
        <v>67954.600000000006</v>
      </c>
      <c r="H4" s="138"/>
      <c r="I4" s="393"/>
      <c r="J4" s="391"/>
      <c r="K4" s="392"/>
      <c r="L4" s="732"/>
      <c r="M4" s="349"/>
      <c r="N4" s="137">
        <f>N3+K4-M4</f>
        <v>0</v>
      </c>
    </row>
    <row r="5" spans="2:14" ht="15.75" x14ac:dyDescent="0.25">
      <c r="B5" s="454">
        <v>44895</v>
      </c>
      <c r="C5" s="246" t="s">
        <v>1573</v>
      </c>
      <c r="D5" s="111">
        <v>11186.4</v>
      </c>
      <c r="E5" s="412"/>
      <c r="F5" s="111"/>
      <c r="G5" s="544">
        <f t="shared" si="0"/>
        <v>11186.4</v>
      </c>
      <c r="I5" s="393"/>
      <c r="J5" s="391"/>
      <c r="K5" s="392"/>
      <c r="L5" s="732"/>
      <c r="M5" s="349"/>
      <c r="N5" s="137">
        <f t="shared" ref="N5:N65" si="1">N4+K5-M5</f>
        <v>0</v>
      </c>
    </row>
    <row r="6" spans="2:14" ht="15.75" x14ac:dyDescent="0.25">
      <c r="B6" s="454">
        <v>44896</v>
      </c>
      <c r="C6" s="246" t="s">
        <v>1574</v>
      </c>
      <c r="D6" s="111">
        <v>146604.18</v>
      </c>
      <c r="E6" s="412"/>
      <c r="F6" s="111"/>
      <c r="G6" s="544">
        <f t="shared" si="0"/>
        <v>146604.18</v>
      </c>
      <c r="I6" s="393"/>
      <c r="J6" s="391"/>
      <c r="K6" s="392"/>
      <c r="L6" s="732"/>
      <c r="M6" s="349"/>
      <c r="N6" s="137">
        <f t="shared" si="1"/>
        <v>0</v>
      </c>
    </row>
    <row r="7" spans="2:14" ht="15.75" x14ac:dyDescent="0.25">
      <c r="B7" s="454">
        <v>44897</v>
      </c>
      <c r="C7" s="246" t="s">
        <v>1575</v>
      </c>
      <c r="D7" s="111">
        <v>63814.55</v>
      </c>
      <c r="E7" s="412"/>
      <c r="F7" s="111"/>
      <c r="G7" s="544">
        <f t="shared" si="0"/>
        <v>63814.55</v>
      </c>
      <c r="I7" s="393"/>
      <c r="J7" s="391"/>
      <c r="K7" s="392"/>
      <c r="L7" s="732"/>
      <c r="M7" s="349"/>
      <c r="N7" s="137">
        <f t="shared" si="1"/>
        <v>0</v>
      </c>
    </row>
    <row r="8" spans="2:14" ht="15.75" x14ac:dyDescent="0.25">
      <c r="B8" s="454">
        <v>44898</v>
      </c>
      <c r="C8" s="246" t="s">
        <v>1576</v>
      </c>
      <c r="D8" s="111">
        <v>87713.600000000006</v>
      </c>
      <c r="E8" s="412"/>
      <c r="F8" s="111"/>
      <c r="G8" s="544">
        <f t="shared" si="0"/>
        <v>87713.600000000006</v>
      </c>
      <c r="I8" s="393"/>
      <c r="J8" s="391"/>
      <c r="K8" s="392"/>
      <c r="L8" s="732"/>
      <c r="M8" s="349"/>
      <c r="N8" s="137">
        <f t="shared" si="1"/>
        <v>0</v>
      </c>
    </row>
    <row r="9" spans="2:14" ht="15.75" x14ac:dyDescent="0.25">
      <c r="B9" s="454">
        <v>44900</v>
      </c>
      <c r="C9" s="246" t="s">
        <v>1577</v>
      </c>
      <c r="D9" s="111">
        <v>176506.72</v>
      </c>
      <c r="E9" s="412"/>
      <c r="F9" s="111"/>
      <c r="G9" s="544">
        <f t="shared" si="0"/>
        <v>176506.72</v>
      </c>
      <c r="I9" s="393"/>
      <c r="J9" s="391"/>
      <c r="K9" s="392"/>
      <c r="L9" s="732"/>
      <c r="M9" s="349"/>
      <c r="N9" s="137">
        <f t="shared" si="1"/>
        <v>0</v>
      </c>
    </row>
    <row r="10" spans="2:14" ht="18.75" x14ac:dyDescent="0.3">
      <c r="B10" s="454">
        <v>44900</v>
      </c>
      <c r="C10" s="246" t="s">
        <v>1578</v>
      </c>
      <c r="D10" s="111">
        <v>4998</v>
      </c>
      <c r="E10" s="412"/>
      <c r="F10" s="111"/>
      <c r="G10" s="544">
        <f t="shared" si="0"/>
        <v>4998</v>
      </c>
      <c r="H10" s="138"/>
      <c r="I10" s="393"/>
      <c r="J10" s="391"/>
      <c r="K10" s="392"/>
      <c r="L10" s="732"/>
      <c r="M10" s="349"/>
      <c r="N10" s="137">
        <f t="shared" si="1"/>
        <v>0</v>
      </c>
    </row>
    <row r="11" spans="2:14" ht="15.75" x14ac:dyDescent="0.25">
      <c r="B11" s="454">
        <v>44901</v>
      </c>
      <c r="C11" s="246" t="s">
        <v>1579</v>
      </c>
      <c r="D11" s="111">
        <v>39827.120000000003</v>
      </c>
      <c r="E11" s="412"/>
      <c r="F11" s="111"/>
      <c r="G11" s="544">
        <f t="shared" si="0"/>
        <v>39827.120000000003</v>
      </c>
      <c r="I11" s="393"/>
      <c r="J11" s="391"/>
      <c r="K11" s="392"/>
      <c r="L11" s="732"/>
      <c r="M11" s="349"/>
      <c r="N11" s="137">
        <f t="shared" si="1"/>
        <v>0</v>
      </c>
    </row>
    <row r="12" spans="2:14" ht="15.75" x14ac:dyDescent="0.25">
      <c r="B12" s="454">
        <v>44901</v>
      </c>
      <c r="C12" s="246" t="s">
        <v>1580</v>
      </c>
      <c r="D12" s="111">
        <v>1600</v>
      </c>
      <c r="E12" s="412"/>
      <c r="F12" s="111"/>
      <c r="G12" s="544">
        <f t="shared" si="0"/>
        <v>1600</v>
      </c>
      <c r="I12" s="393"/>
      <c r="J12" s="391"/>
      <c r="K12" s="392"/>
      <c r="L12" s="732"/>
      <c r="M12" s="349"/>
      <c r="N12" s="137">
        <f t="shared" si="1"/>
        <v>0</v>
      </c>
    </row>
    <row r="13" spans="2:14" ht="15.75" x14ac:dyDescent="0.25">
      <c r="B13" s="454">
        <v>44902</v>
      </c>
      <c r="C13" s="246" t="s">
        <v>1581</v>
      </c>
      <c r="D13" s="111">
        <v>115923</v>
      </c>
      <c r="E13" s="412"/>
      <c r="F13" s="111"/>
      <c r="G13" s="544">
        <f t="shared" si="0"/>
        <v>115923</v>
      </c>
      <c r="I13" s="393"/>
      <c r="J13" s="391"/>
      <c r="K13" s="392"/>
      <c r="L13" s="732"/>
      <c r="M13" s="349"/>
      <c r="N13" s="137">
        <f t="shared" si="1"/>
        <v>0</v>
      </c>
    </row>
    <row r="14" spans="2:14" ht="15.75" x14ac:dyDescent="0.25">
      <c r="B14" s="454">
        <v>44903</v>
      </c>
      <c r="C14" s="246" t="s">
        <v>1582</v>
      </c>
      <c r="D14" s="111">
        <v>117408.92</v>
      </c>
      <c r="E14" s="412"/>
      <c r="F14" s="111"/>
      <c r="G14" s="544">
        <f t="shared" si="0"/>
        <v>117408.92</v>
      </c>
      <c r="I14" s="393"/>
      <c r="J14" s="391"/>
      <c r="K14" s="392"/>
      <c r="L14" s="732"/>
      <c r="M14" s="349"/>
      <c r="N14" s="137">
        <f t="shared" si="1"/>
        <v>0</v>
      </c>
    </row>
    <row r="15" spans="2:14" ht="15.75" x14ac:dyDescent="0.25">
      <c r="B15" s="454">
        <v>44904</v>
      </c>
      <c r="C15" s="246" t="s">
        <v>1583</v>
      </c>
      <c r="D15" s="111">
        <v>23339.54</v>
      </c>
      <c r="E15" s="412"/>
      <c r="F15" s="111"/>
      <c r="G15" s="544">
        <f t="shared" si="0"/>
        <v>23339.54</v>
      </c>
      <c r="I15" s="393"/>
      <c r="J15" s="391"/>
      <c r="K15" s="392"/>
      <c r="L15" s="732"/>
      <c r="M15" s="349"/>
      <c r="N15" s="137">
        <f t="shared" si="1"/>
        <v>0</v>
      </c>
    </row>
    <row r="16" spans="2:14" ht="15.75" x14ac:dyDescent="0.25">
      <c r="B16" s="454">
        <v>44904</v>
      </c>
      <c r="C16" s="246" t="s">
        <v>1584</v>
      </c>
      <c r="D16" s="111">
        <v>12306.1</v>
      </c>
      <c r="E16" s="412"/>
      <c r="F16" s="111"/>
      <c r="G16" s="544">
        <f t="shared" si="0"/>
        <v>12306.1</v>
      </c>
      <c r="I16" s="393"/>
      <c r="J16" s="391"/>
      <c r="K16" s="392"/>
      <c r="L16" s="732"/>
      <c r="M16" s="349"/>
      <c r="N16" s="137">
        <f t="shared" si="1"/>
        <v>0</v>
      </c>
    </row>
    <row r="17" spans="2:14" ht="15.75" x14ac:dyDescent="0.25">
      <c r="B17" s="454">
        <v>44904</v>
      </c>
      <c r="C17" s="246" t="s">
        <v>1585</v>
      </c>
      <c r="D17" s="111">
        <v>5161.1000000000004</v>
      </c>
      <c r="E17" s="412"/>
      <c r="F17" s="111"/>
      <c r="G17" s="544">
        <f t="shared" si="0"/>
        <v>5161.1000000000004</v>
      </c>
      <c r="I17" s="393"/>
      <c r="J17" s="391"/>
      <c r="K17" s="392"/>
      <c r="L17" s="732"/>
      <c r="M17" s="349"/>
      <c r="N17" s="137">
        <f t="shared" si="1"/>
        <v>0</v>
      </c>
    </row>
    <row r="18" spans="2:14" ht="15.75" x14ac:dyDescent="0.25">
      <c r="B18" s="454">
        <v>44905</v>
      </c>
      <c r="C18" s="246" t="s">
        <v>1586</v>
      </c>
      <c r="D18" s="111">
        <v>46446.26</v>
      </c>
      <c r="E18" s="412"/>
      <c r="F18" s="111"/>
      <c r="G18" s="544">
        <f t="shared" si="0"/>
        <v>46446.26</v>
      </c>
      <c r="I18" s="393"/>
      <c r="J18" s="391"/>
      <c r="K18" s="392"/>
      <c r="L18" s="732"/>
      <c r="M18" s="349"/>
      <c r="N18" s="137">
        <f t="shared" si="1"/>
        <v>0</v>
      </c>
    </row>
    <row r="19" spans="2:14" ht="15.75" x14ac:dyDescent="0.25">
      <c r="B19" s="454">
        <v>44905</v>
      </c>
      <c r="C19" s="246" t="s">
        <v>1587</v>
      </c>
      <c r="D19" s="111">
        <v>12336.7</v>
      </c>
      <c r="E19" s="412"/>
      <c r="F19" s="111"/>
      <c r="G19" s="544">
        <f t="shared" si="0"/>
        <v>12336.7</v>
      </c>
      <c r="I19" s="393"/>
      <c r="J19" s="391"/>
      <c r="K19" s="392"/>
      <c r="L19" s="732"/>
      <c r="M19" s="349"/>
      <c r="N19" s="137">
        <f t="shared" si="1"/>
        <v>0</v>
      </c>
    </row>
    <row r="20" spans="2:14" ht="17.25" x14ac:dyDescent="0.3">
      <c r="B20" s="454">
        <v>44907</v>
      </c>
      <c r="C20" s="246" t="s">
        <v>1588</v>
      </c>
      <c r="D20" s="111">
        <v>34531.5</v>
      </c>
      <c r="E20" s="412"/>
      <c r="F20" s="111"/>
      <c r="G20" s="544">
        <f t="shared" si="0"/>
        <v>34531.5</v>
      </c>
      <c r="I20" s="393"/>
      <c r="J20" s="391"/>
      <c r="K20" s="392"/>
      <c r="L20" s="732"/>
      <c r="M20" s="706"/>
      <c r="N20" s="137">
        <f t="shared" si="1"/>
        <v>0</v>
      </c>
    </row>
    <row r="21" spans="2:14" ht="17.25" x14ac:dyDescent="0.3">
      <c r="B21" s="454">
        <v>44908</v>
      </c>
      <c r="C21" s="246" t="s">
        <v>1589</v>
      </c>
      <c r="D21" s="111">
        <v>178202.74</v>
      </c>
      <c r="E21" s="412"/>
      <c r="F21" s="111"/>
      <c r="G21" s="544">
        <f t="shared" si="0"/>
        <v>178202.74</v>
      </c>
      <c r="I21" s="393"/>
      <c r="J21" s="391"/>
      <c r="K21" s="392"/>
      <c r="L21" s="732"/>
      <c r="M21" s="706"/>
      <c r="N21" s="137">
        <f t="shared" si="1"/>
        <v>0</v>
      </c>
    </row>
    <row r="22" spans="2:14" ht="18.75" x14ac:dyDescent="0.3">
      <c r="B22" s="454">
        <v>44909</v>
      </c>
      <c r="C22" s="246" t="s">
        <v>1590</v>
      </c>
      <c r="D22" s="111">
        <v>7436</v>
      </c>
      <c r="E22" s="412"/>
      <c r="F22" s="111"/>
      <c r="G22" s="544">
        <f t="shared" si="0"/>
        <v>7436</v>
      </c>
      <c r="H22" s="644"/>
      <c r="I22" s="393"/>
      <c r="J22" s="391"/>
      <c r="K22" s="392"/>
      <c r="L22" s="732"/>
      <c r="M22" s="706"/>
      <c r="N22" s="137">
        <f t="shared" si="1"/>
        <v>0</v>
      </c>
    </row>
    <row r="23" spans="2:14" ht="15.75" x14ac:dyDescent="0.25">
      <c r="B23" s="454">
        <v>44910</v>
      </c>
      <c r="C23" s="246" t="s">
        <v>1591</v>
      </c>
      <c r="D23" s="111">
        <v>63697.919999999998</v>
      </c>
      <c r="E23" s="412"/>
      <c r="F23" s="111"/>
      <c r="G23" s="544">
        <f t="shared" si="0"/>
        <v>63697.919999999998</v>
      </c>
      <c r="H23" s="2"/>
      <c r="I23" s="393"/>
      <c r="J23" s="391"/>
      <c r="K23" s="392"/>
      <c r="L23" s="412"/>
      <c r="M23" s="111"/>
      <c r="N23" s="137">
        <f t="shared" si="1"/>
        <v>0</v>
      </c>
    </row>
    <row r="24" spans="2:14" ht="21" customHeight="1" x14ac:dyDescent="0.25">
      <c r="B24" s="454">
        <v>44910</v>
      </c>
      <c r="C24" s="246" t="s">
        <v>1592</v>
      </c>
      <c r="D24" s="111">
        <v>7062</v>
      </c>
      <c r="E24" s="412"/>
      <c r="F24" s="111"/>
      <c r="G24" s="544">
        <f t="shared" si="0"/>
        <v>7062</v>
      </c>
      <c r="H24" s="2"/>
      <c r="I24" s="393"/>
      <c r="J24" s="391"/>
      <c r="K24" s="392"/>
      <c r="L24" s="412"/>
      <c r="M24" s="111"/>
      <c r="N24" s="137">
        <f t="shared" si="1"/>
        <v>0</v>
      </c>
    </row>
    <row r="25" spans="2:14" ht="15.75" x14ac:dyDescent="0.25">
      <c r="B25" s="454">
        <v>44911</v>
      </c>
      <c r="C25" s="246" t="s">
        <v>1593</v>
      </c>
      <c r="D25" s="111">
        <v>30339.26</v>
      </c>
      <c r="E25" s="412"/>
      <c r="F25" s="111"/>
      <c r="G25" s="544">
        <f t="shared" si="0"/>
        <v>30339.26</v>
      </c>
      <c r="H25" s="645"/>
      <c r="I25" s="393"/>
      <c r="J25" s="391"/>
      <c r="K25" s="392"/>
      <c r="L25" s="412"/>
      <c r="M25" s="111"/>
      <c r="N25" s="137">
        <f t="shared" si="1"/>
        <v>0</v>
      </c>
    </row>
    <row r="26" spans="2:14" ht="15.75" x14ac:dyDescent="0.25">
      <c r="B26" s="454">
        <v>44911</v>
      </c>
      <c r="C26" s="246" t="s">
        <v>1594</v>
      </c>
      <c r="D26" s="111">
        <v>150530.4</v>
      </c>
      <c r="E26" s="412"/>
      <c r="F26" s="111"/>
      <c r="G26" s="544">
        <f t="shared" si="0"/>
        <v>150530.4</v>
      </c>
      <c r="H26" s="645"/>
      <c r="I26" s="393"/>
      <c r="J26" s="391"/>
      <c r="K26" s="392"/>
      <c r="L26" s="412"/>
      <c r="M26" s="111"/>
      <c r="N26" s="137">
        <f t="shared" si="1"/>
        <v>0</v>
      </c>
    </row>
    <row r="27" spans="2:14" ht="15.75" x14ac:dyDescent="0.25">
      <c r="B27" s="454">
        <v>44912</v>
      </c>
      <c r="C27" s="246" t="s">
        <v>1595</v>
      </c>
      <c r="D27" s="111">
        <v>133820.34</v>
      </c>
      <c r="E27" s="412"/>
      <c r="F27" s="111"/>
      <c r="G27" s="544">
        <f t="shared" si="0"/>
        <v>133820.34</v>
      </c>
      <c r="H27" s="645"/>
      <c r="I27" s="393"/>
      <c r="J27" s="391"/>
      <c r="K27" s="392"/>
      <c r="L27" s="412"/>
      <c r="M27" s="111"/>
      <c r="N27" s="137">
        <f t="shared" si="1"/>
        <v>0</v>
      </c>
    </row>
    <row r="28" spans="2:14" ht="15.75" x14ac:dyDescent="0.25">
      <c r="B28" s="454">
        <v>44912</v>
      </c>
      <c r="C28" s="246" t="s">
        <v>1596</v>
      </c>
      <c r="D28" s="111">
        <v>43916.800000000003</v>
      </c>
      <c r="E28" s="412"/>
      <c r="F28" s="111"/>
      <c r="G28" s="544">
        <f t="shared" si="0"/>
        <v>43916.800000000003</v>
      </c>
      <c r="H28" s="645"/>
      <c r="I28" s="393"/>
      <c r="J28" s="391"/>
      <c r="K28" s="392"/>
      <c r="L28" s="412"/>
      <c r="M28" s="111"/>
      <c r="N28" s="137">
        <f t="shared" si="1"/>
        <v>0</v>
      </c>
    </row>
    <row r="29" spans="2:14" ht="15.75" x14ac:dyDescent="0.25">
      <c r="B29" s="454">
        <v>44912</v>
      </c>
      <c r="C29" s="246" t="s">
        <v>1597</v>
      </c>
      <c r="D29" s="111">
        <v>12678.8</v>
      </c>
      <c r="E29" s="412"/>
      <c r="F29" s="111"/>
      <c r="G29" s="544">
        <f t="shared" si="0"/>
        <v>12678.8</v>
      </c>
      <c r="H29" s="645"/>
      <c r="I29" s="862"/>
      <c r="J29" s="347"/>
      <c r="K29" s="349"/>
      <c r="L29" s="412"/>
      <c r="M29" s="111"/>
      <c r="N29" s="137">
        <f t="shared" si="1"/>
        <v>0</v>
      </c>
    </row>
    <row r="30" spans="2:14" ht="15.75" x14ac:dyDescent="0.25">
      <c r="B30" s="454">
        <v>44914</v>
      </c>
      <c r="C30" s="246" t="s">
        <v>1598</v>
      </c>
      <c r="D30" s="111">
        <v>82311.899999999994</v>
      </c>
      <c r="E30" s="412"/>
      <c r="F30" s="111"/>
      <c r="G30" s="544">
        <f t="shared" si="0"/>
        <v>82311.899999999994</v>
      </c>
      <c r="H30" s="645"/>
      <c r="I30" s="862"/>
      <c r="J30" s="347"/>
      <c r="K30" s="349"/>
      <c r="L30" s="412"/>
      <c r="M30" s="111"/>
      <c r="N30" s="137">
        <f t="shared" si="1"/>
        <v>0</v>
      </c>
    </row>
    <row r="31" spans="2:14" ht="15.75" x14ac:dyDescent="0.25">
      <c r="B31" s="454">
        <v>44915</v>
      </c>
      <c r="C31" s="246" t="s">
        <v>1599</v>
      </c>
      <c r="D31" s="111">
        <v>134218.38</v>
      </c>
      <c r="E31" s="412"/>
      <c r="F31" s="111"/>
      <c r="G31" s="544">
        <f t="shared" si="0"/>
        <v>134218.38</v>
      </c>
      <c r="H31" s="2"/>
      <c r="I31" s="862"/>
      <c r="J31" s="347"/>
      <c r="K31" s="349"/>
      <c r="L31" s="412"/>
      <c r="M31" s="111"/>
      <c r="N31" s="137">
        <f t="shared" si="1"/>
        <v>0</v>
      </c>
    </row>
    <row r="32" spans="2:14" ht="15.75" x14ac:dyDescent="0.25">
      <c r="B32" s="454">
        <v>44916</v>
      </c>
      <c r="C32" s="246" t="s">
        <v>1600</v>
      </c>
      <c r="D32" s="111">
        <v>197070.6</v>
      </c>
      <c r="E32" s="412"/>
      <c r="F32" s="111"/>
      <c r="G32" s="544">
        <f t="shared" si="0"/>
        <v>197070.6</v>
      </c>
      <c r="H32" s="2"/>
      <c r="I32" s="862"/>
      <c r="J32" s="347"/>
      <c r="K32" s="349"/>
      <c r="L32" s="412"/>
      <c r="M32" s="111"/>
      <c r="N32" s="137">
        <f t="shared" si="1"/>
        <v>0</v>
      </c>
    </row>
    <row r="33" spans="2:14" ht="15.75" x14ac:dyDescent="0.25">
      <c r="B33" s="454">
        <v>44917</v>
      </c>
      <c r="C33" s="246" t="s">
        <v>1601</v>
      </c>
      <c r="D33" s="111">
        <v>41423</v>
      </c>
      <c r="E33" s="412"/>
      <c r="F33" s="111"/>
      <c r="G33" s="544">
        <f t="shared" si="0"/>
        <v>41423</v>
      </c>
      <c r="I33" s="393"/>
      <c r="J33" s="391"/>
      <c r="K33" s="392"/>
      <c r="L33" s="412"/>
      <c r="M33" s="111"/>
      <c r="N33" s="137">
        <f t="shared" si="1"/>
        <v>0</v>
      </c>
    </row>
    <row r="34" spans="2:14" ht="15.75" x14ac:dyDescent="0.25">
      <c r="B34" s="454">
        <v>44917</v>
      </c>
      <c r="C34" s="246" t="s">
        <v>1602</v>
      </c>
      <c r="D34" s="111">
        <v>223573.03</v>
      </c>
      <c r="E34" s="412"/>
      <c r="F34" s="111"/>
      <c r="G34" s="544">
        <f t="shared" si="0"/>
        <v>223573.03</v>
      </c>
      <c r="I34" s="393"/>
      <c r="J34" s="391"/>
      <c r="K34" s="392"/>
      <c r="L34" s="412"/>
      <c r="M34" s="111"/>
      <c r="N34" s="137">
        <f t="shared" si="1"/>
        <v>0</v>
      </c>
    </row>
    <row r="35" spans="2:14" ht="15.75" x14ac:dyDescent="0.25">
      <c r="B35" s="454">
        <v>44917</v>
      </c>
      <c r="C35" s="246" t="s">
        <v>1603</v>
      </c>
      <c r="D35" s="111">
        <v>17874</v>
      </c>
      <c r="E35" s="412"/>
      <c r="F35" s="111"/>
      <c r="G35" s="544">
        <f t="shared" si="0"/>
        <v>17874</v>
      </c>
      <c r="I35" s="393"/>
      <c r="J35" s="391"/>
      <c r="K35" s="392"/>
      <c r="L35" s="412"/>
      <c r="M35" s="111"/>
      <c r="N35" s="137">
        <f t="shared" si="1"/>
        <v>0</v>
      </c>
    </row>
    <row r="36" spans="2:14" ht="15.75" x14ac:dyDescent="0.25">
      <c r="B36" s="454">
        <v>44918</v>
      </c>
      <c r="C36" s="246" t="s">
        <v>1604</v>
      </c>
      <c r="D36" s="111">
        <v>207942.8</v>
      </c>
      <c r="E36" s="412"/>
      <c r="F36" s="111"/>
      <c r="G36" s="544">
        <f t="shared" si="0"/>
        <v>207942.8</v>
      </c>
      <c r="I36" s="1070"/>
      <c r="J36" s="1071"/>
      <c r="K36" s="1071"/>
      <c r="L36" s="1072"/>
      <c r="M36" s="111"/>
      <c r="N36" s="137">
        <f t="shared" si="1"/>
        <v>0</v>
      </c>
    </row>
    <row r="37" spans="2:14" ht="15.75" x14ac:dyDescent="0.25">
      <c r="B37" s="454">
        <v>44922</v>
      </c>
      <c r="C37" s="246" t="s">
        <v>1605</v>
      </c>
      <c r="D37" s="111">
        <v>54948.76</v>
      </c>
      <c r="E37" s="412"/>
      <c r="F37" s="111"/>
      <c r="G37" s="544">
        <f t="shared" si="0"/>
        <v>54948.76</v>
      </c>
      <c r="I37" s="1070"/>
      <c r="J37" s="1071"/>
      <c r="K37" s="1071"/>
      <c r="L37" s="1072"/>
      <c r="M37" s="111"/>
      <c r="N37" s="137">
        <f t="shared" si="1"/>
        <v>0</v>
      </c>
    </row>
    <row r="38" spans="2:14" ht="15.75" x14ac:dyDescent="0.25">
      <c r="B38" s="454">
        <v>44922</v>
      </c>
      <c r="C38" s="246" t="s">
        <v>1606</v>
      </c>
      <c r="D38" s="111">
        <v>28113.3</v>
      </c>
      <c r="E38" s="412"/>
      <c r="F38" s="111"/>
      <c r="G38" s="544">
        <f t="shared" si="0"/>
        <v>28113.3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4">
        <v>44923</v>
      </c>
      <c r="C39" s="246" t="s">
        <v>1607</v>
      </c>
      <c r="D39" s="111">
        <v>17019.900000000001</v>
      </c>
      <c r="E39" s="253"/>
      <c r="F39" s="69"/>
      <c r="G39" s="111">
        <f t="shared" si="0"/>
        <v>17019.900000000001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>
        <v>44924</v>
      </c>
      <c r="C40" s="246" t="s">
        <v>1608</v>
      </c>
      <c r="D40" s="111">
        <v>22292</v>
      </c>
      <c r="E40" s="253"/>
      <c r="F40" s="69"/>
      <c r="G40" s="111">
        <f t="shared" si="0"/>
        <v>22292</v>
      </c>
      <c r="I40" s="995" t="s">
        <v>594</v>
      </c>
      <c r="J40" s="996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97"/>
      <c r="J41" s="998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99"/>
      <c r="J42" s="1000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2693794.7899999991</v>
      </c>
      <c r="E67" s="407"/>
      <c r="F67" s="395">
        <f>SUM(F3:F66)</f>
        <v>0</v>
      </c>
      <c r="G67" s="153">
        <f>SUM(G3:G66)</f>
        <v>2693794.7899999991</v>
      </c>
      <c r="I67" s="991" t="s">
        <v>594</v>
      </c>
      <c r="J67" s="992"/>
      <c r="K67" s="642">
        <f>SUM(K3:K66)</f>
        <v>0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53" t="s">
        <v>207</v>
      </c>
      <c r="I68" s="993"/>
      <c r="J68" s="994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54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53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54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15"/>
      <c r="C1" s="917" t="s">
        <v>208</v>
      </c>
      <c r="D1" s="918"/>
      <c r="E1" s="918"/>
      <c r="F1" s="918"/>
      <c r="G1" s="918"/>
      <c r="H1" s="918"/>
      <c r="I1" s="918"/>
      <c r="J1" s="918"/>
      <c r="K1" s="918"/>
      <c r="L1" s="918"/>
      <c r="M1" s="918"/>
    </row>
    <row r="2" spans="1:25" ht="16.5" thickBot="1" x14ac:dyDescent="0.3">
      <c r="B2" s="916"/>
      <c r="C2" s="3"/>
      <c r="H2" s="5"/>
      <c r="I2" s="6"/>
      <c r="J2" s="7"/>
      <c r="L2" s="8"/>
      <c r="M2" s="6"/>
      <c r="N2" s="9"/>
    </row>
    <row r="3" spans="1:25" ht="21.75" thickBot="1" x14ac:dyDescent="0.35">
      <c r="B3" s="919" t="s">
        <v>0</v>
      </c>
      <c r="C3" s="920"/>
      <c r="D3" s="10"/>
      <c r="E3" s="11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922" t="s">
        <v>2</v>
      </c>
      <c r="F4" s="923"/>
      <c r="H4" s="924" t="s">
        <v>3</v>
      </c>
      <c r="I4" s="925"/>
      <c r="J4" s="19"/>
      <c r="K4" s="166"/>
      <c r="L4" s="20"/>
      <c r="M4" s="21" t="s">
        <v>4</v>
      </c>
      <c r="N4" s="22" t="s">
        <v>5</v>
      </c>
      <c r="P4" s="946"/>
      <c r="Q4" s="322" t="s">
        <v>217</v>
      </c>
      <c r="R4" s="956"/>
      <c r="W4" s="928" t="s">
        <v>124</v>
      </c>
      <c r="X4" s="928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28"/>
      <c r="X5" s="928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32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33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34"/>
      <c r="X21" s="934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35"/>
      <c r="X23" s="935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35"/>
      <c r="X24" s="935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36"/>
      <c r="X25" s="936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36"/>
      <c r="X26" s="936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29"/>
      <c r="X27" s="930"/>
      <c r="Y27" s="931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30"/>
      <c r="X28" s="930"/>
      <c r="Y28" s="931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47">
        <f>SUM(M5:M35)</f>
        <v>1077791.3</v>
      </c>
      <c r="N36" s="949">
        <f>SUM(N5:N35)</f>
        <v>936398</v>
      </c>
      <c r="O36" s="276"/>
      <c r="P36" s="277">
        <v>0</v>
      </c>
      <c r="Q36" s="951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48"/>
      <c r="N37" s="950"/>
      <c r="O37" s="276"/>
      <c r="P37" s="277">
        <v>0</v>
      </c>
      <c r="Q37" s="952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02" t="s">
        <v>11</v>
      </c>
      <c r="I52" s="903"/>
      <c r="J52" s="100"/>
      <c r="K52" s="904">
        <f>I50+L50</f>
        <v>90750.75</v>
      </c>
      <c r="L52" s="937"/>
      <c r="M52" s="272"/>
      <c r="N52" s="272"/>
      <c r="P52" s="34"/>
      <c r="Q52" s="13"/>
    </row>
    <row r="53" spans="1:17" ht="16.5" thickBot="1" x14ac:dyDescent="0.3">
      <c r="D53" s="908" t="s">
        <v>12</v>
      </c>
      <c r="E53" s="908"/>
      <c r="F53" s="312">
        <f>F50-K52-C50</f>
        <v>1739855.03</v>
      </c>
      <c r="I53" s="102"/>
      <c r="J53" s="103"/>
    </row>
    <row r="54" spans="1:17" ht="18.75" x14ac:dyDescent="0.3">
      <c r="D54" s="938" t="s">
        <v>95</v>
      </c>
      <c r="E54" s="938"/>
      <c r="F54" s="111">
        <v>-1567070.66</v>
      </c>
      <c r="I54" s="909" t="s">
        <v>13</v>
      </c>
      <c r="J54" s="910"/>
      <c r="K54" s="911">
        <f>F56+F57+F58</f>
        <v>703192.8600000001</v>
      </c>
      <c r="L54" s="911"/>
      <c r="M54" s="939" t="s">
        <v>211</v>
      </c>
      <c r="N54" s="940"/>
      <c r="O54" s="940"/>
      <c r="P54" s="940"/>
      <c r="Q54" s="941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42"/>
      <c r="N55" s="943"/>
      <c r="O55" s="943"/>
      <c r="P55" s="943"/>
      <c r="Q55" s="944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913">
        <f>-C4</f>
        <v>-567389.35</v>
      </c>
      <c r="L56" s="914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91" t="s">
        <v>18</v>
      </c>
      <c r="E58" s="892"/>
      <c r="F58" s="113">
        <v>754143.23</v>
      </c>
      <c r="I58" s="893" t="s">
        <v>198</v>
      </c>
      <c r="J58" s="894"/>
      <c r="K58" s="895">
        <f>K54+K56</f>
        <v>135803.51000000013</v>
      </c>
      <c r="L58" s="89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53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54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15"/>
      <c r="C1" s="957" t="s">
        <v>316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25" ht="16.5" thickBot="1" x14ac:dyDescent="0.3">
      <c r="B2" s="916"/>
      <c r="C2" s="3"/>
      <c r="H2" s="5"/>
      <c r="I2" s="6"/>
      <c r="J2" s="7"/>
      <c r="L2" s="8"/>
      <c r="M2" s="6"/>
      <c r="N2" s="9"/>
    </row>
    <row r="3" spans="1:25" ht="21.75" thickBot="1" x14ac:dyDescent="0.35">
      <c r="B3" s="919" t="s">
        <v>0</v>
      </c>
      <c r="C3" s="920"/>
      <c r="D3" s="10"/>
      <c r="E3" s="11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922" t="s">
        <v>2</v>
      </c>
      <c r="F4" s="923"/>
      <c r="H4" s="924" t="s">
        <v>3</v>
      </c>
      <c r="I4" s="925"/>
      <c r="J4" s="19"/>
      <c r="K4" s="166"/>
      <c r="L4" s="20"/>
      <c r="M4" s="21" t="s">
        <v>4</v>
      </c>
      <c r="N4" s="22" t="s">
        <v>5</v>
      </c>
      <c r="P4" s="946"/>
      <c r="Q4" s="322" t="s">
        <v>217</v>
      </c>
      <c r="R4" s="956"/>
      <c r="W4" s="928" t="s">
        <v>124</v>
      </c>
      <c r="X4" s="928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28"/>
      <c r="X5" s="928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32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33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34"/>
      <c r="X21" s="934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35"/>
      <c r="X23" s="935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35"/>
      <c r="X24" s="935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36"/>
      <c r="X25" s="936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36"/>
      <c r="X26" s="936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29"/>
      <c r="X27" s="930"/>
      <c r="Y27" s="931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30"/>
      <c r="X28" s="930"/>
      <c r="Y28" s="931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47">
        <f>SUM(M5:M35)</f>
        <v>1818445.73</v>
      </c>
      <c r="N36" s="949">
        <f>SUM(N5:N35)</f>
        <v>739014</v>
      </c>
      <c r="O36" s="276"/>
      <c r="P36" s="277">
        <v>0</v>
      </c>
      <c r="Q36" s="951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48"/>
      <c r="N37" s="950"/>
      <c r="O37" s="276"/>
      <c r="P37" s="277">
        <v>0</v>
      </c>
      <c r="Q37" s="952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02" t="s">
        <v>11</v>
      </c>
      <c r="I52" s="903"/>
      <c r="J52" s="100"/>
      <c r="K52" s="904">
        <f>I50+L50</f>
        <v>158798.12</v>
      </c>
      <c r="L52" s="937"/>
      <c r="M52" s="272"/>
      <c r="N52" s="272"/>
      <c r="P52" s="34"/>
      <c r="Q52" s="13"/>
    </row>
    <row r="53" spans="1:17" x14ac:dyDescent="0.25">
      <c r="D53" s="908" t="s">
        <v>12</v>
      </c>
      <c r="E53" s="908"/>
      <c r="F53" s="312">
        <f>F50-K52-C50</f>
        <v>2078470.75</v>
      </c>
      <c r="I53" s="102"/>
      <c r="J53" s="103"/>
    </row>
    <row r="54" spans="1:17" ht="18.75" x14ac:dyDescent="0.3">
      <c r="D54" s="938" t="s">
        <v>95</v>
      </c>
      <c r="E54" s="938"/>
      <c r="F54" s="111">
        <v>-1448401.2</v>
      </c>
      <c r="I54" s="909" t="s">
        <v>13</v>
      </c>
      <c r="J54" s="910"/>
      <c r="K54" s="911">
        <f>F56+F57+F58</f>
        <v>1025960.7</v>
      </c>
      <c r="L54" s="91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913">
        <f>-C4</f>
        <v>-754143.23</v>
      </c>
      <c r="L56" s="914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91" t="s">
        <v>18</v>
      </c>
      <c r="E58" s="892"/>
      <c r="F58" s="113">
        <v>1149740.4099999999</v>
      </c>
      <c r="I58" s="893" t="s">
        <v>198</v>
      </c>
      <c r="J58" s="894"/>
      <c r="K58" s="895">
        <f>K54+K56</f>
        <v>271817.46999999997</v>
      </c>
      <c r="L58" s="89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59" t="s">
        <v>413</v>
      </c>
      <c r="C43" s="960"/>
      <c r="D43" s="960"/>
      <c r="E43" s="961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62"/>
      <c r="C44" s="963"/>
      <c r="D44" s="963"/>
      <c r="E44" s="964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65"/>
      <c r="C45" s="966"/>
      <c r="D45" s="966"/>
      <c r="E45" s="967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74" t="s">
        <v>593</v>
      </c>
      <c r="C47" s="975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76"/>
      <c r="C48" s="977"/>
      <c r="D48" s="253"/>
      <c r="E48" s="69"/>
      <c r="F48" s="137">
        <f t="shared" si="2"/>
        <v>0</v>
      </c>
      <c r="I48" s="348"/>
      <c r="J48" s="968" t="s">
        <v>414</v>
      </c>
      <c r="K48" s="969"/>
      <c r="L48" s="970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71"/>
      <c r="K49" s="972"/>
      <c r="L49" s="973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78" t="s">
        <v>594</v>
      </c>
      <c r="J50" s="979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78"/>
      <c r="J51" s="979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78"/>
      <c r="J52" s="979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78"/>
      <c r="J53" s="979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78"/>
      <c r="J54" s="979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78"/>
      <c r="J55" s="979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78"/>
      <c r="J56" s="979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78"/>
      <c r="J57" s="979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78"/>
      <c r="J58" s="979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78"/>
      <c r="J59" s="979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78"/>
      <c r="J60" s="979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78"/>
      <c r="J61" s="979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78"/>
      <c r="J62" s="979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78"/>
      <c r="J63" s="979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78"/>
      <c r="J64" s="979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78"/>
      <c r="J65" s="979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78"/>
      <c r="J66" s="979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78"/>
      <c r="J67" s="979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78"/>
      <c r="J68" s="979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78"/>
      <c r="J69" s="979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78"/>
      <c r="J70" s="979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78"/>
      <c r="J71" s="979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78"/>
      <c r="J72" s="979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78"/>
      <c r="J73" s="979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78"/>
      <c r="J74" s="979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78"/>
      <c r="J75" s="979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78"/>
      <c r="J76" s="979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78"/>
      <c r="J77" s="979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80"/>
      <c r="J78" s="981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53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54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915"/>
      <c r="C1" s="957" t="s">
        <v>646</v>
      </c>
      <c r="D1" s="958"/>
      <c r="E1" s="958"/>
      <c r="F1" s="958"/>
      <c r="G1" s="958"/>
      <c r="H1" s="958"/>
      <c r="I1" s="958"/>
      <c r="J1" s="958"/>
      <c r="K1" s="958"/>
      <c r="L1" s="958"/>
      <c r="M1" s="958"/>
    </row>
    <row r="2" spans="1:25" ht="16.5" thickBot="1" x14ac:dyDescent="0.3">
      <c r="B2" s="916"/>
      <c r="C2" s="3"/>
      <c r="H2" s="5"/>
      <c r="I2" s="6"/>
      <c r="J2" s="7"/>
      <c r="L2" s="8"/>
      <c r="M2" s="6"/>
      <c r="N2" s="9"/>
    </row>
    <row r="3" spans="1:25" ht="21.75" thickBot="1" x14ac:dyDescent="0.35">
      <c r="B3" s="919" t="s">
        <v>0</v>
      </c>
      <c r="C3" s="920"/>
      <c r="D3" s="10"/>
      <c r="E3" s="11"/>
      <c r="F3" s="11"/>
      <c r="H3" s="921" t="s">
        <v>26</v>
      </c>
      <c r="I3" s="921"/>
      <c r="K3" s="165"/>
      <c r="L3" s="13"/>
      <c r="M3" s="14"/>
      <c r="P3" s="945" t="s">
        <v>6</v>
      </c>
      <c r="R3" s="955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922" t="s">
        <v>2</v>
      </c>
      <c r="F4" s="923"/>
      <c r="H4" s="924" t="s">
        <v>3</v>
      </c>
      <c r="I4" s="925"/>
      <c r="J4" s="19"/>
      <c r="K4" s="166"/>
      <c r="L4" s="20"/>
      <c r="M4" s="21" t="s">
        <v>4</v>
      </c>
      <c r="N4" s="22" t="s">
        <v>5</v>
      </c>
      <c r="P4" s="946"/>
      <c r="Q4" s="322" t="s">
        <v>217</v>
      </c>
      <c r="R4" s="956"/>
      <c r="W4" s="928" t="s">
        <v>124</v>
      </c>
      <c r="X4" s="928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28"/>
      <c r="X5" s="928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32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33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34"/>
      <c r="X21" s="934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35"/>
      <c r="X23" s="935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35"/>
      <c r="X24" s="935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36"/>
      <c r="X25" s="936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36"/>
      <c r="X26" s="936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29"/>
      <c r="X27" s="930"/>
      <c r="Y27" s="931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30"/>
      <c r="X28" s="930"/>
      <c r="Y28" s="931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47">
        <f>SUM(M5:M35)</f>
        <v>2143864.4900000002</v>
      </c>
      <c r="N36" s="949">
        <f>SUM(N5:N35)</f>
        <v>791108</v>
      </c>
      <c r="O36" s="276"/>
      <c r="P36" s="277">
        <v>0</v>
      </c>
      <c r="Q36" s="982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48"/>
      <c r="N37" s="950"/>
      <c r="O37" s="276"/>
      <c r="P37" s="277">
        <v>0</v>
      </c>
      <c r="Q37" s="983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84">
        <f>M36+N36</f>
        <v>2934972.49</v>
      </c>
      <c r="N39" s="985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02" t="s">
        <v>11</v>
      </c>
      <c r="I52" s="903"/>
      <c r="J52" s="100"/>
      <c r="K52" s="904">
        <f>I50+L50</f>
        <v>197471.8</v>
      </c>
      <c r="L52" s="937"/>
      <c r="M52" s="272"/>
      <c r="N52" s="272"/>
      <c r="P52" s="34"/>
      <c r="Q52" s="13"/>
    </row>
    <row r="53" spans="1:17" x14ac:dyDescent="0.25">
      <c r="D53" s="908" t="s">
        <v>12</v>
      </c>
      <c r="E53" s="908"/>
      <c r="F53" s="312">
        <f>F50-K52-C50</f>
        <v>2057786.11</v>
      </c>
      <c r="I53" s="102"/>
      <c r="J53" s="103"/>
    </row>
    <row r="54" spans="1:17" ht="18.75" x14ac:dyDescent="0.3">
      <c r="D54" s="938" t="s">
        <v>95</v>
      </c>
      <c r="E54" s="938"/>
      <c r="F54" s="111">
        <v>-1702928.14</v>
      </c>
      <c r="I54" s="909" t="s">
        <v>13</v>
      </c>
      <c r="J54" s="910"/>
      <c r="K54" s="911">
        <f>F56+F57+F58</f>
        <v>1147965.3400000003</v>
      </c>
      <c r="L54" s="911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913">
        <f>-C4</f>
        <v>-1149740.4099999999</v>
      </c>
      <c r="L56" s="914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91" t="s">
        <v>18</v>
      </c>
      <c r="E58" s="892"/>
      <c r="F58" s="113">
        <v>1266568.45</v>
      </c>
      <c r="I58" s="893" t="s">
        <v>97</v>
      </c>
      <c r="J58" s="894"/>
      <c r="K58" s="895">
        <f>K54+K56</f>
        <v>-1775.0699999995995</v>
      </c>
      <c r="L58" s="895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  D I C I E M B R E    2  0 2 2</vt:lpstr>
      <vt:lpstr>COMPRAS DICIEMBRE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2022-12-17T21:21:48Z</cp:lastPrinted>
  <dcterms:created xsi:type="dcterms:W3CDTF">2021-11-04T19:08:42Z</dcterms:created>
  <dcterms:modified xsi:type="dcterms:W3CDTF">2022-12-29T18:34:57Z</dcterms:modified>
</cp:coreProperties>
</file>