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35" windowHeight="11715" firstSheet="16" activeTab="18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    O C T U B R E    2 0 2 3   " sheetId="20" r:id="rId19"/>
    <sheet name=" COMPRAS OCTUBRE    2 0 2 3    " sheetId="21" r:id="rId20"/>
    <sheet name="Hoja1" sheetId="22" r:id="rId21"/>
    <sheet name="Hoja2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0" l="1"/>
  <c r="M15" i="20" l="1"/>
  <c r="M13" i="20" l="1"/>
  <c r="M12" i="20" l="1"/>
  <c r="M11" i="20"/>
  <c r="M10" i="20" l="1"/>
  <c r="M9" i="20"/>
  <c r="M8" i="20" l="1"/>
  <c r="M7" i="20"/>
  <c r="D69" i="19" l="1"/>
  <c r="G69" i="19"/>
  <c r="M5" i="20" l="1"/>
  <c r="L5" i="20"/>
  <c r="C79" i="20" l="1"/>
  <c r="F69" i="21"/>
  <c r="D69" i="21"/>
  <c r="G68" i="21"/>
  <c r="G67" i="21"/>
  <c r="G66" i="21"/>
  <c r="N65" i="21"/>
  <c r="M65" i="21"/>
  <c r="K65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9" i="21" s="1"/>
  <c r="G6" i="21"/>
  <c r="G5" i="21"/>
  <c r="G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G3" i="21"/>
  <c r="C79" i="18"/>
  <c r="F82" i="16"/>
  <c r="C75" i="2"/>
  <c r="C79" i="16" l="1"/>
  <c r="F82" i="18"/>
  <c r="F79" i="20"/>
  <c r="Q8" i="20"/>
  <c r="K85" i="20"/>
  <c r="I79" i="20"/>
  <c r="R50" i="20"/>
  <c r="N49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P33" i="20"/>
  <c r="Q33" i="20" s="1"/>
  <c r="P32" i="20"/>
  <c r="Q32" i="20" s="1"/>
  <c r="P31" i="20"/>
  <c r="P30" i="20"/>
  <c r="Q30" i="20" s="1"/>
  <c r="P29" i="20"/>
  <c r="Q29" i="20" s="1"/>
  <c r="P28" i="20"/>
  <c r="Q28" i="20" s="1"/>
  <c r="P27" i="20"/>
  <c r="Q27" i="20" s="1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P19" i="20"/>
  <c r="Q19" i="20" s="1"/>
  <c r="L79" i="20"/>
  <c r="P17" i="20"/>
  <c r="Q17" i="20" s="1"/>
  <c r="P16" i="20"/>
  <c r="Q16" i="20" s="1"/>
  <c r="P15" i="20"/>
  <c r="Q15" i="20" s="1"/>
  <c r="P14" i="20"/>
  <c r="Q14" i="20" s="1"/>
  <c r="P13" i="20"/>
  <c r="Q13" i="20" s="1"/>
  <c r="P12" i="20"/>
  <c r="Q12" i="20" s="1"/>
  <c r="P11" i="20"/>
  <c r="P10" i="20"/>
  <c r="P9" i="20"/>
  <c r="P8" i="20"/>
  <c r="P7" i="20"/>
  <c r="Q7" i="20" s="1"/>
  <c r="P6" i="20"/>
  <c r="Q6" i="20" s="1"/>
  <c r="P5" i="20"/>
  <c r="K81" i="20" l="1"/>
  <c r="F82" i="20" s="1"/>
  <c r="F85" i="20" s="1"/>
  <c r="K83" i="20" s="1"/>
  <c r="K87" i="20" s="1"/>
  <c r="P18" i="20"/>
  <c r="Q18" i="20" s="1"/>
  <c r="M49" i="20"/>
  <c r="M53" i="20" s="1"/>
  <c r="M31" i="18"/>
  <c r="Q49" i="20" l="1"/>
  <c r="P49" i="20"/>
  <c r="M30" i="18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2" i="18"/>
  <c r="Q33" i="18"/>
  <c r="Q34" i="18"/>
  <c r="Q42" i="18"/>
  <c r="Q43" i="18"/>
  <c r="K85" i="18"/>
  <c r="I79" i="18"/>
  <c r="F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Q49" i="18" l="1"/>
  <c r="K81" i="18"/>
  <c r="F85" i="18" s="1"/>
  <c r="K83" i="18" s="1"/>
  <c r="K87" i="18" s="1"/>
  <c r="P49" i="18"/>
  <c r="M49" i="18"/>
  <c r="M53" i="18" s="1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<sst xmlns="http://schemas.openxmlformats.org/spreadsheetml/2006/main" count="2253" uniqueCount="1231">
  <si>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</si>
  <si>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</si>
  <si>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</si>
  <si>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</si>
  <si>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</si>
  <si>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</si>
  <si>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</si>
  <si>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</si>
  <si>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</si>
  <si>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</si>
  <si>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</si>
  <si>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</si>
  <si>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</si>
  <si>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</si>
  <si>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</si>
  <si>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</si>
  <si>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</si>
  <si>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</si>
  <si>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</si>
  <si>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</si>
  <si>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</si>
  <si>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</si>
  <si>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</si>
  <si>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</si>
  <si>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</si>
  <si>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</si>
  <si>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</si>
  <si>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</si>
  <si>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</si>
  <si>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</si>
  <si>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</si>
  <si>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</si>
  <si>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</si>
  <si>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</si>
  <si>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</si>
  <si>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</si>
  <si>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</si>
  <si>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</si>
  <si>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</si>
  <si>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</si>
  <si>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</si>
  <si>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</si>
  <si>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</si>
  <si>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</si>
  <si>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</si>
  <si>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</si>
  <si>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</si>
  <si>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</si>
  <si>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</si>
  <si>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</si>
  <si>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</si>
  <si>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</si>
  <si>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</si>
  <si>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</si>
  <si>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</si>
  <si>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</si>
  <si>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</si>
  <si>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</si>
  <si>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</si>
  <si>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</si>
  <si>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</si>
  <si>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</si>
  <si>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</si>
  <si>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</si>
  <si>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</si>
  <si>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</si>
  <si>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</si>
  <si>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</si>
  <si>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</si>
  <si>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</si>
  <si>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</si>
  <si>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</si>
  <si>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</si>
  <si>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</si>
  <si>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</si>
  <si>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</si>
  <si>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</si>
  <si>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</si>
  <si>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</si>
  <si>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</si>
  <si>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</si>
  <si>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</si>
  <si>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</si>
  <si>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</si>
  <si>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</si>
  <si>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</si>
  <si>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</si>
  <si>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</si>
  <si>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</si>
  <si>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</si>
  <si>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</si>
  <si>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</si>
  <si>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</si>
  <si>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</si>
  <si>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</si>
  <si>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</si>
  <si>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</si>
  <si>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</si>
  <si>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</si>
  <si>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</si>
  <si>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</si>
  <si>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</si>
  <si>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</si>
  <si>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</si>
  <si>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</si>
  <si>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</si>
  <si>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</si>
  <si>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</si>
  <si>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</si>
  <si>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</si>
  <si>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</si>
  <si>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</si>
  <si>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</si>
  <si>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</si>
  <si>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</si>
  <si>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</si>
  <si>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</si>
  <si>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</si>
  <si>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</si>
  <si>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</si>
  <si>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</si>
  <si>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</si>
  <si>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</si>
  <si>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</si>
  <si>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</si>
  <si>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</si>
  <si>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</si>
  <si>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</si>
  <si>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</si>
  <si>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</si>
  <si>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</si>
  <si>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</si>
  <si>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</si>
  <si>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</si>
  <si>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</si>
  <si>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</si>
  <si>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</si>
  <si>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</si>
  <si>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</si>
  <si>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</si>
  <si>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</si>
  <si>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</si>
  <si>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</si>
  <si>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</si>
  <si>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</si>
  <si>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</si>
  <si>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</si>
  <si>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</si>
  <si>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</si>
  <si>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</si>
  <si>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</si>
  <si>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</si>
  <si>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</si>
  <si>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</si>
  <si>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</si>
  <si>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</si>
  <si>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</si>
  <si>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</si>
  <si>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</si>
  <si>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</si>
  <si>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</si>
  <si>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</si>
  <si>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</si>
  <si>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</si>
  <si>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</si>
  <si>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</si>
  <si>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</si>
  <si>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</si>
  <si>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</si>
  <si>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</si>
  <si>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</si>
  <si>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</si>
  <si>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</si>
  <si>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</si>
  <si>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</si>
  <si>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</si>
  <si>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</si>
  <si>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</si>
  <si>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</si>
  <si>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</si>
  <si>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</si>
  <si>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</si>
  <si>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</si>
  <si>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</si>
  <si>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</si>
  <si>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</si>
  <si>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</si>
  <si>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</si>
  <si>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</si>
  <si>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</si>
  <si>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</si>
  <si>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</si>
  <si>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</si>
  <si>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</si>
  <si>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</si>
  <si>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</si>
  <si>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</si>
  <si>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</si>
  <si>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</si>
  <si>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</si>
  <si>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</si>
  <si>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</si>
  <si>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</si>
  <si>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</si>
  <si>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</si>
  <si>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</si>
  <si>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</si>
  <si>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</si>
  <si>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</si>
  <si>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</si>
  <si>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</si>
  <si>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</si>
  <si>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</si>
  <si>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</si>
  <si>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</si>
  <si>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</si>
  <si>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</si>
  <si>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</si>
  <si>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</si>
  <si>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</si>
  <si>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</si>
  <si>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</si>
  <si>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</si>
  <si>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</si>
  <si>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</si>
  <si>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</si>
  <si>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</si>
  <si>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</si>
  <si>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</si>
  <si>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</si>
  <si>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</si>
  <si>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</si>
  <si>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</si>
  <si>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</si>
  <si>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</si>
  <si>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</si>
  <si>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</si>
  <si>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</si>
  <si>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</si>
  <si>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</si>
  <si>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</si>
  <si>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</si>
  <si>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</si>
  <si>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</si>
  <si>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</si>
  <si>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</si>
  <si>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</si>
  <si>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</si>
  <si>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</si>
  <si>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</si>
  <si>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</si>
  <si>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</si>
  <si>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</si>
  <si>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</si>
  <si>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</si>
  <si>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</si>
  <si>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</si>
  <si>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</si>
  <si>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</si>
  <si>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</si>
  <si>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</si>
  <si>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</si>
  <si>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</si>
  <si>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</si>
  <si>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</si>
  <si>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</si>
  <si>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</si>
  <si>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</si>
  <si>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</si>
  <si>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</si>
  <si>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</si>
  <si>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</si>
  <si>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</si>
  <si>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</si>
  <si>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</si>
  <si>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</si>
  <si>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</si>
  <si>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</si>
  <si>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</si>
  <si>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</si>
  <si>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</si>
  <si>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</si>
  <si>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</si>
  <si>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</si>
  <si>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</si>
  <si>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</si>
  <si>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</si>
  <si>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</si>
  <si>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</si>
  <si>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</si>
  <si>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</si>
  <si>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</si>
  <si>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</si>
  <si>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</si>
  <si>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</si>
  <si>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</si>
  <si>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</si>
  <si>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</si>
  <si>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</si>
  <si>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</si>
  <si>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</si>
  <si>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</si>
  <si>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</si>
  <si>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</si>
  <si>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</si>
  <si>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</si>
  <si>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</si>
  <si>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</si>
  <si>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</si>
  <si>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</si>
  <si>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</si>
  <si>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</si>
  <si>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</si>
  <si>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</si>
  <si>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</si>
  <si>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</si>
  <si>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</si>
  <si>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</si>
  <si>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</si>
  <si>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</si>
  <si>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</si>
  <si>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</si>
  <si>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</si>
  <si>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</si>
  <si>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</si>
  <si>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</si>
  <si>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</si>
  <si>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</si>
  <si>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</si>
  <si>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</si>
  <si>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</si>
  <si>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</si>
  <si>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</si>
  <si>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</si>
  <si>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</si>
  <si>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</si>
  <si>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</si>
  <si>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</si>
  <si>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</si>
  <si>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</si>
  <si>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</si>
  <si>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</si>
  <si>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</si>
  <si>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</si>
  <si>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</si>
  <si>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</si>
  <si>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</si>
  <si>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</si>
  <si>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</si>
  <si>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</si>
  <si>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</si>
  <si>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</si>
  <si>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</si>
  <si>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</si>
  <si>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</si>
  <si>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</si>
  <si>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</si>
  <si>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</si>
  <si>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</si>
  <si>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</si>
  <si>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</si>
  <si>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</si>
  <si>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</si>
  <si>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</si>
  <si>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</si>
  <si>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</si>
  <si>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</si>
  <si>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</si>
  <si>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</si>
  <si>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</si>
  <si>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</si>
  <si>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</si>
  <si>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</si>
  <si>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</si>
  <si>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</si>
  <si>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</si>
  <si>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</si>
  <si>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</si>
  <si>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</si>
  <si>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</si>
  <si>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</si>
  <si>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</si>
  <si>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</si>
  <si>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</si>
  <si>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</si>
  <si>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</si>
  <si>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</si>
  <si>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</si>
  <si>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</si>
  <si>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</si>
  <si>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</si>
  <si>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</si>
  <si>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</si>
  <si>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</si>
  <si>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</si>
  <si>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</si>
  <si>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</si>
  <si>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</si>
  <si>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</si>
  <si>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</si>
  <si>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</si>
  <si>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</si>
  <si>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</si>
  <si>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</si>
  <si>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</si>
  <si>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</si>
  <si>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</si>
  <si>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</si>
  <si>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</si>
  <si>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</si>
  <si>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</si>
  <si>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</si>
  <si>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</si>
  <si>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</si>
  <si>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</si>
  <si>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</si>
  <si>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</si>
  <si>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</si>
  <si>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</si>
  <si>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</si>
  <si>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</si>
  <si>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</si>
  <si>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</si>
  <si>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</si>
  <si>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</si>
  <si>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</si>
  <si>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</si>
  <si>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</si>
  <si>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</si>
  <si>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</si>
  <si>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</si>
  <si>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</si>
  <si>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</si>
  <si>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</si>
  <si>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</si>
  <si>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</si>
  <si>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</si>
  <si>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</si>
  <si>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</si>
  <si>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</si>
  <si>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</si>
  <si>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</si>
  <si>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</si>
  <si>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</si>
  <si>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</si>
  <si>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</si>
  <si>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</si>
  <si>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</si>
  <si>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</si>
  <si>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</si>
  <si>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</si>
  <si>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</si>
  <si>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</si>
  <si>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</si>
  <si>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</si>
  <si>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</si>
  <si>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</si>
  <si>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</si>
  <si>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</si>
  <si>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</si>
  <si>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</si>
  <si>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</si>
  <si>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</si>
  <si>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</si>
  <si>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</si>
  <si>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</si>
  <si>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</si>
  <si>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</si>
  <si>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</si>
  <si>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</si>
  <si>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</si>
  <si>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</si>
  <si>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</si>
  <si>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</si>
  <si>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</si>
  <si>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</si>
  <si>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</si>
  <si>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</si>
  <si>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</si>
  <si>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</si>
  <si>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</si>
  <si>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</si>
  <si>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</si>
  <si>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</si>
  <si>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</si>
  <si>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</si>
  <si>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</si>
  <si>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</si>
  <si>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</si>
  <si>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</si>
  <si>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</si>
  <si>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</si>
  <si>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</si>
  <si>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</si>
  <si>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</si>
  <si>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</si>
  <si>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</si>
  <si>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</si>
  <si>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</si>
  <si>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</si>
  <si>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</si>
  <si>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</si>
  <si>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</si>
  <si>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</si>
  <si>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</si>
  <si>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</si>
  <si>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</si>
  <si>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</si>
  <si>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</si>
  <si>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</si>
  <si>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</si>
  <si>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</si>
  <si>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</si>
  <si>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</si>
  <si>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</si>
  <si>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</si>
  <si>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</si>
  <si>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</si>
  <si>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</si>
  <si>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</si>
  <si>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</si>
  <si>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</si>
  <si>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</si>
  <si>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</si>
  <si>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</si>
  <si>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</si>
  <si>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</si>
  <si>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</si>
  <si>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</si>
  <si>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</si>
  <si>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</si>
  <si>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</si>
  <si>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</si>
  <si>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</si>
  <si>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</si>
  <si>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</si>
  <si>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</si>
  <si>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</si>
  <si>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</si>
  <si>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</si>
  <si>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</si>
  <si>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</si>
  <si>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</si>
  <si>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</si>
  <si>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</si>
  <si>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</si>
  <si>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</si>
  <si>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</si>
  <si>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</si>
  <si>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</si>
  <si>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</si>
  <si>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</si>
  <si>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</si>
  <si>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</si>
  <si>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</si>
  <si>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</si>
  <si>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</si>
  <si>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</si>
  <si>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</si>
  <si>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</si>
  <si>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</si>
  <si>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</si>
  <si>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</si>
  <si>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</si>
  <si>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</si>
  <si>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</si>
  <si>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</si>
  <si>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</si>
  <si>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</si>
  <si>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</si>
  <si>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</si>
  <si>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</si>
  <si>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</si>
  <si>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</si>
  <si>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</si>
  <si>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</si>
  <si>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</si>
  <si>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</si>
  <si>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</si>
  <si>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</si>
  <si>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</si>
  <si>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</si>
  <si>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</si>
  <si>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</si>
  <si>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</si>
  <si>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</si>
  <si>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</si>
  <si>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</si>
  <si>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</si>
  <si>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</si>
  <si>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</si>
  <si>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</si>
  <si>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</si>
  <si>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</si>
  <si>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</si>
  <si>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</si>
  <si>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</si>
  <si>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</si>
  <si>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</si>
  <si>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</si>
  <si>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</si>
  <si>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</si>
  <si>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</si>
  <si>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</si>
  <si>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</si>
  <si>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</si>
  <si>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</si>
  <si>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</si>
  <si>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</si>
  <si>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</si>
  <si>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</si>
  <si>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</si>
  <si>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</si>
  <si>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</si>
  <si>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</si>
  <si>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</si>
  <si>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</si>
  <si>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</si>
  <si>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</si>
  <si>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</si>
  <si>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</si>
  <si>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</si>
  <si>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</si>
  <si>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</si>
  <si>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</si>
  <si>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</si>
  <si>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</si>
  <si>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</si>
  <si>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</si>
  <si>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</si>
  <si>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</si>
  <si>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</si>
  <si>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</si>
  <si>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</si>
  <si>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</si>
  <si>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</si>
  <si>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</si>
  <si>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</si>
  <si>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</si>
  <si>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</si>
  <si>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</si>
  <si>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</si>
  <si>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</si>
  <si>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</si>
  <si>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</si>
  <si>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</si>
  <si>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</si>
  <si>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</si>
  <si>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</si>
  <si>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</si>
  <si>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</si>
  <si>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</si>
  <si>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</si>
  <si>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</si>
  <si>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</si>
  <si>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</si>
  <si>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</si>
  <si>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</si>
  <si>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</si>
  <si>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</si>
  <si>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</si>
  <si>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</si>
  <si>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</si>
  <si>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</si>
  <si>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</si>
  <si>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</si>
  <si>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</si>
  <si>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</si>
  <si>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</si>
  <si>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</si>
  <si>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</si>
  <si>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</si>
  <si>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</si>
  <si>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</si>
  <si>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</si>
  <si>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</si>
  <si>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</si>
  <si>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</si>
  <si>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</si>
  <si>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</si>
  <si>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</si>
  <si>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</si>
  <si>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</si>
  <si>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</si>
  <si>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</si>
  <si>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</si>
  <si>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</si>
  <si>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</si>
  <si>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</si>
  <si>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</si>
  <si>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</si>
  <si>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</si>
  <si>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</si>
  <si>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</si>
  <si>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</si>
  <si>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</si>
  <si>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</si>
  <si>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</si>
  <si>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</si>
  <si>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</si>
  <si>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</si>
  <si>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</si>
  <si>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</si>
  <si>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</si>
  <si>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</si>
  <si>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</si>
  <si>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</si>
  <si>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</si>
  <si>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</si>
  <si>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</si>
  <si>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</si>
  <si>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</si>
  <si>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</si>
  <si>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</si>
  <si>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</si>
  <si>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</si>
  <si>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</si>
  <si>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</si>
  <si>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</si>
  <si>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</si>
  <si>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</si>
  <si>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</si>
  <si>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</si>
  <si>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</si>
  <si>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</si>
  <si>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</si>
  <si>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</si>
  <si>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</si>
  <si>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</si>
  <si>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</si>
  <si>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</si>
  <si>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</si>
  <si>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</si>
  <si>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</si>
  <si>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</si>
  <si>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</si>
  <si>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</si>
  <si>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</si>
  <si>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</si>
  <si>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</si>
  <si>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</si>
  <si>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</si>
  <si>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</si>
  <si>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</si>
  <si>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</si>
  <si>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</si>
  <si>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</si>
  <si>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</si>
  <si>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</si>
  <si>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</si>
  <si>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</si>
  <si>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</si>
  <si>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</si>
  <si>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</si>
  <si>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</si>
  <si>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</si>
  <si>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</si>
  <si>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</si>
  <si>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</si>
  <si>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</si>
  <si>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</si>
  <si>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</si>
  <si>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</si>
  <si>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</si>
  <si>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</si>
  <si>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</si>
  <si>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</si>
  <si>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</si>
  <si>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</si>
  <si>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</si>
  <si>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</si>
  <si>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</si>
  <si>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</si>
  <si>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</si>
  <si>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</si>
  <si>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</si>
  <si>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</si>
  <si>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</si>
  <si>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</si>
  <si>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</si>
  <si>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</si>
  <si>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</si>
  <si>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</si>
  <si>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</si>
  <si>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</si>
  <si>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</si>
  <si>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</si>
  <si>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</si>
  <si>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</si>
  <si>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</si>
  <si>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</si>
  <si>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</si>
  <si>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</si>
  <si>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</si>
  <si>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</si>
  <si>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</si>
  <si>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</si>
  <si>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</si>
  <si>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</si>
  <si>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</si>
  <si>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</si>
  <si>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</si>
  <si>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</si>
  <si>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</si>
  <si>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</si>
  <si>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</si>
  <si>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</si>
  <si>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</si>
  <si>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</si>
  <si>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</si>
  <si>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</si>
  <si>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</si>
  <si>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</si>
  <si>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</si>
  <si>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</si>
  <si>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</si>
  <si>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</si>
  <si>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</si>
  <si>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</si>
  <si>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</si>
  <si>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</si>
  <si>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</si>
  <si>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</si>
  <si>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</si>
  <si>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</si>
  <si>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</si>
  <si>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</si>
  <si>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</si>
  <si>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</si>
  <si>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</si>
  <si>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</si>
  <si>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</si>
  <si>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</si>
  <si>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</si>
  <si>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</si>
  <si>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</si>
  <si>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</si>
  <si>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</si>
  <si>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</si>
  <si>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</si>
  <si>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</si>
  <si>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</si>
  <si>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</si>
  <si>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</si>
  <si>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</si>
  <si>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</si>
  <si>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</si>
  <si>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</si>
  <si>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</si>
  <si>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</si>
  <si>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</si>
  <si>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</si>
  <si>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</si>
  <si>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</si>
  <si>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</si>
  <si>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</si>
  <si>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</si>
  <si>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</si>
  <si>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</si>
  <si>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</si>
  <si>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</si>
  <si>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</si>
  <si>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</si>
  <si>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</si>
  <si>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</si>
  <si>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</si>
  <si>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</si>
  <si>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</si>
  <si>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</si>
  <si>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</si>
  <si>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</si>
  <si>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</si>
  <si>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</si>
  <si>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</si>
  <si>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</si>
  <si>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</si>
  <si>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</si>
  <si>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</si>
  <si>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</si>
  <si>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</si>
  <si>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</si>
  <si>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</si>
  <si>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</si>
  <si>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</si>
  <si>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</si>
  <si>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</si>
  <si>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</si>
  <si>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</si>
  <si>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</si>
  <si>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</si>
  <si>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</si>
  <si>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</si>
  <si>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</si>
  <si>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</si>
  <si>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</si>
  <si>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</si>
  <si>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</si>
  <si>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</si>
  <si>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</si>
  <si>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</si>
  <si>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</si>
  <si>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</si>
  <si>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</si>
  <si>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</si>
  <si>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</si>
  <si>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</si>
  <si>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</si>
  <si>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</si>
  <si>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</si>
  <si>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</si>
  <si>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</si>
  <si>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</si>
  <si>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</si>
  <si>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</si>
  <si>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</si>
  <si>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</si>
  <si>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</si>
  <si>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</si>
  <si>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</si>
  <si>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</si>
  <si>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</si>
  <si>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</si>
  <si>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</si>
  <si>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</si>
  <si>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</si>
  <si>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</si>
  <si>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</si>
  <si>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</si>
  <si>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</si>
  <si>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</si>
  <si>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</si>
  <si>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</si>
  <si>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</si>
  <si>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</si>
  <si>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</si>
  <si>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</si>
  <si>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</si>
  <si>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</si>
  <si>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</si>
  <si>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</si>
  <si>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</si>
  <si>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</si>
  <si>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</si>
  <si>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</si>
  <si>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</si>
  <si>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</si>
  <si>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</si>
  <si>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</si>
  <si>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</si>
  <si>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</si>
  <si>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</si>
  <si>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</si>
  <si>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</si>
  <si>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</si>
  <si>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</si>
  <si>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</si>
  <si>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</si>
  <si>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</si>
  <si>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</si>
  <si>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</si>
  <si>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</si>
  <si>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</si>
  <si>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</si>
  <si>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</si>
  <si>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</si>
  <si>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</si>
  <si>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</si>
  <si>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</si>
  <si>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</si>
  <si>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</si>
  <si>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</si>
  <si>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</si>
  <si>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</si>
  <si>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</si>
  <si>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</si>
  <si>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</si>
  <si>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</si>
  <si>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</si>
  <si>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</si>
  <si>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</si>
  <si>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</si>
  <si>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</si>
  <si>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</si>
  <si>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</si>
  <si>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</si>
  <si>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</si>
  <si>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</si>
  <si>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</si>
  <si>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</si>
  <si>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</si>
  <si>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</si>
  <si>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</si>
  <si>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</si>
  <si>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</si>
  <si>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</si>
  <si>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</si>
  <si>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</si>
  <si>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</si>
  <si>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</si>
  <si>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</si>
  <si>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</si>
  <si>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</si>
  <si>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</si>
  <si>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</si>
  <si>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</si>
  <si>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</si>
  <si>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</si>
  <si>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</si>
  <si>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</si>
  <si>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</si>
  <si>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</si>
  <si>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</si>
  <si>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</si>
  <si>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</si>
  <si>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</si>
  <si>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</si>
  <si>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</si>
  <si>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</si>
  <si>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</si>
  <si>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</si>
  <si>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</si>
  <si>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</si>
  <si>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</si>
  <si>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</si>
  <si>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</si>
  <si>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</si>
  <si>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</si>
  <si>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</si>
  <si>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</si>
  <si>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</si>
  <si>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</si>
  <si>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</si>
  <si>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</si>
  <si>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</si>
  <si>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</si>
  <si>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</si>
  <si>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</si>
  <si>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</si>
  <si>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</si>
  <si>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</si>
  <si>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</si>
  <si>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</si>
  <si>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</si>
  <si>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</si>
  <si>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</si>
  <si>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</si>
  <si>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</si>
  <si>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</si>
  <si>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</si>
  <si>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</si>
  <si>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</si>
  <si>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</si>
  <si>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</si>
  <si>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</si>
  <si>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</si>
  <si>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</si>
  <si>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</si>
  <si>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</si>
  <si>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</si>
  <si>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</si>
  <si>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</si>
  <si>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</si>
  <si>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</si>
  <si>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</si>
  <si>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</si>
  <si>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</si>
  <si>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</si>
  <si>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</si>
  <si>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</si>
  <si>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</si>
  <si>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</si>
  <si>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</si>
  <si>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</si>
  <si>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</si>
  <si>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</si>
  <si>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</si>
  <si>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</si>
  <si>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</si>
  <si>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</si>
  <si>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</si>
  <si>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</si>
  <si>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</si>
  <si>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</si>
  <si>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</si>
  <si>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</si>
  <si>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</si>
  <si>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</si>
  <si>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</si>
  <si>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</si>
  <si>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</si>
  <si>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</si>
  <si>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</si>
  <si>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</si>
  <si>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</si>
  <si>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</si>
  <si>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</si>
  <si>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</si>
  <si>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</si>
  <si>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</si>
  <si>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</si>
  <si>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</si>
  <si>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</si>
  <si>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</si>
  <si>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</si>
  <si>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</si>
  <si>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</si>
  <si>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</si>
  <si>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</si>
  <si>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</si>
  <si>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</si>
  <si>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</si>
  <si>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</si>
  <si>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</si>
  <si>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</si>
  <si>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</si>
  <si>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</si>
  <si>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</si>
  <si>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</si>
  <si>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</si>
  <si>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</si>
  <si>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</si>
  <si>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</si>
  <si>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</si>
  <si>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</si>
  <si>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</si>
  <si>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</si>
  <si>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</si>
  <si>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</si>
  <si>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</si>
  <si>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</si>
  <si>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</si>
  <si>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</si>
  <si>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</si>
  <si>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</si>
  <si>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</si>
  <si>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</si>
  <si>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</si>
  <si>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</si>
  <si>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</si>
  <si>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</si>
  <si>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</si>
  <si>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</si>
  <si>
    <t>BALANCE      ABASTO 4 CARNES    Z A V A L E T A     OCTUBRE           2 0 2 3</t>
  </si>
  <si>
    <t>GANANCIA</t>
  </si>
  <si>
    <t>SALCHICHA-POLLO-QUESOS-SALSAS-JAMON-CHULETA-</t>
  </si>
  <si>
    <t>NOMINA # 39</t>
  </si>
  <si>
    <t>QUESOS-JAMON-CHISTORRA</t>
  </si>
  <si>
    <t>4-sep-2023</t>
  </si>
  <si>
    <t>E-21478</t>
  </si>
  <si>
    <t>5-sep-2023</t>
  </si>
  <si>
    <t>E-21588</t>
  </si>
  <si>
    <t>6-sep-2023</t>
  </si>
  <si>
    <t>E-21664</t>
  </si>
  <si>
    <t>E-21680</t>
  </si>
  <si>
    <t>E-21736</t>
  </si>
  <si>
    <t>E-21738</t>
  </si>
  <si>
    <t>7-sep-2023</t>
  </si>
  <si>
    <t>E-21805</t>
  </si>
  <si>
    <t>E-21806</t>
  </si>
  <si>
    <t>8-sep-2023</t>
  </si>
  <si>
    <t>E-21956</t>
  </si>
  <si>
    <t>9-sep-2023</t>
  </si>
  <si>
    <t>E-22075</t>
  </si>
  <si>
    <t>11-sep-2023</t>
  </si>
  <si>
    <t>E-22150</t>
  </si>
  <si>
    <t>E-22157</t>
  </si>
  <si>
    <t>12-sep-2023</t>
  </si>
  <si>
    <t>E-22288</t>
  </si>
  <si>
    <t>13-sep-2023</t>
  </si>
  <si>
    <t>E-22367</t>
  </si>
  <si>
    <t>14-sep-2023</t>
  </si>
  <si>
    <t>E-22587</t>
  </si>
  <si>
    <t>E-22588</t>
  </si>
  <si>
    <t>E-22591</t>
  </si>
  <si>
    <t>E-22593</t>
  </si>
  <si>
    <t>E-22594</t>
  </si>
  <si>
    <t>E-22595</t>
  </si>
  <si>
    <t>15-sep-2023</t>
  </si>
  <si>
    <t>E-22607</t>
  </si>
  <si>
    <t>18-sep-2023</t>
  </si>
  <si>
    <t>E-22884</t>
  </si>
  <si>
    <t>19-sep-2023</t>
  </si>
  <si>
    <t>E-22920</t>
  </si>
  <si>
    <t>E-22926</t>
  </si>
  <si>
    <t>20-sep-2023</t>
  </si>
  <si>
    <t>E-23069</t>
  </si>
  <si>
    <t>E-23076</t>
  </si>
  <si>
    <t>E-23095</t>
  </si>
  <si>
    <t>21-sep-2023</t>
  </si>
  <si>
    <t>E-23167</t>
  </si>
  <si>
    <t>E-23179</t>
  </si>
  <si>
    <t>22-sep-2023</t>
  </si>
  <si>
    <t>E-23336</t>
  </si>
  <si>
    <t>23-sep-2023</t>
  </si>
  <si>
    <t>E-23445</t>
  </si>
  <si>
    <t>E-23490</t>
  </si>
  <si>
    <t>25-sep-2023</t>
  </si>
  <si>
    <t>E-23547</t>
  </si>
  <si>
    <t>26-sep-2023</t>
  </si>
  <si>
    <t>E-23676</t>
  </si>
  <si>
    <t>E-23682</t>
  </si>
  <si>
    <t>E-23722</t>
  </si>
  <si>
    <t>27-sep-2023</t>
  </si>
  <si>
    <t>E-23799</t>
  </si>
  <si>
    <t>E-23835</t>
  </si>
  <si>
    <t>28-sep-2023</t>
  </si>
  <si>
    <t>E-23902</t>
  </si>
  <si>
    <t>E-23903</t>
  </si>
  <si>
    <t>E-23904</t>
  </si>
  <si>
    <t>E-23915</t>
  </si>
  <si>
    <t>29-sep-2023</t>
  </si>
  <si>
    <t>E-24022</t>
  </si>
  <si>
    <t>30-sep-2023</t>
  </si>
  <si>
    <t>E-24187</t>
  </si>
  <si>
    <t>E-24214</t>
  </si>
  <si>
    <t>POLLO-QUESOS-JAMON-SALCHICHA-PASTOR</t>
  </si>
  <si>
    <t>BIMBO-ARABE-CHORIZO-POLLO-QUESOS-PASTOR</t>
  </si>
  <si>
    <t xml:space="preserve">Vacaciones Juana </t>
  </si>
  <si>
    <t>POLLO-QUESOS-SALCHICHA-CEBOLLA</t>
  </si>
  <si>
    <t>CHICHARRON--POLLO-QUESILLO-RIB-EYE</t>
  </si>
  <si>
    <t xml:space="preserve"> TURNOS</t>
  </si>
  <si>
    <t>QUESOS-POLLO-PASTOR--LONGANIZA-SALCHICHA</t>
  </si>
  <si>
    <t>Proteccion civil-</t>
  </si>
  <si>
    <t>POLLO-CHICHARRON-ATES-MOLE-SALCHICHA</t>
  </si>
  <si>
    <t>NOMINA # 40</t>
  </si>
  <si>
    <t>QUESOS-TOCINETA-CHISTORRA-PEPERONI</t>
  </si>
  <si>
    <t>QUESOS-PASTOR-JAMONES-POSTRES-POLLO-CHICHARRON-SALCHICHA-CHORIZO</t>
  </si>
  <si>
    <t>BIMBO-POLLO-PASTOR-QUESOS-CHORIZO-CHICHARRON-ZORAYDA</t>
  </si>
  <si>
    <t>CHICHARRON--POLLO-QUESILLO-ARABE-SALCHICHAS</t>
  </si>
  <si>
    <t>QUESOS-POSTRES-POLLO-LONGANIZA</t>
  </si>
  <si>
    <t>Vacaciones Daniela--KAREN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</si>
</sst>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23" fillId="0" borderId="10" xfId="0" applyNumberFormat="1" applyFont="1" applyFill="1" applyBorder="1" applyAlignment="1">
      <alignment horizontal="left"/>
    </xf>
    <xf numFmtId="166" fontId="24" fillId="0" borderId="10" xfId="0" applyNumberFormat="1" applyFont="1" applyFill="1" applyBorder="1"/>
    <xf numFmtId="166" fontId="22" fillId="0" borderId="10" xfId="0" applyNumberFormat="1" applyFont="1" applyFill="1" applyBorder="1"/>
    <xf numFmtId="166" fontId="23" fillId="0" borderId="10" xfId="0" applyNumberFormat="1" applyFont="1" applyFill="1" applyBorder="1"/>
    <xf numFmtId="0" fontId="54" fillId="0" borderId="29" xfId="0" applyFont="1" applyFill="1" applyBorder="1" applyAlignment="1">
      <alignment horizontal="center" wrapText="1"/>
    </xf>
    <xf numFmtId="166" fontId="23" fillId="0" borderId="35" xfId="0" applyNumberFormat="1" applyFont="1" applyFill="1" applyBorder="1"/>
    <xf numFmtId="166" fontId="22" fillId="0" borderId="28" xfId="0" applyNumberFormat="1" applyFont="1" applyFill="1" applyBorder="1"/>
    <xf numFmtId="166" fontId="23" fillId="0" borderId="28" xfId="0" applyNumberFormat="1" applyFont="1" applyFill="1" applyBorder="1" applyAlignment="1">
      <alignment horizontal="center"/>
    </xf>
    <xf numFmtId="166" fontId="23" fillId="0" borderId="28" xfId="0" applyNumberFormat="1" applyFont="1" applyFill="1" applyBorder="1"/>
    <xf numFmtId="166" fontId="22" fillId="0" borderId="38" xfId="0" applyNumberFormat="1" applyFont="1" applyFill="1" applyBorder="1"/>
    <xf numFmtId="166" fontId="22" fillId="0" borderId="0" xfId="0" applyNumberFormat="1" applyFont="1" applyFill="1" applyBorder="1"/>
    <xf numFmtId="166" fontId="23" fillId="0" borderId="0" xfId="0" applyNumberFormat="1" applyFont="1" applyFill="1" applyBorder="1"/>
    <xf numFmtId="166" fontId="3" fillId="0" borderId="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 wrapText="1"/>
    </xf>
    <xf numFmtId="166" fontId="3" fillId="0" borderId="38" xfId="0" applyNumberFormat="1" applyFont="1" applyFill="1" applyBorder="1"/>
    <xf numFmtId="0" fontId="17" fillId="0" borderId="21" xfId="0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 applyAlignment="1">
      <alignment horizontal="center"/>
    </xf>
    <xf numFmtId="49" fontId="0" fillId="11" borderId="71" xfId="0" applyNumberFormat="1" applyFont="1" applyFill="1" applyBorder="1"/>
    <xf numFmtId="49" fontId="0" fillId="11" borderId="69" xfId="0" applyNumberFormat="1" applyFont="1" applyFill="1" applyBorder="1" applyAlignment="1">
      <alignment horizontal="center"/>
    </xf>
    <xf numFmtId="44" fontId="0" fillId="11" borderId="69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15" fillId="19" borderId="13" xfId="1" applyFont="1" applyFill="1" applyBorder="1" applyAlignment="1">
      <alignment horizontal="center"/>
    </xf>
    <xf numFmtId="44" fontId="15" fillId="19" borderId="60" xfId="1" applyFont="1" applyFill="1" applyBorder="1" applyAlignment="1">
      <alignment horizontal="center"/>
    </xf>
    <xf numFmtId="166" fontId="15" fillId="19" borderId="60" xfId="1" applyNumberFormat="1" applyFont="1" applyFill="1" applyBorder="1" applyAlignment="1">
      <alignment horizontal="center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  <xf numFmtId="16" fontId="22" fillId="7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  <color rgb="FF990099"/>
      <color rgb="FFFFCCCC"/>
      <color rgb="FFCC9900"/>
      <color rgb="FFFFCC99"/>
      <color rgb="FF0000FF"/>
      <color rgb="FFCC99FF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2784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2594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6164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3428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4691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9" workbookViewId="0">
      <selection activeCell="C76" sqref="C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69"/>
      <c r="C1" s="671" t="s">
        <v>26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8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R3" s="640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41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51">
        <f>SUM(M5:M40)</f>
        <v>1399609.5</v>
      </c>
      <c r="N49" s="651">
        <f>SUM(N5:N40)</f>
        <v>910600</v>
      </c>
      <c r="P49" s="111">
        <f>SUM(P5:P40)</f>
        <v>3236981.46</v>
      </c>
      <c r="Q49" s="663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52"/>
      <c r="N50" s="652"/>
      <c r="P50" s="44"/>
      <c r="Q50" s="664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65">
        <f>M49+N49</f>
        <v>2310209.5</v>
      </c>
      <c r="N53" s="66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59" t="s">
        <v>15</v>
      </c>
      <c r="I77" s="660"/>
      <c r="J77" s="154"/>
      <c r="K77" s="661">
        <f>I75+L75</f>
        <v>1552957.04</v>
      </c>
      <c r="L77" s="662"/>
      <c r="M77" s="155"/>
      <c r="N77" s="155"/>
      <c r="P77" s="44"/>
      <c r="Q77" s="19"/>
    </row>
    <row r="78" spans="1:17" x14ac:dyDescent="0.25">
      <c r="D78" s="653" t="s">
        <v>16</v>
      </c>
      <c r="E78" s="653"/>
      <c r="F78" s="156">
        <f>F75-K77-C75</f>
        <v>-123007.98000000021</v>
      </c>
      <c r="I78" s="157"/>
      <c r="J78" s="158"/>
    </row>
    <row r="79" spans="1:17" ht="18.75" x14ac:dyDescent="0.3">
      <c r="D79" s="654" t="s">
        <v>17</v>
      </c>
      <c r="E79" s="654"/>
      <c r="F79" s="101">
        <v>-1513561.68</v>
      </c>
      <c r="I79" s="655" t="s">
        <v>18</v>
      </c>
      <c r="J79" s="656"/>
      <c r="K79" s="657">
        <f>F81+F82+F83</f>
        <v>1950142.8099999996</v>
      </c>
      <c r="L79" s="65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58">
        <f>-C4</f>
        <v>-3445405.07</v>
      </c>
      <c r="L81" s="657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46" t="s">
        <v>24</v>
      </c>
      <c r="E83" s="647"/>
      <c r="F83" s="173">
        <v>3504178.07</v>
      </c>
      <c r="I83" s="648" t="s">
        <v>220</v>
      </c>
      <c r="J83" s="649"/>
      <c r="K83" s="650">
        <f>K79+K81</f>
        <v>-1495262.2600000002</v>
      </c>
      <c r="L83" s="65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79" t="s">
        <v>35</v>
      </c>
      <c r="J37" s="680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81"/>
      <c r="J38" s="682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83"/>
      <c r="J39" s="684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85" t="s">
        <v>35</v>
      </c>
      <c r="J67" s="686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37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69"/>
      <c r="C1" s="671" t="s">
        <v>642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1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467" t="s">
        <v>509</v>
      </c>
      <c r="R3" s="696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51">
        <f>SUM(M5:M40)</f>
        <v>1601794.8800000001</v>
      </c>
      <c r="N49" s="651">
        <f>SUM(N5:N40)</f>
        <v>1523056</v>
      </c>
      <c r="P49" s="111">
        <f>SUM(P5:P40)</f>
        <v>3794729.3800000004</v>
      </c>
      <c r="Q49" s="663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52"/>
      <c r="N50" s="652"/>
      <c r="P50" s="44"/>
      <c r="Q50" s="664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65">
        <f>M49+N49</f>
        <v>3124850.88</v>
      </c>
      <c r="N53" s="66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59" t="s">
        <v>15</v>
      </c>
      <c r="I69" s="660"/>
      <c r="J69" s="154"/>
      <c r="K69" s="661">
        <f>I67+L67</f>
        <v>513056.63999999996</v>
      </c>
      <c r="L69" s="662"/>
      <c r="M69" s="155"/>
      <c r="N69" s="155"/>
      <c r="P69" s="44"/>
      <c r="Q69" s="19"/>
    </row>
    <row r="70" spans="1:17" x14ac:dyDescent="0.25">
      <c r="D70" s="653" t="s">
        <v>16</v>
      </c>
      <c r="E70" s="653"/>
      <c r="F70" s="156">
        <f>F67-K69-C67</f>
        <v>1446986.8899999997</v>
      </c>
      <c r="I70" s="157"/>
      <c r="J70" s="158"/>
    </row>
    <row r="71" spans="1:17" ht="18.75" x14ac:dyDescent="0.3">
      <c r="D71" s="654" t="s">
        <v>17</v>
      </c>
      <c r="E71" s="654"/>
      <c r="F71" s="101">
        <f>-'   COMPRAS     JUNIO     2023  '!G67</f>
        <v>-1585182.9300000004</v>
      </c>
      <c r="I71" s="655" t="s">
        <v>18</v>
      </c>
      <c r="J71" s="656"/>
      <c r="K71" s="657">
        <f>F73+F74+F75</f>
        <v>3054589.7999999993</v>
      </c>
      <c r="L71" s="657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58">
        <f>-C4</f>
        <v>-3897967.53</v>
      </c>
      <c r="L73" s="657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46" t="s">
        <v>24</v>
      </c>
      <c r="E75" s="647"/>
      <c r="F75" s="173">
        <v>3131387.04</v>
      </c>
      <c r="I75" s="648" t="s">
        <v>764</v>
      </c>
      <c r="J75" s="649"/>
      <c r="K75" s="650">
        <f>K71+K73</f>
        <v>-843377.73000000045</v>
      </c>
      <c r="L75" s="650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79" t="s">
        <v>35</v>
      </c>
      <c r="J37" s="680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81"/>
      <c r="J38" s="682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83"/>
      <c r="J39" s="684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85" t="s">
        <v>35</v>
      </c>
      <c r="J67" s="686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52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69"/>
      <c r="C1" s="671" t="s">
        <v>765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2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533"/>
      <c r="R3" s="696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51">
        <f>SUM(M5:M40)</f>
        <v>2422108.7600000002</v>
      </c>
      <c r="N49" s="651">
        <f>SUM(N5:N40)</f>
        <v>1603736</v>
      </c>
      <c r="P49" s="111">
        <f>SUM(P5:P40)</f>
        <v>4927758.76</v>
      </c>
      <c r="Q49" s="663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52"/>
      <c r="N50" s="652"/>
      <c r="P50" s="44"/>
      <c r="Q50" s="664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65">
        <f>M49+N49</f>
        <v>4025844.7600000002</v>
      </c>
      <c r="N53" s="666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59" t="s">
        <v>15</v>
      </c>
      <c r="I69" s="660"/>
      <c r="J69" s="154"/>
      <c r="K69" s="661">
        <f>I67+L67</f>
        <v>792651.90999999992</v>
      </c>
      <c r="L69" s="662"/>
      <c r="M69" s="155"/>
      <c r="N69" s="155"/>
      <c r="P69" s="44"/>
      <c r="Q69" s="19"/>
    </row>
    <row r="70" spans="1:17" x14ac:dyDescent="0.25">
      <c r="D70" s="653" t="s">
        <v>16</v>
      </c>
      <c r="E70" s="653"/>
      <c r="F70" s="156">
        <f>F67-K69-C67</f>
        <v>896993.63999999966</v>
      </c>
      <c r="I70" s="157"/>
      <c r="J70" s="158"/>
    </row>
    <row r="71" spans="1:17" ht="18.75" x14ac:dyDescent="0.3">
      <c r="D71" s="654" t="s">
        <v>17</v>
      </c>
      <c r="E71" s="654"/>
      <c r="F71" s="101">
        <v>-931631.77</v>
      </c>
      <c r="I71" s="655" t="s">
        <v>18</v>
      </c>
      <c r="J71" s="656"/>
      <c r="K71" s="657">
        <f>F73+F74+F75</f>
        <v>2818686.5799999996</v>
      </c>
      <c r="L71" s="657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58">
        <f>-C4</f>
        <v>-3131387.04</v>
      </c>
      <c r="L73" s="657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46" t="s">
        <v>24</v>
      </c>
      <c r="E75" s="647"/>
      <c r="F75" s="173">
        <v>2820551.31</v>
      </c>
      <c r="I75" s="648" t="s">
        <v>220</v>
      </c>
      <c r="J75" s="649"/>
      <c r="K75" s="650">
        <f>K71+K73</f>
        <v>-312700.46000000043</v>
      </c>
      <c r="L75" s="650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79" t="s">
        <v>35</v>
      </c>
      <c r="J37" s="680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81"/>
      <c r="J38" s="682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83"/>
      <c r="J39" s="684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85" t="s">
        <v>35</v>
      </c>
      <c r="J67" s="686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67" workbookViewId="0">
      <selection activeCell="F83" sqref="F8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69"/>
      <c r="C1" s="671" t="s">
        <v>765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2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533"/>
      <c r="R3" s="696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51">
        <f>SUM(M5:M40)</f>
        <v>2901103.23</v>
      </c>
      <c r="N49" s="651">
        <f>SUM(N5:N40)</f>
        <v>2054394</v>
      </c>
      <c r="P49" s="111">
        <f>SUM(P5:P40)</f>
        <v>6121324.54</v>
      </c>
      <c r="Q49" s="663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52"/>
      <c r="N50" s="652"/>
      <c r="P50" s="44"/>
      <c r="Q50" s="664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65">
        <f>M49+N49</f>
        <v>4955497.2300000004</v>
      </c>
      <c r="N53" s="666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3613137.6700000004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59" t="s">
        <v>15</v>
      </c>
      <c r="I81" s="660"/>
      <c r="J81" s="154"/>
      <c r="K81" s="661">
        <f>I79+L79</f>
        <v>778945.87000000011</v>
      </c>
      <c r="L81" s="662"/>
      <c r="M81" s="155"/>
      <c r="N81" s="155"/>
      <c r="P81" s="44"/>
      <c r="Q81" s="19"/>
    </row>
    <row r="82" spans="1:17" x14ac:dyDescent="0.25">
      <c r="D82" s="653" t="s">
        <v>16</v>
      </c>
      <c r="E82" s="653"/>
      <c r="F82" s="156">
        <f>F79-K81-C79</f>
        <v>1583916.4599999995</v>
      </c>
      <c r="I82" s="157"/>
      <c r="J82" s="158"/>
    </row>
    <row r="83" spans="1:17" ht="18.75" x14ac:dyDescent="0.3">
      <c r="D83" s="654" t="s">
        <v>17</v>
      </c>
      <c r="E83" s="654"/>
      <c r="F83" s="101">
        <v>-1249902.31</v>
      </c>
      <c r="I83" s="655" t="s">
        <v>18</v>
      </c>
      <c r="J83" s="656"/>
      <c r="K83" s="657">
        <f>F85+F86+F87</f>
        <v>3373322.2099999995</v>
      </c>
      <c r="L83" s="657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107428.54999999944</v>
      </c>
      <c r="H85" s="168"/>
      <c r="I85" s="169" t="s">
        <v>21</v>
      </c>
      <c r="J85" s="170"/>
      <c r="K85" s="658">
        <f>-C4</f>
        <v>-2820551.31</v>
      </c>
      <c r="L85" s="657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46" t="s">
        <v>24</v>
      </c>
      <c r="E87" s="647"/>
      <c r="F87" s="173">
        <v>3146460.66</v>
      </c>
      <c r="I87" s="698" t="s">
        <v>1143</v>
      </c>
      <c r="J87" s="699"/>
      <c r="K87" s="700">
        <f>K83+K85</f>
        <v>552770.89999999944</v>
      </c>
      <c r="L87" s="700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9" workbookViewId="0">
      <selection activeCell="F60" sqref="F6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79" t="s">
        <v>35</v>
      </c>
      <c r="J49" s="680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81"/>
      <c r="J50" s="682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83"/>
      <c r="J51" s="684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85" t="s">
        <v>35</v>
      </c>
      <c r="J65" s="686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94"/>
      <c r="J66" s="695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9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0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8" sqref="I8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69"/>
      <c r="C1" s="671" t="s">
        <v>1082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2" ht="18" thickBot="1" x14ac:dyDescent="0.35">
      <c r="B2" s="670"/>
      <c r="C2" s="5"/>
      <c r="H2" s="8"/>
      <c r="I2" s="9"/>
      <c r="J2" s="701" t="s">
        <v>1122</v>
      </c>
      <c r="K2" s="702"/>
      <c r="L2" s="702"/>
      <c r="M2" s="703"/>
      <c r="N2" s="13"/>
    </row>
    <row r="3" spans="1:22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533"/>
      <c r="R3" s="696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>
        <v>6210</v>
      </c>
      <c r="D31" s="79" t="s">
        <v>1131</v>
      </c>
      <c r="E31" s="35">
        <v>45198</v>
      </c>
      <c r="F31" s="36">
        <v>164139</v>
      </c>
      <c r="G31" s="37"/>
      <c r="H31" s="38">
        <v>45198</v>
      </c>
      <c r="I31" s="39">
        <v>2755</v>
      </c>
      <c r="J31" s="338"/>
      <c r="K31" s="347"/>
      <c r="L31" s="68"/>
      <c r="M31" s="42">
        <f>92654+4668</f>
        <v>97322</v>
      </c>
      <c r="N31" s="43">
        <v>59102</v>
      </c>
      <c r="P31" s="69">
        <f t="shared" si="0"/>
        <v>165389</v>
      </c>
      <c r="Q31" s="45">
        <v>0</v>
      </c>
      <c r="R31" s="282">
        <v>1250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51">
        <f>SUM(M5:M40)</f>
        <v>2549017.7400000002</v>
      </c>
      <c r="N49" s="651">
        <f>SUM(N5:N40)</f>
        <v>1551885</v>
      </c>
      <c r="P49" s="111">
        <f>SUM(P5:P40)</f>
        <v>4761795.24</v>
      </c>
      <c r="Q49" s="663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52"/>
      <c r="N50" s="652"/>
      <c r="P50" s="44"/>
      <c r="Q50" s="664"/>
      <c r="R50" s="112">
        <f>SUM(R5:R49)</f>
        <v>37814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65">
        <f>M49+N49</f>
        <v>4100902.74</v>
      </c>
      <c r="N53" s="666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2392398.1900000004</v>
      </c>
      <c r="D79" s="520"/>
      <c r="E79" s="521" t="s">
        <v>12</v>
      </c>
      <c r="F79" s="522">
        <f>SUM(F5:F61)</f>
        <v>4723976</v>
      </c>
      <c r="G79" s="523"/>
      <c r="H79" s="521" t="s">
        <v>13</v>
      </c>
      <c r="I79" s="524">
        <f>SUM(I5:I61)</f>
        <v>86675.5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59" t="s">
        <v>15</v>
      </c>
      <c r="I81" s="660"/>
      <c r="J81" s="154"/>
      <c r="K81" s="661">
        <f>I79+L79</f>
        <v>366832.13999999996</v>
      </c>
      <c r="L81" s="662"/>
      <c r="M81" s="155"/>
      <c r="N81" s="155"/>
      <c r="P81" s="44"/>
      <c r="Q81" s="19"/>
    </row>
    <row r="82" spans="1:17" x14ac:dyDescent="0.25">
      <c r="D82" s="653" t="s">
        <v>16</v>
      </c>
      <c r="E82" s="653"/>
      <c r="F82" s="156">
        <f>F79-K81-C79</f>
        <v>1964745.67</v>
      </c>
      <c r="I82" s="157"/>
      <c r="J82" s="158"/>
    </row>
    <row r="83" spans="1:17" ht="18.75" x14ac:dyDescent="0.3">
      <c r="D83" s="654" t="s">
        <v>17</v>
      </c>
      <c r="E83" s="654"/>
      <c r="F83" s="101">
        <v>0</v>
      </c>
      <c r="I83" s="655" t="s">
        <v>18</v>
      </c>
      <c r="J83" s="656"/>
      <c r="K83" s="657">
        <f>F85+F86+F87</f>
        <v>5604393.8799999999</v>
      </c>
      <c r="L83" s="657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1964745.67</v>
      </c>
      <c r="H85" s="168"/>
      <c r="I85" s="169" t="s">
        <v>21</v>
      </c>
      <c r="J85" s="170"/>
      <c r="K85" s="658">
        <f>-C4</f>
        <v>-3146460.66</v>
      </c>
      <c r="L85" s="657"/>
      <c r="O85" s="536"/>
    </row>
    <row r="86" spans="1:17" ht="16.5" thickBot="1" x14ac:dyDescent="0.3">
      <c r="D86" s="171" t="s">
        <v>22</v>
      </c>
      <c r="E86" s="152" t="s">
        <v>23</v>
      </c>
      <c r="F86" s="101">
        <v>299136</v>
      </c>
    </row>
    <row r="87" spans="1:17" ht="20.25" thickTop="1" thickBot="1" x14ac:dyDescent="0.35">
      <c r="C87" s="172">
        <v>45198</v>
      </c>
      <c r="D87" s="646" t="s">
        <v>24</v>
      </c>
      <c r="E87" s="647"/>
      <c r="F87" s="173">
        <v>3340512.21</v>
      </c>
      <c r="I87" s="648"/>
      <c r="J87" s="649"/>
      <c r="K87" s="650">
        <f>K83+K85</f>
        <v>2457933.2199999997</v>
      </c>
      <c r="L87" s="650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M53:N53"/>
    <mergeCell ref="P3:P4"/>
    <mergeCell ref="B1:B2"/>
    <mergeCell ref="C1:M1"/>
    <mergeCell ref="B3:C3"/>
    <mergeCell ref="H3:I3"/>
    <mergeCell ref="J2:M2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topLeftCell="A19" workbookViewId="0">
      <selection activeCell="D70" sqref="D7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635" t="s">
        <v>1147</v>
      </c>
      <c r="C3" s="636" t="s">
        <v>1148</v>
      </c>
      <c r="D3" s="515">
        <v>24992.6</v>
      </c>
      <c r="E3" s="218"/>
      <c r="F3" s="217"/>
      <c r="G3" s="219">
        <f>D3-F3</f>
        <v>24992.6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635" t="s">
        <v>1149</v>
      </c>
      <c r="C4" s="636" t="s">
        <v>1150</v>
      </c>
      <c r="D4" s="515">
        <v>64002.8</v>
      </c>
      <c r="E4" s="224"/>
      <c r="F4" s="101"/>
      <c r="G4" s="225">
        <f t="shared" ref="G4:G67" si="0">D4-F4</f>
        <v>64002.8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635" t="s">
        <v>1151</v>
      </c>
      <c r="C5" s="636" t="s">
        <v>1152</v>
      </c>
      <c r="D5" s="515">
        <v>0</v>
      </c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635" t="s">
        <v>1151</v>
      </c>
      <c r="C6" s="636" t="s">
        <v>1153</v>
      </c>
      <c r="D6" s="515">
        <v>13769.2</v>
      </c>
      <c r="E6" s="224"/>
      <c r="F6" s="101"/>
      <c r="G6" s="225">
        <f t="shared" si="0"/>
        <v>13769.2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635" t="s">
        <v>1151</v>
      </c>
      <c r="C7" s="636" t="s">
        <v>1154</v>
      </c>
      <c r="D7" s="515">
        <v>0</v>
      </c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635" t="s">
        <v>1151</v>
      </c>
      <c r="C8" s="636" t="s">
        <v>1155</v>
      </c>
      <c r="D8" s="515">
        <v>0</v>
      </c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637" t="s">
        <v>1156</v>
      </c>
      <c r="C9" s="638" t="s">
        <v>1157</v>
      </c>
      <c r="D9" s="639">
        <v>40309.5</v>
      </c>
      <c r="E9" s="224"/>
      <c r="F9" s="101"/>
      <c r="G9" s="225">
        <f t="shared" si="0"/>
        <v>40309.5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635" t="s">
        <v>1156</v>
      </c>
      <c r="C10" s="636" t="s">
        <v>1158</v>
      </c>
      <c r="D10" s="515">
        <v>0</v>
      </c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635" t="s">
        <v>1159</v>
      </c>
      <c r="C11" s="636" t="s">
        <v>1160</v>
      </c>
      <c r="D11" s="515">
        <v>23991.599999999999</v>
      </c>
      <c r="E11" s="224"/>
      <c r="F11" s="101"/>
      <c r="G11" s="225">
        <f t="shared" si="0"/>
        <v>23991.599999999999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637" t="s">
        <v>1161</v>
      </c>
      <c r="C12" s="638" t="s">
        <v>1162</v>
      </c>
      <c r="D12" s="639">
        <v>33026.25</v>
      </c>
      <c r="E12" s="224"/>
      <c r="F12" s="101"/>
      <c r="G12" s="225">
        <f t="shared" si="0"/>
        <v>33026.25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635" t="s">
        <v>1163</v>
      </c>
      <c r="C13" s="636" t="s">
        <v>1164</v>
      </c>
      <c r="D13" s="515">
        <v>172810.09</v>
      </c>
      <c r="E13" s="224"/>
      <c r="F13" s="101"/>
      <c r="G13" s="225">
        <f t="shared" si="0"/>
        <v>172810.09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637" t="s">
        <v>1163</v>
      </c>
      <c r="C14" s="638" t="s">
        <v>1165</v>
      </c>
      <c r="D14" s="639">
        <v>11397</v>
      </c>
      <c r="E14" s="224"/>
      <c r="F14" s="101"/>
      <c r="G14" s="225">
        <f t="shared" si="0"/>
        <v>11397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635" t="s">
        <v>1166</v>
      </c>
      <c r="C15" s="636" t="s">
        <v>1167</v>
      </c>
      <c r="D15" s="515">
        <v>38347.919999999998</v>
      </c>
      <c r="E15" s="224"/>
      <c r="F15" s="101"/>
      <c r="G15" s="225">
        <f t="shared" si="0"/>
        <v>38347.919999999998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637" t="s">
        <v>1168</v>
      </c>
      <c r="C16" s="638" t="s">
        <v>1169</v>
      </c>
      <c r="D16" s="639">
        <v>1773</v>
      </c>
      <c r="E16" s="224"/>
      <c r="F16" s="101"/>
      <c r="G16" s="225">
        <f t="shared" si="0"/>
        <v>1773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637" t="s">
        <v>1170</v>
      </c>
      <c r="C17" s="638" t="s">
        <v>1171</v>
      </c>
      <c r="D17" s="639">
        <v>0</v>
      </c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635" t="s">
        <v>1170</v>
      </c>
      <c r="C18" s="636" t="s">
        <v>1172</v>
      </c>
      <c r="D18" s="515">
        <v>12208.45</v>
      </c>
      <c r="E18" s="224"/>
      <c r="F18" s="101"/>
      <c r="G18" s="225">
        <f t="shared" si="0"/>
        <v>12208.45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637" t="s">
        <v>1170</v>
      </c>
      <c r="C19" s="638" t="s">
        <v>1173</v>
      </c>
      <c r="D19" s="639">
        <v>18427.7</v>
      </c>
      <c r="E19" s="224"/>
      <c r="F19" s="101"/>
      <c r="G19" s="225">
        <f t="shared" si="0"/>
        <v>18427.7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637" t="s">
        <v>1170</v>
      </c>
      <c r="C20" s="638" t="s">
        <v>1174</v>
      </c>
      <c r="D20" s="639">
        <v>0</v>
      </c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635" t="s">
        <v>1170</v>
      </c>
      <c r="C21" s="636" t="s">
        <v>1175</v>
      </c>
      <c r="D21" s="515">
        <v>19000.8</v>
      </c>
      <c r="E21" s="224"/>
      <c r="F21" s="101"/>
      <c r="G21" s="225">
        <f t="shared" si="0"/>
        <v>19000.8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637" t="s">
        <v>1170</v>
      </c>
      <c r="C22" s="638" t="s">
        <v>1176</v>
      </c>
      <c r="D22" s="639">
        <v>0</v>
      </c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637" t="s">
        <v>1177</v>
      </c>
      <c r="C23" s="638" t="s">
        <v>1178</v>
      </c>
      <c r="D23" s="639">
        <v>17511.2</v>
      </c>
      <c r="E23" s="224"/>
      <c r="F23" s="101"/>
      <c r="G23" s="225">
        <f t="shared" si="0"/>
        <v>17511.2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635" t="s">
        <v>1179</v>
      </c>
      <c r="C24" s="636" t="s">
        <v>1180</v>
      </c>
      <c r="D24" s="515">
        <v>36100.5</v>
      </c>
      <c r="E24" s="224"/>
      <c r="F24" s="101"/>
      <c r="G24" s="225">
        <f t="shared" si="0"/>
        <v>36100.5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635" t="s">
        <v>1181</v>
      </c>
      <c r="C25" s="636" t="s">
        <v>1182</v>
      </c>
      <c r="D25" s="515">
        <v>19530.599999999999</v>
      </c>
      <c r="E25" s="224"/>
      <c r="F25" s="101"/>
      <c r="G25" s="225">
        <f t="shared" si="0"/>
        <v>19530.599999999999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635" t="s">
        <v>1181</v>
      </c>
      <c r="C26" s="636" t="s">
        <v>1183</v>
      </c>
      <c r="D26" s="515">
        <v>10912</v>
      </c>
      <c r="E26" s="224"/>
      <c r="F26" s="101"/>
      <c r="G26" s="225">
        <f t="shared" si="0"/>
        <v>10912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637" t="s">
        <v>1184</v>
      </c>
      <c r="C27" s="638" t="s">
        <v>1185</v>
      </c>
      <c r="D27" s="639">
        <v>12699.73</v>
      </c>
      <c r="E27" s="224"/>
      <c r="F27" s="101"/>
      <c r="G27" s="225">
        <f t="shared" si="0"/>
        <v>12699.73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635" t="s">
        <v>1184</v>
      </c>
      <c r="C28" s="636" t="s">
        <v>1186</v>
      </c>
      <c r="D28" s="515">
        <v>0</v>
      </c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637" t="s">
        <v>1184</v>
      </c>
      <c r="C29" s="638" t="s">
        <v>1187</v>
      </c>
      <c r="D29" s="639">
        <v>0</v>
      </c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637" t="s">
        <v>1188</v>
      </c>
      <c r="C30" s="638" t="s">
        <v>1189</v>
      </c>
      <c r="D30" s="639">
        <v>0</v>
      </c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637" t="s">
        <v>1188</v>
      </c>
      <c r="C31" s="638" t="s">
        <v>1190</v>
      </c>
      <c r="D31" s="639">
        <v>151306.5</v>
      </c>
      <c r="E31" s="224"/>
      <c r="F31" s="101"/>
      <c r="G31" s="225">
        <f t="shared" si="0"/>
        <v>151306.5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635" t="s">
        <v>1191</v>
      </c>
      <c r="C32" s="636" t="s">
        <v>1192</v>
      </c>
      <c r="D32" s="515">
        <v>44832.6</v>
      </c>
      <c r="E32" s="224"/>
      <c r="F32" s="101"/>
      <c r="G32" s="225">
        <f t="shared" si="0"/>
        <v>44832.6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637" t="s">
        <v>1193</v>
      </c>
      <c r="C33" s="638" t="s">
        <v>1194</v>
      </c>
      <c r="D33" s="639">
        <v>25796.65</v>
      </c>
      <c r="E33" s="224"/>
      <c r="F33" s="101"/>
      <c r="G33" s="225">
        <f t="shared" si="0"/>
        <v>25796.65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635" t="s">
        <v>1193</v>
      </c>
      <c r="C34" s="636" t="s">
        <v>1195</v>
      </c>
      <c r="D34" s="515">
        <v>26980</v>
      </c>
      <c r="E34" s="224"/>
      <c r="F34" s="101"/>
      <c r="G34" s="225">
        <f t="shared" si="0"/>
        <v>26980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637" t="s">
        <v>1196</v>
      </c>
      <c r="C35" s="638" t="s">
        <v>1197</v>
      </c>
      <c r="D35" s="639">
        <v>9028.2800000000007</v>
      </c>
      <c r="E35" s="224"/>
      <c r="F35" s="101"/>
      <c r="G35" s="225">
        <f t="shared" si="0"/>
        <v>9028.2800000000007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635" t="s">
        <v>1198</v>
      </c>
      <c r="C36" s="636" t="s">
        <v>1199</v>
      </c>
      <c r="D36" s="515">
        <v>0</v>
      </c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635" t="s">
        <v>1198</v>
      </c>
      <c r="C37" s="636" t="s">
        <v>1200</v>
      </c>
      <c r="D37" s="515">
        <v>25626</v>
      </c>
      <c r="E37" s="238"/>
      <c r="F37" s="84"/>
      <c r="G37" s="101">
        <f t="shared" si="0"/>
        <v>25626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635" t="s">
        <v>1198</v>
      </c>
      <c r="C38" s="636" t="s">
        <v>1201</v>
      </c>
      <c r="D38" s="515">
        <v>2012.8</v>
      </c>
      <c r="E38" s="238"/>
      <c r="F38" s="84"/>
      <c r="G38" s="101">
        <f t="shared" si="0"/>
        <v>2012.8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637" t="s">
        <v>1202</v>
      </c>
      <c r="C39" s="638" t="s">
        <v>1203</v>
      </c>
      <c r="D39" s="639">
        <v>10211.08</v>
      </c>
      <c r="E39" s="238"/>
      <c r="F39" s="84"/>
      <c r="G39" s="101">
        <f t="shared" si="0"/>
        <v>10211.08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637" t="s">
        <v>1202</v>
      </c>
      <c r="C40" s="638" t="s">
        <v>1204</v>
      </c>
      <c r="D40" s="639">
        <v>16114.29</v>
      </c>
      <c r="E40" s="238"/>
      <c r="F40" s="84"/>
      <c r="G40" s="101">
        <f t="shared" si="0"/>
        <v>16114.29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635" t="s">
        <v>1205</v>
      </c>
      <c r="C41" s="636" t="s">
        <v>1206</v>
      </c>
      <c r="D41" s="515">
        <v>10315.6</v>
      </c>
      <c r="E41" s="238"/>
      <c r="F41" s="84"/>
      <c r="G41" s="101">
        <f t="shared" si="0"/>
        <v>10315.6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637" t="s">
        <v>1205</v>
      </c>
      <c r="C42" s="638" t="s">
        <v>1207</v>
      </c>
      <c r="D42" s="639">
        <v>614.20000000000005</v>
      </c>
      <c r="E42" s="238"/>
      <c r="F42" s="84"/>
      <c r="G42" s="101">
        <f t="shared" si="0"/>
        <v>614.20000000000005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635" t="s">
        <v>1205</v>
      </c>
      <c r="C43" s="636" t="s">
        <v>1208</v>
      </c>
      <c r="D43" s="515">
        <v>0</v>
      </c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637" t="s">
        <v>1205</v>
      </c>
      <c r="C44" s="638" t="s">
        <v>1209</v>
      </c>
      <c r="D44" s="639">
        <v>3422</v>
      </c>
      <c r="E44" s="238"/>
      <c r="F44" s="84"/>
      <c r="G44" s="101">
        <f t="shared" si="0"/>
        <v>3422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635" t="s">
        <v>1210</v>
      </c>
      <c r="C45" s="636" t="s">
        <v>1211</v>
      </c>
      <c r="D45" s="515">
        <v>2997</v>
      </c>
      <c r="E45" s="238"/>
      <c r="F45" s="84"/>
      <c r="G45" s="101">
        <f t="shared" si="0"/>
        <v>2997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637" t="s">
        <v>1212</v>
      </c>
      <c r="C46" s="638" t="s">
        <v>1213</v>
      </c>
      <c r="D46" s="639">
        <v>0</v>
      </c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635" t="s">
        <v>1212</v>
      </c>
      <c r="C47" s="636" t="s">
        <v>1214</v>
      </c>
      <c r="D47" s="515">
        <v>19438.78</v>
      </c>
      <c r="E47" s="238"/>
      <c r="F47" s="84"/>
      <c r="G47" s="101">
        <f t="shared" si="0"/>
        <v>19438.78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79" t="s">
        <v>35</v>
      </c>
      <c r="J49" s="680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81"/>
      <c r="J50" s="682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83"/>
      <c r="J51" s="684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5" t="s">
        <v>35</v>
      </c>
      <c r="J65" s="686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94"/>
      <c r="J66" s="695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SUM(D3:D68)</f>
        <v>919506.72</v>
      </c>
      <c r="E69" s="261"/>
      <c r="F69" s="262">
        <f>SUM(F7:F68)</f>
        <v>0</v>
      </c>
      <c r="G69" s="263">
        <f>SUM(G3:G68)</f>
        <v>919506.72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9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0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V109"/>
  <sheetViews>
    <sheetView tabSelected="1" workbookViewId="0">
      <pane xSplit="3" ySplit="4" topLeftCell="I8" activePane="bottomRight" state="frozen"/>
      <selection pane="topRight" activeCell="D1" sqref="D1"/>
      <selection pane="bottomLeft" activeCell="A5" sqref="A5"/>
      <selection pane="bottomRight" activeCell="R17" sqref="R1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69"/>
      <c r="C1" s="671" t="s">
        <v>1142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2" ht="18" thickBot="1" x14ac:dyDescent="0.35">
      <c r="B2" s="670"/>
      <c r="C2" s="5"/>
      <c r="H2" s="8"/>
      <c r="I2" s="9"/>
      <c r="J2" s="701" t="s">
        <v>1122</v>
      </c>
      <c r="K2" s="702"/>
      <c r="L2" s="702"/>
      <c r="M2" s="703"/>
      <c r="N2" s="13"/>
    </row>
    <row r="3" spans="1:22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533"/>
      <c r="R3" s="696" t="s">
        <v>3</v>
      </c>
    </row>
    <row r="4" spans="1:22" ht="32.25" thickTop="1" thickBot="1" x14ac:dyDescent="0.35">
      <c r="A4" s="21" t="s">
        <v>4</v>
      </c>
      <c r="B4" s="22"/>
      <c r="C4" s="23">
        <v>3340512.21</v>
      </c>
      <c r="D4" s="24">
        <v>45198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22" ht="18" thickBot="1" x14ac:dyDescent="0.35">
      <c r="A5" s="504" t="s">
        <v>656</v>
      </c>
      <c r="B5" s="32">
        <v>45199</v>
      </c>
      <c r="C5" s="33">
        <v>31066</v>
      </c>
      <c r="D5" s="618" t="s">
        <v>1144</v>
      </c>
      <c r="E5" s="35">
        <v>45199</v>
      </c>
      <c r="F5" s="36">
        <v>193765</v>
      </c>
      <c r="G5" s="37"/>
      <c r="H5" s="38">
        <v>45199</v>
      </c>
      <c r="I5" s="39">
        <v>6563.5</v>
      </c>
      <c r="J5" s="40">
        <v>45199</v>
      </c>
      <c r="K5" s="356" t="s">
        <v>1145</v>
      </c>
      <c r="L5" s="13">
        <f>24181+1500</f>
        <v>25681</v>
      </c>
      <c r="M5" s="42">
        <f>46579.5+3232</f>
        <v>49811.5</v>
      </c>
      <c r="N5" s="43">
        <v>85345</v>
      </c>
      <c r="P5" s="44">
        <f t="shared" ref="P5:P33" si="0">N5+M5+L5+I5+C5</f>
        <v>198467</v>
      </c>
      <c r="Q5" s="45">
        <v>0</v>
      </c>
      <c r="R5" s="355">
        <v>4702</v>
      </c>
    </row>
    <row r="6" spans="1:22" ht="18" thickBot="1" x14ac:dyDescent="0.35">
      <c r="A6" s="504" t="s">
        <v>650</v>
      </c>
      <c r="B6" s="32">
        <v>45200</v>
      </c>
      <c r="C6" s="33">
        <v>12893</v>
      </c>
      <c r="D6" s="619" t="s">
        <v>1146</v>
      </c>
      <c r="E6" s="35">
        <v>45200</v>
      </c>
      <c r="F6" s="36">
        <v>117177</v>
      </c>
      <c r="G6" s="37"/>
      <c r="H6" s="38">
        <v>45200</v>
      </c>
      <c r="I6" s="39">
        <v>1439.5</v>
      </c>
      <c r="J6" s="40"/>
      <c r="K6" s="65"/>
      <c r="L6" s="49"/>
      <c r="M6" s="42">
        <v>49300</v>
      </c>
      <c r="N6" s="43">
        <v>53549</v>
      </c>
      <c r="P6" s="49">
        <f t="shared" si="0"/>
        <v>117181.5</v>
      </c>
      <c r="Q6" s="45">
        <f t="shared" ref="Q6:Q11" si="1">P6-F6</f>
        <v>4.5</v>
      </c>
      <c r="R6" s="390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45201</v>
      </c>
      <c r="C7" s="33">
        <v>14902</v>
      </c>
      <c r="D7" s="620" t="s">
        <v>1215</v>
      </c>
      <c r="E7" s="35">
        <v>45201</v>
      </c>
      <c r="F7" s="36">
        <v>178843</v>
      </c>
      <c r="G7" s="37"/>
      <c r="H7" s="38">
        <v>45201</v>
      </c>
      <c r="I7" s="39">
        <v>2161.5</v>
      </c>
      <c r="J7" s="40"/>
      <c r="K7" s="65"/>
      <c r="L7" s="49"/>
      <c r="M7" s="42">
        <f>83243.5+31387</f>
        <v>114630.5</v>
      </c>
      <c r="N7" s="43">
        <v>47149</v>
      </c>
      <c r="P7" s="49">
        <f t="shared" si="0"/>
        <v>178843</v>
      </c>
      <c r="Q7" s="45">
        <f t="shared" si="1"/>
        <v>0</v>
      </c>
      <c r="R7" s="390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45202</v>
      </c>
      <c r="C8" s="33">
        <v>18845</v>
      </c>
      <c r="D8" s="621" t="s">
        <v>1216</v>
      </c>
      <c r="E8" s="35">
        <v>45202</v>
      </c>
      <c r="F8" s="36">
        <v>186455</v>
      </c>
      <c r="G8" s="37"/>
      <c r="H8" s="38">
        <v>45202</v>
      </c>
      <c r="I8" s="39">
        <v>3401.5</v>
      </c>
      <c r="J8" s="52">
        <v>45202</v>
      </c>
      <c r="K8" s="342" t="s">
        <v>1217</v>
      </c>
      <c r="L8" s="49">
        <v>3953</v>
      </c>
      <c r="M8" s="42">
        <f>95746.5+3345+8800</f>
        <v>107891.5</v>
      </c>
      <c r="N8" s="43">
        <v>52364</v>
      </c>
      <c r="P8" s="49">
        <f t="shared" si="0"/>
        <v>186455</v>
      </c>
      <c r="Q8" s="45">
        <f t="shared" si="1"/>
        <v>0</v>
      </c>
      <c r="R8" s="390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45203</v>
      </c>
      <c r="C9" s="33">
        <v>10075</v>
      </c>
      <c r="D9" s="621" t="s">
        <v>1218</v>
      </c>
      <c r="E9" s="35">
        <v>45203</v>
      </c>
      <c r="F9" s="36">
        <v>126840</v>
      </c>
      <c r="G9" s="37"/>
      <c r="H9" s="38">
        <v>45203</v>
      </c>
      <c r="I9" s="39">
        <v>2987</v>
      </c>
      <c r="J9" s="40"/>
      <c r="K9" s="348"/>
      <c r="L9" s="49"/>
      <c r="M9" s="42">
        <f>39530+25864.8+2100+2193+7700</f>
        <v>77387.8</v>
      </c>
      <c r="N9" s="43">
        <v>38204</v>
      </c>
      <c r="P9" s="49">
        <f t="shared" si="0"/>
        <v>128653.8</v>
      </c>
      <c r="Q9" s="45">
        <v>0</v>
      </c>
      <c r="R9" s="355">
        <v>1814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45204</v>
      </c>
      <c r="C10" s="33">
        <v>25247</v>
      </c>
      <c r="D10" s="620" t="s">
        <v>1219</v>
      </c>
      <c r="E10" s="35">
        <v>45204</v>
      </c>
      <c r="F10" s="36">
        <v>140243</v>
      </c>
      <c r="G10" s="37"/>
      <c r="H10" s="38">
        <v>45204</v>
      </c>
      <c r="I10" s="39">
        <v>2204</v>
      </c>
      <c r="J10" s="40">
        <v>45204</v>
      </c>
      <c r="K10" s="54" t="s">
        <v>1220</v>
      </c>
      <c r="L10" s="55">
        <v>8738</v>
      </c>
      <c r="M10" s="42">
        <f>88964+4193.72+1241.84</f>
        <v>94399.56</v>
      </c>
      <c r="N10" s="43">
        <v>39154</v>
      </c>
      <c r="P10" s="49">
        <f t="shared" si="0"/>
        <v>169742.56</v>
      </c>
      <c r="Q10" s="45">
        <v>0</v>
      </c>
      <c r="R10" s="355">
        <v>29500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45205</v>
      </c>
      <c r="C11" s="33">
        <v>13527</v>
      </c>
      <c r="D11" s="619" t="s">
        <v>1221</v>
      </c>
      <c r="E11" s="35">
        <v>45205</v>
      </c>
      <c r="F11" s="36">
        <v>164798</v>
      </c>
      <c r="G11" s="37"/>
      <c r="H11" s="38">
        <v>45205</v>
      </c>
      <c r="I11" s="39">
        <v>3540</v>
      </c>
      <c r="J11" s="52">
        <v>45205</v>
      </c>
      <c r="K11" s="704" t="s">
        <v>1222</v>
      </c>
      <c r="L11" s="49">
        <v>12669</v>
      </c>
      <c r="M11" s="42">
        <f>63600+31366+3533</f>
        <v>98499</v>
      </c>
      <c r="N11" s="43">
        <v>54135</v>
      </c>
      <c r="P11" s="49">
        <f t="shared" si="0"/>
        <v>182370</v>
      </c>
      <c r="Q11" s="45">
        <v>0</v>
      </c>
      <c r="R11" s="355">
        <v>17572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45206</v>
      </c>
      <c r="C12" s="33">
        <v>9677</v>
      </c>
      <c r="D12" s="619" t="s">
        <v>1223</v>
      </c>
      <c r="E12" s="35">
        <v>45206</v>
      </c>
      <c r="F12" s="36">
        <v>165775</v>
      </c>
      <c r="G12" s="37"/>
      <c r="H12" s="38">
        <v>45206</v>
      </c>
      <c r="I12" s="39">
        <v>4956.5</v>
      </c>
      <c r="J12" s="40">
        <v>45206</v>
      </c>
      <c r="K12" s="705" t="s">
        <v>1224</v>
      </c>
      <c r="L12" s="49">
        <v>21280</v>
      </c>
      <c r="M12" s="42">
        <f>70771.5+5416+1169</f>
        <v>77356.5</v>
      </c>
      <c r="N12" s="43">
        <v>52505</v>
      </c>
      <c r="O12" s="192"/>
      <c r="P12" s="49">
        <f t="shared" si="0"/>
        <v>165775</v>
      </c>
      <c r="Q12" s="45">
        <f t="shared" ref="Q12:Q47" si="2">P12-F12</f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45207</v>
      </c>
      <c r="C13" s="33">
        <v>19776</v>
      </c>
      <c r="D13" s="621" t="s">
        <v>1225</v>
      </c>
      <c r="E13" s="35">
        <v>45207</v>
      </c>
      <c r="F13" s="36">
        <v>116076</v>
      </c>
      <c r="G13" s="37"/>
      <c r="H13" s="38">
        <v>45207</v>
      </c>
      <c r="I13" s="39">
        <v>875</v>
      </c>
      <c r="J13" s="40"/>
      <c r="K13" s="343"/>
      <c r="L13" s="49"/>
      <c r="M13" s="42">
        <f>42563+7125</f>
        <v>49688</v>
      </c>
      <c r="N13" s="43">
        <v>45737</v>
      </c>
      <c r="O13" s="192"/>
      <c r="P13" s="49">
        <f>N13+M13+L13+I13+C13</f>
        <v>116076</v>
      </c>
      <c r="Q13" s="45">
        <f t="shared" si="2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45208</v>
      </c>
      <c r="C14" s="33">
        <v>34442</v>
      </c>
      <c r="D14" s="620" t="s">
        <v>1226</v>
      </c>
      <c r="E14" s="35">
        <v>45208</v>
      </c>
      <c r="F14" s="36">
        <v>117869</v>
      </c>
      <c r="G14" s="37"/>
      <c r="H14" s="38">
        <v>45208</v>
      </c>
      <c r="I14" s="39">
        <v>3858</v>
      </c>
      <c r="J14" s="40"/>
      <c r="K14" s="65"/>
      <c r="L14" s="49"/>
      <c r="M14" s="42">
        <v>36679</v>
      </c>
      <c r="N14" s="43">
        <v>42890</v>
      </c>
      <c r="O14" s="193"/>
      <c r="P14" s="49">
        <f t="shared" si="0"/>
        <v>117869</v>
      </c>
      <c r="Q14" s="45">
        <f t="shared" si="2"/>
        <v>0</v>
      </c>
      <c r="R14" s="46">
        <v>0</v>
      </c>
      <c r="S14" s="233">
        <v>4</v>
      </c>
      <c r="T14" s="233"/>
      <c r="U14" s="233"/>
      <c r="V14" s="233"/>
    </row>
    <row r="15" spans="1:22" ht="18" thickBot="1" x14ac:dyDescent="0.35">
      <c r="A15" s="504" t="s">
        <v>652</v>
      </c>
      <c r="B15" s="32">
        <v>45209</v>
      </c>
      <c r="C15" s="33">
        <v>28772</v>
      </c>
      <c r="D15" s="620" t="s">
        <v>1227</v>
      </c>
      <c r="E15" s="35">
        <v>45209</v>
      </c>
      <c r="F15" s="36">
        <v>202882</v>
      </c>
      <c r="G15" s="37"/>
      <c r="H15" s="38">
        <v>45209</v>
      </c>
      <c r="I15" s="39">
        <v>3932.5</v>
      </c>
      <c r="J15" s="40"/>
      <c r="K15" s="65"/>
      <c r="L15" s="49"/>
      <c r="M15" s="42">
        <f>34741.5+11080+2289+27950+7700+325</f>
        <v>84085.5</v>
      </c>
      <c r="N15" s="43">
        <v>86092</v>
      </c>
      <c r="P15" s="49">
        <f t="shared" si="0"/>
        <v>202882</v>
      </c>
      <c r="Q15" s="45">
        <f t="shared" si="2"/>
        <v>0</v>
      </c>
      <c r="R15" s="46" t="s">
        <v>11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45210</v>
      </c>
      <c r="C16" s="33">
        <v>17209</v>
      </c>
      <c r="D16" s="620" t="s">
        <v>1228</v>
      </c>
      <c r="E16" s="35">
        <v>45210</v>
      </c>
      <c r="F16" s="36">
        <v>156596</v>
      </c>
      <c r="G16" s="37"/>
      <c r="H16" s="38">
        <v>45210</v>
      </c>
      <c r="I16" s="39">
        <v>1120</v>
      </c>
      <c r="J16" s="40"/>
      <c r="K16" s="342"/>
      <c r="L16" s="13"/>
      <c r="M16" s="42">
        <f>54775+2155+3466+6600</f>
        <v>66996</v>
      </c>
      <c r="N16" s="43">
        <v>71271</v>
      </c>
      <c r="P16" s="49">
        <f t="shared" si="0"/>
        <v>156596</v>
      </c>
      <c r="Q16" s="45">
        <f t="shared" si="2"/>
        <v>0</v>
      </c>
      <c r="R16" s="46">
        <v>0</v>
      </c>
      <c r="S16" s="233" t="s">
        <v>11</v>
      </c>
      <c r="T16" s="233"/>
      <c r="U16" s="233"/>
      <c r="V16" s="233"/>
    </row>
    <row r="17" spans="1:22" ht="26.25" thickBot="1" x14ac:dyDescent="0.35">
      <c r="A17" s="504" t="s">
        <v>654</v>
      </c>
      <c r="B17" s="32">
        <v>45211</v>
      </c>
      <c r="C17" s="33">
        <v>11679</v>
      </c>
      <c r="D17" s="619" t="s">
        <v>1229</v>
      </c>
      <c r="E17" s="35">
        <v>45211</v>
      </c>
      <c r="F17" s="36">
        <v>167432</v>
      </c>
      <c r="G17" s="37"/>
      <c r="H17" s="38">
        <v>45211</v>
      </c>
      <c r="I17" s="39">
        <v>1845</v>
      </c>
      <c r="J17" s="40">
        <v>45211</v>
      </c>
      <c r="K17" s="342" t="s">
        <v>1230</v>
      </c>
      <c r="L17" s="55">
        <v>11658</v>
      </c>
      <c r="M17" s="42">
        <v>75157</v>
      </c>
      <c r="N17" s="43">
        <v>67093</v>
      </c>
      <c r="O17" s="499"/>
      <c r="P17" s="49">
        <f t="shared" si="0"/>
        <v>167432</v>
      </c>
      <c r="Q17" s="45">
        <f t="shared" si="2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45212</v>
      </c>
      <c r="C18" s="33"/>
      <c r="D18" s="621"/>
      <c r="E18" s="35">
        <v>45212</v>
      </c>
      <c r="F18" s="36"/>
      <c r="G18" s="37"/>
      <c r="H18" s="38">
        <v>45212</v>
      </c>
      <c r="I18" s="39"/>
      <c r="J18" s="40"/>
      <c r="K18" s="616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45213</v>
      </c>
      <c r="C19" s="33"/>
      <c r="D19" s="619"/>
      <c r="E19" s="35">
        <v>45213</v>
      </c>
      <c r="F19" s="36"/>
      <c r="G19" s="37"/>
      <c r="H19" s="38">
        <v>45213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45214</v>
      </c>
      <c r="C20" s="33"/>
      <c r="D20" s="619"/>
      <c r="E20" s="35">
        <v>45214</v>
      </c>
      <c r="F20" s="36"/>
      <c r="G20" s="37"/>
      <c r="H20" s="38">
        <v>45214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45215</v>
      </c>
      <c r="C21" s="33"/>
      <c r="D21" s="619"/>
      <c r="E21" s="35">
        <v>45215</v>
      </c>
      <c r="F21" s="36"/>
      <c r="G21" s="37"/>
      <c r="H21" s="38">
        <v>45215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45216</v>
      </c>
      <c r="C22" s="33"/>
      <c r="D22" s="619"/>
      <c r="E22" s="35">
        <v>45216</v>
      </c>
      <c r="F22" s="36"/>
      <c r="G22" s="37"/>
      <c r="H22" s="38">
        <v>45216</v>
      </c>
      <c r="I22" s="359"/>
      <c r="J22" s="40"/>
      <c r="K22" s="622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653</v>
      </c>
      <c r="B23" s="32">
        <v>45217</v>
      </c>
      <c r="C23" s="33"/>
      <c r="D23" s="619"/>
      <c r="E23" s="35">
        <v>45217</v>
      </c>
      <c r="F23" s="36"/>
      <c r="G23" s="37"/>
      <c r="H23" s="38">
        <v>45217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45218</v>
      </c>
      <c r="C24" s="33"/>
      <c r="D24" s="621"/>
      <c r="E24" s="35">
        <v>45218</v>
      </c>
      <c r="F24" s="36"/>
      <c r="G24" s="37"/>
      <c r="H24" s="38">
        <v>45218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45219</v>
      </c>
      <c r="C25" s="33"/>
      <c r="D25" s="619"/>
      <c r="E25" s="35">
        <v>45219</v>
      </c>
      <c r="F25" s="36"/>
      <c r="G25" s="37"/>
      <c r="H25" s="38">
        <v>45219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45220</v>
      </c>
      <c r="C26" s="33"/>
      <c r="D26" s="619"/>
      <c r="E26" s="35">
        <v>45220</v>
      </c>
      <c r="F26" s="36"/>
      <c r="G26" s="37"/>
      <c r="H26" s="38">
        <v>45220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45221</v>
      </c>
      <c r="C27" s="33"/>
      <c r="D27" s="621"/>
      <c r="E27" s="35">
        <v>45221</v>
      </c>
      <c r="F27" s="36"/>
      <c r="G27" s="37"/>
      <c r="H27" s="38">
        <v>45221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45222</v>
      </c>
      <c r="C28" s="33"/>
      <c r="D28" s="621"/>
      <c r="E28" s="35">
        <v>45222</v>
      </c>
      <c r="F28" s="36"/>
      <c r="G28" s="37"/>
      <c r="H28" s="38">
        <v>45222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45223</v>
      </c>
      <c r="C29" s="33"/>
      <c r="D29" s="623"/>
      <c r="E29" s="35">
        <v>45223</v>
      </c>
      <c r="F29" s="36"/>
      <c r="G29" s="37"/>
      <c r="H29" s="38">
        <v>45223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45224</v>
      </c>
      <c r="C30" s="33"/>
      <c r="D30" s="623"/>
      <c r="E30" s="35">
        <v>45224</v>
      </c>
      <c r="F30" s="36"/>
      <c r="G30" s="37"/>
      <c r="H30" s="38">
        <v>45224</v>
      </c>
      <c r="I30" s="39"/>
      <c r="J30" s="338"/>
      <c r="K30" s="350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45225</v>
      </c>
      <c r="C31" s="33"/>
      <c r="D31" s="624"/>
      <c r="E31" s="35">
        <v>45225</v>
      </c>
      <c r="F31" s="36"/>
      <c r="G31" s="37"/>
      <c r="H31" s="38">
        <v>45225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v>0</v>
      </c>
      <c r="R31" s="282">
        <v>1250</v>
      </c>
      <c r="S31" s="233"/>
    </row>
    <row r="32" spans="1:22" ht="18" thickBot="1" x14ac:dyDescent="0.35">
      <c r="A32" s="504" t="s">
        <v>655</v>
      </c>
      <c r="B32" s="32">
        <v>45226</v>
      </c>
      <c r="C32" s="33"/>
      <c r="D32" s="625"/>
      <c r="E32" s="35">
        <v>45226</v>
      </c>
      <c r="F32" s="36"/>
      <c r="G32" s="37"/>
      <c r="H32" s="38">
        <v>45226</v>
      </c>
      <c r="I32" s="39"/>
      <c r="J32" s="340"/>
      <c r="K32" s="65"/>
      <c r="L32" s="4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626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626"/>
      <c r="E34" s="35"/>
      <c r="F34" s="36"/>
      <c r="G34" s="37"/>
      <c r="H34" s="38"/>
      <c r="I34" s="39"/>
      <c r="J34" s="338">
        <v>45199</v>
      </c>
      <c r="K34" s="88" t="s">
        <v>1145</v>
      </c>
      <c r="L34" s="49">
        <v>24511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/>
      <c r="C35" s="86"/>
      <c r="D35" s="624"/>
      <c r="E35" s="35"/>
      <c r="F35" s="36"/>
      <c r="G35" s="37"/>
      <c r="H35" s="38"/>
      <c r="I35" s="39"/>
      <c r="J35" s="87">
        <v>45206</v>
      </c>
      <c r="K35" s="342" t="s">
        <v>1224</v>
      </c>
      <c r="L35" s="89">
        <v>27588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/>
      <c r="C36" s="90"/>
      <c r="D36" s="627"/>
      <c r="E36" s="35"/>
      <c r="F36" s="36"/>
      <c r="G36" s="37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/>
      <c r="C37" s="93"/>
      <c r="D37" s="627"/>
      <c r="E37" s="35"/>
      <c r="F37" s="36"/>
      <c r="G37" s="37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/>
      <c r="C38" s="93"/>
      <c r="D38" s="627"/>
      <c r="E38" s="35"/>
      <c r="F38" s="36"/>
      <c r="G38" s="37"/>
      <c r="H38" s="38"/>
      <c r="I38" s="39"/>
      <c r="J38" s="338"/>
      <c r="K38" s="343"/>
      <c r="L38" s="49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/>
      <c r="C39" s="93"/>
      <c r="D39" s="627"/>
      <c r="E39" s="35"/>
      <c r="F39" s="97"/>
      <c r="G39" s="37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/>
      <c r="C40" s="93"/>
      <c r="D40" s="627"/>
      <c r="E40" s="35"/>
      <c r="F40" s="97"/>
      <c r="G40" s="37"/>
      <c r="H40" s="38"/>
      <c r="I40" s="98"/>
      <c r="J40" s="87"/>
      <c r="K40" s="88"/>
      <c r="L40" s="89"/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/>
      <c r="C41" s="93"/>
      <c r="D41" s="628"/>
      <c r="E41" s="35"/>
      <c r="F41" s="97"/>
      <c r="G41" s="37"/>
      <c r="H41" s="38"/>
      <c r="I41" s="103"/>
      <c r="J41" s="338"/>
      <c r="K41" s="88"/>
      <c r="L41" s="49"/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/>
      <c r="C42" s="93"/>
      <c r="D42" s="628"/>
      <c r="E42" s="35"/>
      <c r="F42" s="97"/>
      <c r="G42" s="37"/>
      <c r="H42" s="38"/>
      <c r="I42" s="103"/>
      <c r="J42" s="338"/>
      <c r="K42" s="350"/>
      <c r="L42" s="49"/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629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628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630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630"/>
      <c r="E46" s="35"/>
      <c r="F46" s="97"/>
      <c r="G46" s="37"/>
      <c r="H46" s="38"/>
      <c r="I46" s="103"/>
      <c r="J46" s="338"/>
      <c r="K46" s="347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630"/>
      <c r="E47" s="104"/>
      <c r="F47" s="631"/>
      <c r="G47" s="37"/>
      <c r="H47" s="38"/>
      <c r="I47" s="103"/>
      <c r="J47" s="340"/>
      <c r="K47" s="632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633"/>
      <c r="E48" s="104"/>
      <c r="F48" s="631"/>
      <c r="G48" s="37"/>
      <c r="H48" s="38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630"/>
      <c r="E49" s="104"/>
      <c r="F49" s="634"/>
      <c r="G49" s="37"/>
      <c r="H49" s="38"/>
      <c r="I49" s="103"/>
      <c r="J49" s="338"/>
      <c r="K49" s="471"/>
      <c r="L49" s="49"/>
      <c r="M49" s="651">
        <f>SUM(M5:M40)</f>
        <v>981881.86</v>
      </c>
      <c r="N49" s="651">
        <f>SUM(N5:N40)</f>
        <v>735488</v>
      </c>
      <c r="P49" s="111">
        <f>SUM(P5:P40)</f>
        <v>2088342.86</v>
      </c>
      <c r="Q49" s="663">
        <f>SUM(Q5:Q40)</f>
        <v>4.5</v>
      </c>
      <c r="R49" s="46">
        <v>0</v>
      </c>
    </row>
    <row r="50" spans="1:18" ht="18" thickBot="1" x14ac:dyDescent="0.35">
      <c r="A50" s="31"/>
      <c r="B50" s="32"/>
      <c r="C50" s="93"/>
      <c r="D50" s="630"/>
      <c r="E50" s="104"/>
      <c r="F50" s="634"/>
      <c r="G50" s="37"/>
      <c r="H50" s="106"/>
      <c r="I50" s="103"/>
      <c r="J50" s="338"/>
      <c r="K50" s="343"/>
      <c r="L50" s="49"/>
      <c r="M50" s="652"/>
      <c r="N50" s="652"/>
      <c r="P50" s="44"/>
      <c r="Q50" s="664"/>
      <c r="R50" s="112">
        <f>SUM(R5:R49)</f>
        <v>54838</v>
      </c>
    </row>
    <row r="51" spans="1:18" ht="18" thickBot="1" x14ac:dyDescent="0.35">
      <c r="A51" s="31"/>
      <c r="B51" s="32"/>
      <c r="C51" s="93"/>
      <c r="D51" s="630"/>
      <c r="E51" s="104"/>
      <c r="F51" s="634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630"/>
      <c r="E52" s="104"/>
      <c r="F52" s="634"/>
      <c r="G52" s="37"/>
      <c r="H52" s="106"/>
      <c r="I52" s="103"/>
      <c r="J52" s="338"/>
      <c r="K52" s="349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630"/>
      <c r="E53" s="104"/>
      <c r="F53" s="634"/>
      <c r="G53" s="37"/>
      <c r="H53" s="106"/>
      <c r="I53" s="103"/>
      <c r="J53" s="338"/>
      <c r="K53" s="343"/>
      <c r="L53" s="49"/>
      <c r="M53" s="665">
        <f>M49+N49</f>
        <v>1717369.8599999999</v>
      </c>
      <c r="N53" s="666"/>
      <c r="P53" s="44"/>
      <c r="Q53" s="19"/>
    </row>
    <row r="54" spans="1:18" ht="18" thickBot="1" x14ac:dyDescent="0.35">
      <c r="A54" s="31"/>
      <c r="B54" s="32"/>
      <c r="C54" s="93"/>
      <c r="D54" s="630"/>
      <c r="E54" s="104"/>
      <c r="F54" s="634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248110</v>
      </c>
      <c r="D79" s="520"/>
      <c r="E79" s="521" t="s">
        <v>12</v>
      </c>
      <c r="F79" s="522">
        <f>SUM(F5:F61)</f>
        <v>2034751</v>
      </c>
      <c r="G79" s="523"/>
      <c r="H79" s="521" t="s">
        <v>13</v>
      </c>
      <c r="I79" s="524">
        <f>SUM(I5:I61)</f>
        <v>38884</v>
      </c>
      <c r="J79" s="525"/>
      <c r="K79" s="526" t="s">
        <v>14</v>
      </c>
      <c r="L79" s="527">
        <f>SUM(L5:L77)-L26</f>
        <v>136078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59" t="s">
        <v>15</v>
      </c>
      <c r="I81" s="660"/>
      <c r="J81" s="154"/>
      <c r="K81" s="661">
        <f>I79+L79</f>
        <v>174962</v>
      </c>
      <c r="L81" s="662"/>
      <c r="M81" s="155"/>
      <c r="N81" s="155"/>
      <c r="P81" s="44"/>
      <c r="Q81" s="19"/>
    </row>
    <row r="82" spans="1:17" x14ac:dyDescent="0.25">
      <c r="D82" s="653" t="s">
        <v>16</v>
      </c>
      <c r="E82" s="653"/>
      <c r="F82" s="156">
        <f>F79-K81-C79</f>
        <v>1611679</v>
      </c>
      <c r="I82" s="157"/>
      <c r="J82" s="158"/>
    </row>
    <row r="83" spans="1:17" ht="18.75" x14ac:dyDescent="0.3">
      <c r="D83" s="654" t="s">
        <v>17</v>
      </c>
      <c r="E83" s="654"/>
      <c r="F83" s="101">
        <v>0</v>
      </c>
      <c r="I83" s="655" t="s">
        <v>18</v>
      </c>
      <c r="J83" s="656"/>
      <c r="K83" s="657">
        <f>F85+F86+F87</f>
        <v>5385182.4000000004</v>
      </c>
      <c r="L83" s="657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1611679</v>
      </c>
      <c r="H85" s="168"/>
      <c r="I85" s="169" t="s">
        <v>21</v>
      </c>
      <c r="J85" s="170"/>
      <c r="K85" s="658">
        <f>-C4</f>
        <v>-3340512.21</v>
      </c>
      <c r="L85" s="657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>
        <v>45226</v>
      </c>
      <c r="D87" s="646" t="s">
        <v>24</v>
      </c>
      <c r="E87" s="647"/>
      <c r="F87" s="173">
        <v>3773503.4</v>
      </c>
      <c r="I87" s="648"/>
      <c r="J87" s="649"/>
      <c r="K87" s="650">
        <f>K83+K85</f>
        <v>2044670.1900000004</v>
      </c>
      <c r="L87" s="650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K85:L85"/>
    <mergeCell ref="D87:E87"/>
    <mergeCell ref="I87:J87"/>
    <mergeCell ref="K87:L87"/>
    <mergeCell ref="M53:N53"/>
    <mergeCell ref="H81:I81"/>
    <mergeCell ref="K81:L81"/>
    <mergeCell ref="D82:E82"/>
    <mergeCell ref="D83:E83"/>
    <mergeCell ref="I83:J83"/>
    <mergeCell ref="K83:L83"/>
    <mergeCell ref="R3:R4"/>
    <mergeCell ref="E4:F4"/>
    <mergeCell ref="H4:I4"/>
    <mergeCell ref="M49:M50"/>
    <mergeCell ref="N49:N50"/>
    <mergeCell ref="Q49:Q50"/>
    <mergeCell ref="P3:P4"/>
    <mergeCell ref="B1:B2"/>
    <mergeCell ref="C1:M1"/>
    <mergeCell ref="J2:M2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76"/>
      <c r="J36" s="677"/>
      <c r="K36" s="677"/>
      <c r="L36" s="678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76"/>
      <c r="J37" s="677"/>
      <c r="K37" s="677"/>
      <c r="L37" s="67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9" t="s">
        <v>35</v>
      </c>
      <c r="J40" s="68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1"/>
      <c r="J41" s="68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3"/>
      <c r="J42" s="68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85" t="s">
        <v>35</v>
      </c>
      <c r="J67" s="686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9" t="s">
        <v>36</v>
      </c>
      <c r="I68" s="687"/>
      <c r="J68" s="68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90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21"/>
  <sheetViews>
    <sheetView workbookViewId="0">
      <selection activeCell="C34" sqref="C34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79" t="s">
        <v>35</v>
      </c>
      <c r="J49" s="680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81"/>
      <c r="J50" s="682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83"/>
      <c r="J51" s="684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5" t="s">
        <v>35</v>
      </c>
      <c r="J65" s="686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94"/>
      <c r="J66" s="695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9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0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69"/>
      <c r="C1" s="671" t="s">
        <v>120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8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R3" s="640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41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51">
        <f>SUM(M5:M40)</f>
        <v>1964337.8699999999</v>
      </c>
      <c r="N49" s="651">
        <f>SUM(N5:N40)</f>
        <v>1314937</v>
      </c>
      <c r="P49" s="111">
        <f>SUM(P5:P40)</f>
        <v>3956557.8699999996</v>
      </c>
      <c r="Q49" s="663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52"/>
      <c r="N50" s="652"/>
      <c r="P50" s="44"/>
      <c r="Q50" s="664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65">
        <f>M49+N49</f>
        <v>3279274.87</v>
      </c>
      <c r="N53" s="66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59" t="s">
        <v>15</v>
      </c>
      <c r="I77" s="660"/>
      <c r="J77" s="154"/>
      <c r="K77" s="661">
        <f>I75+L75</f>
        <v>526980.64000000013</v>
      </c>
      <c r="L77" s="662"/>
      <c r="M77" s="155"/>
      <c r="N77" s="155"/>
      <c r="P77" s="44"/>
      <c r="Q77" s="19"/>
    </row>
    <row r="78" spans="1:17" x14ac:dyDescent="0.25">
      <c r="D78" s="653" t="s">
        <v>16</v>
      </c>
      <c r="E78" s="653"/>
      <c r="F78" s="156">
        <f>F75-K77-C75</f>
        <v>1939381.5999999999</v>
      </c>
      <c r="I78" s="157"/>
      <c r="J78" s="158"/>
    </row>
    <row r="79" spans="1:17" ht="18.75" x14ac:dyDescent="0.3">
      <c r="D79" s="654" t="s">
        <v>17</v>
      </c>
      <c r="E79" s="654"/>
      <c r="F79" s="101">
        <v>-1830849.67</v>
      </c>
      <c r="I79" s="655" t="s">
        <v>18</v>
      </c>
      <c r="J79" s="656"/>
      <c r="K79" s="657">
        <f>F81+F82+F83</f>
        <v>3946521.55</v>
      </c>
      <c r="L79" s="65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58">
        <f>-C4</f>
        <v>-3504178.07</v>
      </c>
      <c r="L81" s="65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46" t="s">
        <v>24</v>
      </c>
      <c r="E83" s="647"/>
      <c r="F83" s="173">
        <v>3720574.62</v>
      </c>
      <c r="I83" s="691" t="s">
        <v>25</v>
      </c>
      <c r="J83" s="692"/>
      <c r="K83" s="693">
        <f>K79+K81</f>
        <v>442343.48</v>
      </c>
      <c r="L83" s="6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76"/>
      <c r="J36" s="677"/>
      <c r="K36" s="677"/>
      <c r="L36" s="678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76"/>
      <c r="J37" s="677"/>
      <c r="K37" s="677"/>
      <c r="L37" s="678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9" t="s">
        <v>35</v>
      </c>
      <c r="J40" s="68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1"/>
      <c r="J41" s="68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3"/>
      <c r="J42" s="68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85" t="s">
        <v>35</v>
      </c>
      <c r="J67" s="686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48" zoomScale="115" zoomScaleNormal="115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69"/>
      <c r="C1" s="671" t="s">
        <v>238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8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R3" s="69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51">
        <f>SUM(M5:M40)</f>
        <v>1803019.98</v>
      </c>
      <c r="N49" s="651">
        <f>SUM(N5:N40)</f>
        <v>1138524</v>
      </c>
      <c r="P49" s="111">
        <f>SUM(P5:P40)</f>
        <v>3684795.48</v>
      </c>
      <c r="Q49" s="663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52"/>
      <c r="N50" s="652"/>
      <c r="P50" s="44"/>
      <c r="Q50" s="664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65">
        <f>M49+N49</f>
        <v>2941543.98</v>
      </c>
      <c r="N53" s="66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59" t="s">
        <v>15</v>
      </c>
      <c r="I77" s="660"/>
      <c r="J77" s="154"/>
      <c r="K77" s="661">
        <f>I75+L75</f>
        <v>646140.08000000031</v>
      </c>
      <c r="L77" s="662"/>
      <c r="M77" s="155"/>
      <c r="N77" s="155"/>
      <c r="P77" s="44"/>
      <c r="Q77" s="19"/>
    </row>
    <row r="78" spans="1:17" x14ac:dyDescent="0.25">
      <c r="D78" s="653" t="s">
        <v>16</v>
      </c>
      <c r="E78" s="653"/>
      <c r="F78" s="156">
        <f>F75-K77-C75</f>
        <v>1113109.92</v>
      </c>
      <c r="I78" s="157"/>
      <c r="J78" s="158"/>
    </row>
    <row r="79" spans="1:17" ht="18.75" x14ac:dyDescent="0.3">
      <c r="D79" s="654" t="s">
        <v>17</v>
      </c>
      <c r="E79" s="654"/>
      <c r="F79" s="101">
        <v>-1405309.97</v>
      </c>
      <c r="I79" s="655" t="s">
        <v>18</v>
      </c>
      <c r="J79" s="656"/>
      <c r="K79" s="657">
        <f>F81+F82+F83</f>
        <v>3400888.74</v>
      </c>
      <c r="L79" s="65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58">
        <f>-C4</f>
        <v>-3504178.07</v>
      </c>
      <c r="L81" s="657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46" t="s">
        <v>24</v>
      </c>
      <c r="E83" s="647"/>
      <c r="F83" s="173">
        <v>3567993.62</v>
      </c>
      <c r="I83" s="648" t="s">
        <v>220</v>
      </c>
      <c r="J83" s="649"/>
      <c r="K83" s="650">
        <f>K79+K81</f>
        <v>-103289.32999999961</v>
      </c>
      <c r="L83" s="65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76"/>
      <c r="J36" s="677"/>
      <c r="K36" s="677"/>
      <c r="L36" s="678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76"/>
      <c r="J37" s="677"/>
      <c r="K37" s="677"/>
      <c r="L37" s="678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9" t="s">
        <v>35</v>
      </c>
      <c r="J40" s="680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1"/>
      <c r="J41" s="682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3"/>
      <c r="J42" s="684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85" t="s">
        <v>35</v>
      </c>
      <c r="J67" s="686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C77" sqref="C7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69"/>
      <c r="C1" s="671" t="s">
        <v>368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8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R3" s="696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51">
        <f>SUM(M5:M40)</f>
        <v>2051765.3</v>
      </c>
      <c r="N49" s="651">
        <f>SUM(N5:N40)</f>
        <v>1741324</v>
      </c>
      <c r="P49" s="111">
        <f>SUM(P5:P40)</f>
        <v>4831473.13</v>
      </c>
      <c r="Q49" s="663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52"/>
      <c r="N50" s="652"/>
      <c r="P50" s="44"/>
      <c r="Q50" s="664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65">
        <f>M49+N49</f>
        <v>3793089.3</v>
      </c>
      <c r="N53" s="666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59" t="s">
        <v>15</v>
      </c>
      <c r="I79" s="660"/>
      <c r="J79" s="154"/>
      <c r="K79" s="661">
        <f>I77+L77</f>
        <v>739761.38</v>
      </c>
      <c r="L79" s="662"/>
      <c r="M79" s="155"/>
      <c r="N79" s="155"/>
      <c r="P79" s="44"/>
      <c r="Q79" s="19"/>
    </row>
    <row r="80" spans="1:17" x14ac:dyDescent="0.25">
      <c r="D80" s="653" t="s">
        <v>16</v>
      </c>
      <c r="E80" s="653"/>
      <c r="F80" s="156">
        <f>F77-K79-C77</f>
        <v>2011425.4899999998</v>
      </c>
      <c r="I80" s="157"/>
      <c r="J80" s="158"/>
    </row>
    <row r="81" spans="2:17" ht="18.75" x14ac:dyDescent="0.3">
      <c r="D81" s="654" t="s">
        <v>17</v>
      </c>
      <c r="E81" s="654"/>
      <c r="F81" s="101">
        <v>-2021696.34</v>
      </c>
      <c r="I81" s="655" t="s">
        <v>18</v>
      </c>
      <c r="J81" s="656"/>
      <c r="K81" s="657">
        <f>F83+F84+F85</f>
        <v>2945239.9399999995</v>
      </c>
      <c r="L81" s="657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58">
        <f>-C4</f>
        <v>-3567993.62</v>
      </c>
      <c r="L83" s="657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46" t="s">
        <v>24</v>
      </c>
      <c r="E85" s="647"/>
      <c r="F85" s="173">
        <v>3065283.79</v>
      </c>
      <c r="I85" s="648" t="s">
        <v>220</v>
      </c>
      <c r="J85" s="649"/>
      <c r="K85" s="650">
        <f>K81+K83</f>
        <v>-622753.68000000063</v>
      </c>
      <c r="L85" s="650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76"/>
      <c r="J36" s="677"/>
      <c r="K36" s="677"/>
      <c r="L36" s="678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76"/>
      <c r="J37" s="677"/>
      <c r="K37" s="677"/>
      <c r="L37" s="678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79" t="s">
        <v>35</v>
      </c>
      <c r="J40" s="680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81"/>
      <c r="J41" s="682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83"/>
      <c r="J42" s="684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85" t="s">
        <v>35</v>
      </c>
      <c r="J67" s="686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9" t="s">
        <v>36</v>
      </c>
      <c r="I68" s="694"/>
      <c r="J68" s="69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90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3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69"/>
      <c r="C1" s="671" t="s">
        <v>502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8" ht="16.5" thickBot="1" x14ac:dyDescent="0.3">
      <c r="B2" s="67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73" t="s">
        <v>0</v>
      </c>
      <c r="C3" s="674"/>
      <c r="D3" s="14"/>
      <c r="E3" s="15"/>
      <c r="F3" s="16"/>
      <c r="H3" s="675" t="s">
        <v>1</v>
      </c>
      <c r="I3" s="675"/>
      <c r="K3" s="18"/>
      <c r="L3" s="19"/>
      <c r="M3" s="20"/>
      <c r="P3" s="667" t="s">
        <v>2</v>
      </c>
      <c r="Q3" s="467" t="s">
        <v>509</v>
      </c>
      <c r="R3" s="696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42" t="s">
        <v>5</v>
      </c>
      <c r="F4" s="643"/>
      <c r="H4" s="644" t="s">
        <v>6</v>
      </c>
      <c r="I4" s="645"/>
      <c r="J4" s="25"/>
      <c r="K4" s="26"/>
      <c r="L4" s="27"/>
      <c r="M4" s="28" t="s">
        <v>7</v>
      </c>
      <c r="N4" s="29" t="s">
        <v>8</v>
      </c>
      <c r="P4" s="668"/>
      <c r="Q4" s="30" t="s">
        <v>9</v>
      </c>
      <c r="R4" s="697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51">
        <f>SUM(M5:M40)</f>
        <v>1683911.56</v>
      </c>
      <c r="N49" s="651">
        <f>SUM(N5:N40)</f>
        <v>1355406.15</v>
      </c>
      <c r="P49" s="111">
        <f>SUM(P5:P40)</f>
        <v>3685318.7</v>
      </c>
      <c r="Q49" s="663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52"/>
      <c r="N50" s="652"/>
      <c r="P50" s="44"/>
      <c r="Q50" s="664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65">
        <f>M49+N49</f>
        <v>3039317.71</v>
      </c>
      <c r="N53" s="66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59" t="s">
        <v>15</v>
      </c>
      <c r="I77" s="660"/>
      <c r="J77" s="154"/>
      <c r="K77" s="661">
        <f>I75+L75</f>
        <v>484126.00999999989</v>
      </c>
      <c r="L77" s="662"/>
      <c r="M77" s="155"/>
      <c r="N77" s="155"/>
      <c r="P77" s="44"/>
      <c r="Q77" s="19"/>
    </row>
    <row r="78" spans="1:17" x14ac:dyDescent="0.25">
      <c r="D78" s="653" t="s">
        <v>16</v>
      </c>
      <c r="E78" s="653"/>
      <c r="F78" s="156">
        <f>F75-K77-C75</f>
        <v>1743477.6000000003</v>
      </c>
      <c r="I78" s="157"/>
      <c r="J78" s="158"/>
    </row>
    <row r="79" spans="1:17" ht="18.75" x14ac:dyDescent="0.3">
      <c r="D79" s="654" t="s">
        <v>17</v>
      </c>
      <c r="E79" s="654"/>
      <c r="F79" s="101">
        <v>-1542483.8</v>
      </c>
      <c r="I79" s="655" t="s">
        <v>18</v>
      </c>
      <c r="J79" s="656"/>
      <c r="K79" s="657">
        <f>F81+F82+F83</f>
        <v>4235033.33</v>
      </c>
      <c r="L79" s="657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58">
        <f>-C4</f>
        <v>-3065283.79</v>
      </c>
      <c r="L81" s="657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46" t="s">
        <v>24</v>
      </c>
      <c r="E83" s="647"/>
      <c r="F83" s="173">
        <v>3897967.53</v>
      </c>
      <c r="I83" s="691" t="s">
        <v>25</v>
      </c>
      <c r="J83" s="692"/>
      <c r="K83" s="693">
        <f>K79+K81</f>
        <v>1169749.54</v>
      </c>
      <c r="L83" s="6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    O C T U B R E    2 0 2 3   </vt:lpstr>
      <vt:lpstr> COMPRAS OCTUBRE    2 0 2 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2023-12-12T22:08:07Z</dcterms:modified>
</cp:coreProperties>
</file>