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4  ABRIL 2023\"/>
    </mc:Choice>
  </mc:AlternateContent>
  <bookViews>
    <workbookView xWindow="0" yWindow="0" windowWidth="21135" windowHeight="11715" firstSheet="3" activeTab="3"/>
  </bookViews>
  <sheets>
    <sheet name="Hoja1" sheetId="1" r:id="rId1"/>
    <sheet name="  E N E R O    2 0 2 3     " sheetId="2" r:id="rId2"/>
    <sheet name="COMPRAS  ENERO  2023  " sheetId="3" r:id="rId3"/>
    <sheet name="  F E B R E R O      2 0 2 3   " sheetId="4" r:id="rId4"/>
    <sheet name="COMPRAS   FEBRERERO  2023    " sheetId="5" r:id="rId5"/>
    <sheet name="   M A R Z O     2 0 2 3    " sheetId="6" r:id="rId6"/>
    <sheet name=" COMPRAS  MARZO   2023     " sheetId="7" r:id="rId7"/>
    <sheet name="Hoja8" sheetId="8" r:id="rId8"/>
    <sheet name="Hoja9" sheetId="9" r:id="rId9"/>
    <sheet name="Hoja10" sheetId="10" r:id="rId10"/>
    <sheet name="Hoja11" sheetId="11" r:id="rId11"/>
    <sheet name="Hoja12" sheetId="12" r:id="rId1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0" i="6" l="1"/>
  <c r="M28" i="6"/>
  <c r="M26" i="6" l="1"/>
  <c r="M25" i="6"/>
  <c r="M24" i="6"/>
  <c r="M23" i="6" l="1"/>
  <c r="I22" i="6"/>
  <c r="N22" i="6"/>
  <c r="M21" i="6"/>
  <c r="M19" i="6" l="1"/>
  <c r="L34" i="6"/>
  <c r="L19" i="6"/>
  <c r="M18" i="6"/>
  <c r="M17" i="6" l="1"/>
  <c r="M16" i="6"/>
  <c r="M14" i="6" l="1"/>
  <c r="M13" i="6" l="1"/>
  <c r="M12" i="6"/>
  <c r="M35" i="4"/>
  <c r="M10" i="6" l="1"/>
  <c r="M9" i="6" l="1"/>
  <c r="M8" i="6"/>
  <c r="M7" i="6"/>
  <c r="M36" i="4" l="1"/>
  <c r="K67" i="5"/>
  <c r="N67" i="7" l="1"/>
  <c r="M67" i="7"/>
  <c r="K67" i="7"/>
  <c r="F67" i="7"/>
  <c r="D67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N4" i="7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G4" i="7"/>
  <c r="N3" i="7"/>
  <c r="G3" i="7"/>
  <c r="K81" i="6"/>
  <c r="I75" i="6"/>
  <c r="F75" i="6"/>
  <c r="R50" i="6"/>
  <c r="N49" i="6"/>
  <c r="Q47" i="6"/>
  <c r="Q46" i="6"/>
  <c r="Q45" i="6"/>
  <c r="C7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P30" i="6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P20" i="6"/>
  <c r="Q20" i="6" s="1"/>
  <c r="P19" i="6"/>
  <c r="Q19" i="6" s="1"/>
  <c r="P18" i="6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1" i="6"/>
  <c r="P10" i="6"/>
  <c r="Q10" i="6" s="1"/>
  <c r="P9" i="6"/>
  <c r="Q9" i="6" s="1"/>
  <c r="P8" i="6"/>
  <c r="P7" i="6"/>
  <c r="P6" i="6"/>
  <c r="Q6" i="6" s="1"/>
  <c r="P5" i="6"/>
  <c r="G67" i="7" l="1"/>
  <c r="P49" i="6"/>
  <c r="Q49" i="6"/>
  <c r="M49" i="6"/>
  <c r="M53" i="6" s="1"/>
  <c r="L75" i="6"/>
  <c r="K77" i="6" s="1"/>
  <c r="F78" i="6" s="1"/>
  <c r="F81" i="6" s="1"/>
  <c r="K79" i="6" s="1"/>
  <c r="K83" i="6" s="1"/>
  <c r="F24" i="3"/>
  <c r="F20" i="3"/>
  <c r="F15" i="3"/>
  <c r="F11" i="3"/>
  <c r="D87" i="3"/>
  <c r="M76" i="3" l="1"/>
  <c r="M34" i="4" l="1"/>
  <c r="P34" i="4" s="1"/>
  <c r="M14" i="4"/>
  <c r="P35" i="4"/>
  <c r="P36" i="4"/>
  <c r="P37" i="4"/>
  <c r="P38" i="4"/>
  <c r="P39" i="4"/>
  <c r="P40" i="4"/>
  <c r="P33" i="4"/>
  <c r="M33" i="4"/>
  <c r="M31" i="4"/>
  <c r="M28" i="4" l="1"/>
  <c r="M27" i="4"/>
  <c r="M23" i="4" l="1"/>
  <c r="C45" i="4" l="1"/>
  <c r="M22" i="4"/>
  <c r="M20" i="4" l="1"/>
  <c r="M19" i="4" l="1"/>
  <c r="M18" i="4" l="1"/>
  <c r="L17" i="4" l="1"/>
  <c r="M16" i="4"/>
  <c r="M15" i="4" l="1"/>
  <c r="M13" i="4" l="1"/>
  <c r="M12" i="4"/>
  <c r="M9" i="4"/>
  <c r="M10" i="4"/>
  <c r="M7" i="4" l="1"/>
  <c r="Q33" i="4" l="1"/>
  <c r="Q34" i="4"/>
  <c r="Q35" i="4"/>
  <c r="Q36" i="4"/>
  <c r="Q37" i="4"/>
  <c r="Q38" i="4"/>
  <c r="Q39" i="4"/>
  <c r="Q40" i="4"/>
  <c r="Q5" i="4"/>
  <c r="M5" i="4"/>
  <c r="N67" i="5" l="1"/>
  <c r="M67" i="5"/>
  <c r="F67" i="5"/>
  <c r="D67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N3" i="5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G3" i="5"/>
  <c r="G67" i="5" l="1"/>
  <c r="K81" i="4"/>
  <c r="I75" i="4"/>
  <c r="F75" i="4"/>
  <c r="C75" i="4"/>
  <c r="R50" i="4"/>
  <c r="N49" i="4"/>
  <c r="Q47" i="4"/>
  <c r="Q46" i="4"/>
  <c r="Q45" i="4"/>
  <c r="Q44" i="4"/>
  <c r="Q43" i="4"/>
  <c r="Q42" i="4"/>
  <c r="Q41" i="4"/>
  <c r="P32" i="4"/>
  <c r="Q32" i="4" s="1"/>
  <c r="P31" i="4"/>
  <c r="Q31" i="4" s="1"/>
  <c r="P30" i="4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P11" i="4"/>
  <c r="Q11" i="4" s="1"/>
  <c r="P10" i="4"/>
  <c r="Q10" i="4" s="1"/>
  <c r="M49" i="4"/>
  <c r="L75" i="4"/>
  <c r="P9" i="4"/>
  <c r="Q9" i="4" s="1"/>
  <c r="P8" i="4"/>
  <c r="P7" i="4"/>
  <c r="P6" i="4"/>
  <c r="Q6" i="4" s="1"/>
  <c r="P5" i="4"/>
  <c r="M53" i="4" l="1"/>
  <c r="K77" i="4"/>
  <c r="F78" i="4" s="1"/>
  <c r="F81" i="4" s="1"/>
  <c r="K79" i="4" s="1"/>
  <c r="K83" i="4" s="1"/>
  <c r="Q49" i="4"/>
  <c r="P49" i="4"/>
  <c r="M22" i="2"/>
  <c r="M21" i="2" l="1"/>
  <c r="M20" i="2" l="1"/>
  <c r="M19" i="2" l="1"/>
  <c r="M18" i="2"/>
  <c r="M16" i="2" l="1"/>
  <c r="M15" i="2" l="1"/>
  <c r="M14" i="2"/>
  <c r="M12" i="2" l="1"/>
  <c r="M10" i="2"/>
  <c r="L10" i="2"/>
  <c r="M7" i="2" l="1"/>
  <c r="M5" i="2" l="1"/>
  <c r="N67" i="3" l="1"/>
  <c r="M67" i="3"/>
  <c r="K67" i="3"/>
  <c r="F67" i="3"/>
  <c r="D67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N3" i="3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G3" i="3"/>
  <c r="G67" i="3" l="1"/>
  <c r="Q33" i="2"/>
  <c r="Q37" i="2"/>
  <c r="Q41" i="2"/>
  <c r="Q45" i="2"/>
  <c r="Q46" i="2"/>
  <c r="Q47" i="2"/>
  <c r="K81" i="2"/>
  <c r="L75" i="2"/>
  <c r="I75" i="2"/>
  <c r="C75" i="2"/>
  <c r="R50" i="2"/>
  <c r="N49" i="2"/>
  <c r="Q44" i="2"/>
  <c r="Q43" i="2"/>
  <c r="Q42" i="2"/>
  <c r="Q40" i="2"/>
  <c r="Q39" i="2"/>
  <c r="Q38" i="2"/>
  <c r="Q36" i="2"/>
  <c r="Q35" i="2"/>
  <c r="Q34" i="2"/>
  <c r="Q32" i="2"/>
  <c r="Q31" i="2"/>
  <c r="Q30" i="2"/>
  <c r="Q29" i="2"/>
  <c r="Q28" i="2"/>
  <c r="P27" i="2"/>
  <c r="Q27" i="2" s="1"/>
  <c r="P26" i="2"/>
  <c r="Q26" i="2" s="1"/>
  <c r="P25" i="2"/>
  <c r="Q25" i="2" s="1"/>
  <c r="P24" i="2"/>
  <c r="Q24" i="2" s="1"/>
  <c r="P23" i="2"/>
  <c r="Q23" i="2" s="1"/>
  <c r="P22" i="2"/>
  <c r="P21" i="2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F75" i="2"/>
  <c r="P8" i="2"/>
  <c r="Q8" i="2" s="1"/>
  <c r="P7" i="2"/>
  <c r="M49" i="2"/>
  <c r="P5" i="2"/>
  <c r="K77" i="2" l="1"/>
  <c r="F78" i="2" s="1"/>
  <c r="F81" i="2" s="1"/>
  <c r="K79" i="2" s="1"/>
  <c r="K83" i="2" s="1"/>
  <c r="M53" i="2"/>
  <c r="P6" i="2"/>
  <c r="P49" i="2" l="1"/>
  <c r="Q6" i="2"/>
  <c r="Q49" i="2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<sst xmlns="http://schemas.openxmlformats.org/spreadsheetml/2006/main" count="507" uniqueCount="354">
  <si>
    <t>COMPRAS</t>
  </si>
  <si>
    <t>ROSA BERMUDEZ</t>
  </si>
  <si>
    <t xml:space="preserve">CUADRE CON VENTA </t>
  </si>
  <si>
    <t>COBRO CREDITOS MES ANTERIOR</t>
  </si>
  <si>
    <t>INVENTARIO INICIAL</t>
  </si>
  <si>
    <t xml:space="preserve">VENTAS  </t>
  </si>
  <si>
    <t>GASTOS</t>
  </si>
  <si>
    <t>DEPOSITOS</t>
  </si>
  <si>
    <t>TARJETA</t>
  </si>
  <si>
    <t>EFECITVO X DEPOSITAR</t>
  </si>
  <si>
    <t xml:space="preserve"> </t>
  </si>
  <si>
    <t xml:space="preserve">  </t>
  </si>
  <si>
    <t>TOTAL</t>
  </si>
  <si>
    <t>TOTAL 1</t>
  </si>
  <si>
    <t>TOTAL  2</t>
  </si>
  <si>
    <t>GRAN TOTAL GASTOS</t>
  </si>
  <si>
    <t>VENTAS NETAS</t>
  </si>
  <si>
    <t xml:space="preserve">PROVEEDOR ODELPA </t>
  </si>
  <si>
    <t>SUB TOTAL</t>
  </si>
  <si>
    <t xml:space="preserve">    PROVEEDOR  CENTRAL </t>
  </si>
  <si>
    <t>Sub Total 1</t>
  </si>
  <si>
    <t>INVENTARIO  INICIAL</t>
  </si>
  <si>
    <t>MAS</t>
  </si>
  <si>
    <t>CREDITOS</t>
  </si>
  <si>
    <t>INVENTARIO FINAL</t>
  </si>
  <si>
    <t xml:space="preserve">GANANCIA </t>
  </si>
  <si>
    <t>BALANCE      ABASTO 4 CARNES    Z A V A L E T A    ENERO          2 0 2 3</t>
  </si>
  <si>
    <t>DEBE  ZAVALETA</t>
  </si>
  <si>
    <t>FECHA</t>
  </si>
  <si>
    <t>#</t>
  </si>
  <si>
    <t>IMPORTE</t>
  </si>
  <si>
    <t xml:space="preserve">Fecha </t>
  </si>
  <si>
    <t>PAGOS</t>
  </si>
  <si>
    <t xml:space="preserve">S A L D O </t>
  </si>
  <si>
    <t># REMISION</t>
  </si>
  <si>
    <t xml:space="preserve">CENTRAL </t>
  </si>
  <si>
    <t xml:space="preserve">SALDO X PAGAR </t>
  </si>
  <si>
    <t>REMISIONES             O B R A DO R       2 0 2 3</t>
  </si>
  <si>
    <t>REMISIONES            CENTRAL          2 0 2 3</t>
  </si>
  <si>
    <t>22015 D</t>
  </si>
  <si>
    <t>21854 D</t>
  </si>
  <si>
    <t>22106 D</t>
  </si>
  <si>
    <t>22183 D</t>
  </si>
  <si>
    <t>22278 D</t>
  </si>
  <si>
    <t>22279 D</t>
  </si>
  <si>
    <t>22471 D</t>
  </si>
  <si>
    <t>22531 D</t>
  </si>
  <si>
    <t>22568 D</t>
  </si>
  <si>
    <t>22718 D</t>
  </si>
  <si>
    <t>22760 D</t>
  </si>
  <si>
    <t>22777 D</t>
  </si>
  <si>
    <t>22883 D</t>
  </si>
  <si>
    <t>22984 D</t>
  </si>
  <si>
    <t>23001 D</t>
  </si>
  <si>
    <t>23086 D</t>
  </si>
  <si>
    <t>23156 D</t>
  </si>
  <si>
    <t>23265 D</t>
  </si>
  <si>
    <t>23424 D</t>
  </si>
  <si>
    <t>23451 D</t>
  </si>
  <si>
    <t>23467 D</t>
  </si>
  <si>
    <t>23564 D</t>
  </si>
  <si>
    <t>23696 D</t>
  </si>
  <si>
    <t>23739 D</t>
  </si>
  <si>
    <t>23888 D</t>
  </si>
  <si>
    <t>23972 D</t>
  </si>
  <si>
    <t>24147 D</t>
  </si>
  <si>
    <t>24166 D</t>
  </si>
  <si>
    <t>24216 D</t>
  </si>
  <si>
    <t>24275 D</t>
  </si>
  <si>
    <t>24331 D</t>
  </si>
  <si>
    <t>24426 D</t>
  </si>
  <si>
    <t>24592 D</t>
  </si>
  <si>
    <t>24635 D</t>
  </si>
  <si>
    <t>24827 D</t>
  </si>
  <si>
    <t>QUESOS-POLLO-</t>
  </si>
  <si>
    <t>QUESOS-POLLO--CHORIZO-SALCHICHA</t>
  </si>
  <si>
    <t>SALCHICHONERIA-MAIZ-LOMOS-JAMON-POLLO-QUESOS</t>
  </si>
  <si>
    <t>PASTOR-ARABE-QUESOS-POLLO</t>
  </si>
  <si>
    <t>QUESO-SALCHICHA</t>
  </si>
  <si>
    <t>QUESOS-JAMON-POLLO-PAPA-PASTOR-LONGANIZA</t>
  </si>
  <si>
    <t>NOMINA # 03 Y Vac</t>
  </si>
  <si>
    <t>nomina # 3 y vac</t>
  </si>
  <si>
    <t>SALAMI--PEPERONI-LONGANIZA-CHORIZO</t>
  </si>
  <si>
    <t>QUESOS-JAMON-PATE-CHISTORRA-POSTRES-POLLO-PASTOR</t>
  </si>
  <si>
    <t>CHORIZO-QUESOS-POLLO-SALMON</t>
  </si>
  <si>
    <t>TURNOS</t>
  </si>
  <si>
    <t>POLLO-QUESOS-LONGANIZA</t>
  </si>
  <si>
    <t>QUESOS-ARABE-PASTOR-POLLO</t>
  </si>
  <si>
    <t>QUESOS-POLLO</t>
  </si>
  <si>
    <t>SALSAS-PAPAS-JAMON-RIB-EYE-POLLO-QUESOS</t>
  </si>
  <si>
    <t>NOMINA # 04</t>
  </si>
  <si>
    <t>QUESOS</t>
  </si>
  <si>
    <t>PASTOR-QUESOS-MIXIOTES-LONGANIZA-POLLO</t>
  </si>
  <si>
    <t>BONOS ANUALES 2022</t>
  </si>
  <si>
    <t>ENCHILADA-LONGANIZA-QUESOS-POLLO-JAMON-CHISTORRA-CHORIZO</t>
  </si>
  <si>
    <t>POLLO-RAJAS-SALCHICHA</t>
  </si>
  <si>
    <t>PASTOR-MAIZ-QUESOS-LONGANIZA</t>
  </si>
  <si>
    <t>DOCUMENTO</t>
  </si>
  <si>
    <t>POLLO-TOSTADAS</t>
  </si>
  <si>
    <t>LONGANIZA-POLLO-QUESOS-CREMA</t>
  </si>
  <si>
    <t>NOMINA # 05</t>
  </si>
  <si>
    <t>PASTOR-QUESOS-CHISTORRA</t>
  </si>
  <si>
    <t>9-ene-2023</t>
  </si>
  <si>
    <t>11-ene-2023</t>
  </si>
  <si>
    <t>12-ene-2023</t>
  </si>
  <si>
    <t>13-ene-2023</t>
  </si>
  <si>
    <t>16-ene-2023</t>
  </si>
  <si>
    <t>17-ene-2023</t>
  </si>
  <si>
    <t>18-ene-2023</t>
  </si>
  <si>
    <t>19-ene-2023</t>
  </si>
  <si>
    <t>20-ene-2023</t>
  </si>
  <si>
    <t>21-ene-2023</t>
  </si>
  <si>
    <t>23-ene-2023</t>
  </si>
  <si>
    <t>24-ene-2023</t>
  </si>
  <si>
    <t>25-ene-2023</t>
  </si>
  <si>
    <t>26-ene-2023</t>
  </si>
  <si>
    <t>27-ene-2023</t>
  </si>
  <si>
    <t>28-ene-2023</t>
  </si>
  <si>
    <t>30-ene-2023</t>
  </si>
  <si>
    <t>31-ene-2023</t>
  </si>
  <si>
    <t>BALANCE      ABASTO 4 CARNES    Z A V A L E T A     FEBRERO           2 0 2 3</t>
  </si>
  <si>
    <t>JAMON-POLLO-SALCHICHONERIA -QUESOS- CHORIZO</t>
  </si>
  <si>
    <t>POLLO-QUESOS-</t>
  </si>
  <si>
    <t>QUESOS-POLLO-LONGANIZA</t>
  </si>
  <si>
    <t>MAIZ-POLLO-JAMON-QUESOS-CREMA-LONGANIZA</t>
  </si>
  <si>
    <t>POLLO-QUESO- POSTRES</t>
  </si>
  <si>
    <t>PASTOR-JAMON-POLLO-QUESOS-LENGUA</t>
  </si>
  <si>
    <t>NOMIINA # 5</t>
  </si>
  <si>
    <t>NOMINA # 5</t>
  </si>
  <si>
    <t>TOCINETA-CHISTORRA-CHORIZO-LONGANIZA</t>
  </si>
  <si>
    <t>POLLO-QUESOS-PICAÑA-SALCHICHAS</t>
  </si>
  <si>
    <t>QUESOS-POLLO-CHISTORRA-QEUSOS-SALCHICHA</t>
  </si>
  <si>
    <t>POLLO-QUESOS-CHORIZO-ROASBEEF-</t>
  </si>
  <si>
    <t>POLLO-TOSTADAS-ARABE-PASTOR</t>
  </si>
  <si>
    <t>POLLO-QUESOS-CHORIZO</t>
  </si>
  <si>
    <t>POLLO-QUESOS-LONGANIZA-CHORIZO-PAPAS</t>
  </si>
  <si>
    <t>Nomina # 6</t>
  </si>
  <si>
    <t>NOMINA # 6</t>
  </si>
  <si>
    <t>QUESOS-SALAMI-CHISTORRA-PEPERONI</t>
  </si>
  <si>
    <t>PASTOR-QUESOS-POLLO-CHORIZO-JAMON-MOLE-CHISTORRA-LOMO</t>
  </si>
  <si>
    <t>QUESOS-POLLO-LONGANIZA-SALCHICHAS-LOMO-ENCHILADA</t>
  </si>
  <si>
    <t>QUESOS-PICAÑA-POLLO-ENCHILADA-LONGANIZA-SALCHICHA</t>
  </si>
  <si>
    <t>C/16 Feb</t>
  </si>
  <si>
    <t>POSTRES-POLLO-QUESOS-MIXIOTES-PAPAS-</t>
  </si>
  <si>
    <t xml:space="preserve">C /15-Feb </t>
  </si>
  <si>
    <t>ALBICIA</t>
  </si>
  <si>
    <t>LENGUA-POLLO-QUESOS-TOSTADAS</t>
  </si>
  <si>
    <t>PASTOR-POLLO-QUESOS-ARABE</t>
  </si>
  <si>
    <t>NOMINA # 7</t>
  </si>
  <si>
    <t xml:space="preserve">   </t>
  </si>
  <si>
    <t>SALCHICHAS-JAMON-CHORIZO-POLLO-QUESOS-</t>
  </si>
  <si>
    <t>QUESOS-POLLO-LONGANIZA-JAMON-SALCHICHA</t>
  </si>
  <si>
    <t>SALCHICHA-QUESOS-POLLO-CREMA</t>
  </si>
  <si>
    <t>PASTOR-PAN ARABE-POLLO-ENCHILADA-CHORIZO</t>
  </si>
  <si>
    <t>SALSAS-QUESOS-POLLO</t>
  </si>
  <si>
    <t>LOMO-POLLO-PAPA</t>
  </si>
  <si>
    <t>NOMINA # 8</t>
  </si>
  <si>
    <t>NOMINA #8</t>
  </si>
  <si>
    <t>PASTOR-QUESOS--</t>
  </si>
  <si>
    <t>MAIZ-SALCHICHA-JAMONES-CHORIZO-POLLO-LONGANIZA-ROASBEEF</t>
  </si>
  <si>
    <t>PROTECCION CIVIL Verduras</t>
  </si>
  <si>
    <t>QUESO-POLLO-ARABE-PASTOR-</t>
  </si>
  <si>
    <t>POLLO-QUESOS-CHORIZO-ENCHILADA</t>
  </si>
  <si>
    <t>POLLO-QUESOS-TOSTADAS-LONGANIZA-ENCHILADA</t>
  </si>
  <si>
    <t>LOMO-POLLO-QUESOS-JAMON-</t>
  </si>
  <si>
    <t>24899 D</t>
  </si>
  <si>
    <t>00050 D</t>
  </si>
  <si>
    <t>00109 E</t>
  </si>
  <si>
    <t>00217 E</t>
  </si>
  <si>
    <t>00364 E</t>
  </si>
  <si>
    <t>00397 E</t>
  </si>
  <si>
    <t>00513 E</t>
  </si>
  <si>
    <t>00585 E</t>
  </si>
  <si>
    <t>00629 E</t>
  </si>
  <si>
    <t>00745 E</t>
  </si>
  <si>
    <t>00845 E</t>
  </si>
  <si>
    <t>00955 E</t>
  </si>
  <si>
    <t>01092 E</t>
  </si>
  <si>
    <t>01148 E</t>
  </si>
  <si>
    <t>01325 E</t>
  </si>
  <si>
    <t>01355 E</t>
  </si>
  <si>
    <t>01496 E</t>
  </si>
  <si>
    <t>01529 E</t>
  </si>
  <si>
    <t>01584 E</t>
  </si>
  <si>
    <t>01748 E</t>
  </si>
  <si>
    <t>01749 E</t>
  </si>
  <si>
    <t>01896 E</t>
  </si>
  <si>
    <t>01897 E</t>
  </si>
  <si>
    <t>01956 E</t>
  </si>
  <si>
    <t>02076 E</t>
  </si>
  <si>
    <t>02094 E</t>
  </si>
  <si>
    <t>02156 E</t>
  </si>
  <si>
    <t>02262 E</t>
  </si>
  <si>
    <t>02331 E</t>
  </si>
  <si>
    <t>02426 E</t>
  </si>
  <si>
    <t>02631 E</t>
  </si>
  <si>
    <t>02732 E</t>
  </si>
  <si>
    <t>02867 E</t>
  </si>
  <si>
    <t>02872 E</t>
  </si>
  <si>
    <t>02897 E</t>
  </si>
  <si>
    <t>03012 E</t>
  </si>
  <si>
    <t>3-ene-2023</t>
  </si>
  <si>
    <t>4-ene-2023</t>
  </si>
  <si>
    <t>5-ene-2023</t>
  </si>
  <si>
    <t>6-ene-2023</t>
  </si>
  <si>
    <t>7-ene-2023</t>
  </si>
  <si>
    <t xml:space="preserve">EL 26 DE ENERO 2023  SE APLICO CON VALE POR </t>
  </si>
  <si>
    <t>DEUDA ZAVALETA A CENTRAL</t>
  </si>
  <si>
    <t xml:space="preserve">DEUDA DE CENTRAL A ZAVALETA </t>
  </si>
  <si>
    <t>CENTRAL PAGO A ZAVALETA EN EFECTIVO</t>
  </si>
  <si>
    <t>14-Feb-23--21-Feb-23</t>
  </si>
  <si>
    <t>21-Feb-23--27-Feb-23</t>
  </si>
  <si>
    <t>27-Feb-23--28-Feb-23</t>
  </si>
  <si>
    <t>28-Feb-23--03-Mar-23</t>
  </si>
  <si>
    <t>GUARDIA</t>
  </si>
  <si>
    <t>CAMARAS</t>
  </si>
  <si>
    <t>DESECHABLES</t>
  </si>
  <si>
    <t>RES ANTICIPO</t>
  </si>
  <si>
    <t>pulpa res-hueso blanco</t>
  </si>
  <si>
    <t>RES EL CIEN</t>
  </si>
  <si>
    <t>PERDIDA</t>
  </si>
  <si>
    <t>FLETE</t>
  </si>
  <si>
    <t>PINES</t>
  </si>
  <si>
    <t>RECOLECCION BASURA</t>
  </si>
  <si>
    <t>FUMIGACION</t>
  </si>
  <si>
    <t>TELMEX</t>
  </si>
  <si>
    <t>SALSAS</t>
  </si>
  <si>
    <t>VIDRIOS</t>
  </si>
  <si>
    <t>ADT</t>
  </si>
  <si>
    <t>CAMIONETA AUDI</t>
  </si>
  <si>
    <t>seguro audi</t>
  </si>
  <si>
    <t xml:space="preserve">FUMIGACION </t>
  </si>
  <si>
    <t>RES</t>
  </si>
  <si>
    <t>CARBON</t>
  </si>
  <si>
    <t>CANALES RES</t>
  </si>
  <si>
    <t>ROLLO TERMICO</t>
  </si>
  <si>
    <t>ANTICIPO RES</t>
  </si>
  <si>
    <t>SEGURO RES</t>
  </si>
  <si>
    <t>BALANCE      ABASTO 4 CARNES    Z A V A L E T A     MARZO           2 0 2 3</t>
  </si>
  <si>
    <t>Comision banco</t>
  </si>
  <si>
    <t>3140 E</t>
  </si>
  <si>
    <t>3087 E</t>
  </si>
  <si>
    <t>3171 E</t>
  </si>
  <si>
    <t>3268 E</t>
  </si>
  <si>
    <t>3372 E</t>
  </si>
  <si>
    <t>3468 E</t>
  </si>
  <si>
    <t>3579 E</t>
  </si>
  <si>
    <t>3654 E</t>
  </si>
  <si>
    <t>3774 E</t>
  </si>
  <si>
    <t>3889 E</t>
  </si>
  <si>
    <t>3988 E</t>
  </si>
  <si>
    <t>4204--4207 E</t>
  </si>
  <si>
    <t>4286 E</t>
  </si>
  <si>
    <t>4364 E</t>
  </si>
  <si>
    <t>4582 E</t>
  </si>
  <si>
    <t>4638 E</t>
  </si>
  <si>
    <t>4799 E</t>
  </si>
  <si>
    <t>4822 E</t>
  </si>
  <si>
    <t>4837 E</t>
  </si>
  <si>
    <t>4961 E</t>
  </si>
  <si>
    <t>4102 E   4103</t>
  </si>
  <si>
    <t>5157 E</t>
  </si>
  <si>
    <t>5297 E</t>
  </si>
  <si>
    <t>5302 E</t>
  </si>
  <si>
    <t>5326 E</t>
  </si>
  <si>
    <t>5395 E</t>
  </si>
  <si>
    <t>5412 E</t>
  </si>
  <si>
    <t>1-feb-2023</t>
  </si>
  <si>
    <t>2-feb-2023</t>
  </si>
  <si>
    <t>3-feb-2023</t>
  </si>
  <si>
    <t>4-feb-2023</t>
  </si>
  <si>
    <t>6-feb-2023</t>
  </si>
  <si>
    <t>7-feb-2023</t>
  </si>
  <si>
    <t>8-feb-2023</t>
  </si>
  <si>
    <t>10-feb-2023</t>
  </si>
  <si>
    <t>11-feb-2023</t>
  </si>
  <si>
    <t>13-feb-2023</t>
  </si>
  <si>
    <t>14-feb-2023</t>
  </si>
  <si>
    <t>15-feb-2023</t>
  </si>
  <si>
    <t>17-feb-2023</t>
  </si>
  <si>
    <t>18-feb-2023</t>
  </si>
  <si>
    <t>20-feb-2023</t>
  </si>
  <si>
    <t>21-feb-2023</t>
  </si>
  <si>
    <t>24-feb-2023</t>
  </si>
  <si>
    <t>25-feb-2023</t>
  </si>
  <si>
    <t>27-feb-2023</t>
  </si>
  <si>
    <t>28-feb-2023</t>
  </si>
  <si>
    <t>quesos-pastor-pollo</t>
  </si>
  <si>
    <t>Nomina #9 Y Vac Claudia Mtz</t>
  </si>
  <si>
    <t>quesos-tocineta-chistorra</t>
  </si>
  <si>
    <t>quesos-longaniza-chorizo-salmon-pollo</t>
  </si>
  <si>
    <t>salchicha-pollo-quesos-jamon</t>
  </si>
  <si>
    <t>queso-pollo</t>
  </si>
  <si>
    <t>etiquetas verduras</t>
  </si>
  <si>
    <t>longaniza-pollo-queso</t>
  </si>
  <si>
    <t>pollo-quesos</t>
  </si>
  <si>
    <t>queso-pollo-longaniza</t>
  </si>
  <si>
    <t>nomina # 10</t>
  </si>
  <si>
    <t>NOMINA #  9</t>
  </si>
  <si>
    <t>NOMINA # 10</t>
  </si>
  <si>
    <t>PASTOR</t>
  </si>
  <si>
    <t>pollo-quesos-roas-beef-chorizo-salchicha</t>
  </si>
  <si>
    <t>pastor-tostadas-pollo-quesos-mixiotes-salchicas</t>
  </si>
  <si>
    <t>ALBICIA NOTA 3083</t>
  </si>
  <si>
    <t>ALBICIA Nota 3686</t>
  </si>
  <si>
    <t>ALBICIA Nota 3751</t>
  </si>
  <si>
    <t>ALBICIA Nota 0025</t>
  </si>
  <si>
    <t>ALBICIA Nota 422</t>
  </si>
  <si>
    <t>ALBICIA Nota 1686</t>
  </si>
  <si>
    <t>ALBICIA Nota 2012</t>
  </si>
  <si>
    <t>ALBICIA Noa 2274</t>
  </si>
  <si>
    <t>ALBICIA Nota 3002</t>
  </si>
  <si>
    <t>salchicha-mole-pollo-quesos-chorizo</t>
  </si>
  <si>
    <t xml:space="preserve">TURNOS </t>
  </si>
  <si>
    <t>CREMA-OIKKI-QUESO-YOGURT</t>
  </si>
  <si>
    <t>POLLO-QUESOS-ENCHILADA-LONGANIZA</t>
  </si>
  <si>
    <t>NOMINA # 11 Y Vac. Jose Manuel</t>
  </si>
  <si>
    <t>PASTOR-QUESOS-PEPERONI-SALAMI-CHISTORRA</t>
  </si>
  <si>
    <t>CHORIZO-POLLO-PICAÑA-SALMON</t>
  </si>
  <si>
    <t xml:space="preserve">DOCUMENTO NOTAS </t>
  </si>
  <si>
    <t>LOMO-JAMON-QUESOS-POLLO</t>
  </si>
  <si>
    <t>Transformador</t>
  </si>
  <si>
    <t>POLLO-QUESOS-LONGANIZA-PAN ARABE</t>
  </si>
  <si>
    <t>PASTOR-MAIZ-MOLE-JAMON-POLLO-QUESOS-RYBEYE</t>
  </si>
  <si>
    <t xml:space="preserve">POLLO-QUESOS-LONGANIZA  </t>
  </si>
  <si>
    <t>CREMA-POLLO-LONGANIZA-ENCHILADA</t>
  </si>
  <si>
    <t>NOMINA # 12</t>
  </si>
  <si>
    <t>PASTOR-SALSAS-POLLO-QUESOS-ROASBEFF-SALCHICHONERIA</t>
  </si>
  <si>
    <t>QUESOS-POLLO-TOSTADAS-PATE-SALCHICHONERIA-PASTOR-ARABE</t>
  </si>
  <si>
    <t>quesos-pollo-longaniza-</t>
  </si>
  <si>
    <t>REC BASURA</t>
  </si>
  <si>
    <t xml:space="preserve">FLETE </t>
  </si>
  <si>
    <t>Fumigacion</t>
  </si>
  <si>
    <t>Carbon</t>
  </si>
  <si>
    <t>Camaras Hansel</t>
  </si>
  <si>
    <t xml:space="preserve">Seguro carga </t>
  </si>
  <si>
    <t xml:space="preserve">SEGURO Tornado </t>
  </si>
  <si>
    <t>Almohadillas</t>
  </si>
  <si>
    <t xml:space="preserve">Salchicha pavo </t>
  </si>
  <si>
    <t>Pata res Gpe Ledo</t>
  </si>
  <si>
    <t>Chu Ahum Gpe Ledo</t>
  </si>
  <si>
    <t>Embutidos</t>
  </si>
  <si>
    <t xml:space="preserve">Chorizo </t>
  </si>
  <si>
    <t>Roasbeef-Chorizo</t>
  </si>
  <si>
    <t>Desechables</t>
  </si>
  <si>
    <t>Manto Camaras</t>
  </si>
  <si>
    <t>cuatrimestre</t>
  </si>
  <si>
    <t>Salmon-premium</t>
  </si>
  <si>
    <t>Carnes premium</t>
  </si>
  <si>
    <t>quesos ARCE</t>
  </si>
  <si>
    <t>FINANZAS</t>
  </si>
  <si>
    <t>EXTINTORES</t>
  </si>
  <si>
    <t>SEGURO AXA</t>
  </si>
  <si>
    <t>Peinecillo  s/h 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</si>
</sst>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8"/>
      <color rgb="FF990099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99CC"/>
        <bgColor theme="4" tint="0.79998168889431442"/>
      </patternFill>
    </fill>
    <fill>
      <patternFill patternType="solid">
        <fgColor rgb="FFCCFF99"/>
        <bgColor indexed="64"/>
      </patternFill>
    </fill>
    <fill>
      <patternFill patternType="solid">
        <fgColor rgb="FF00FFFF"/>
        <bgColor indexed="64"/>
      </patternFill>
    </fill>
  </fills>
  <borders count="8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6">
    <xf numFmtId="0" fontId="0" fillId="0" borderId="0" xfId="0"/>
    <xf numFmtId="44" fontId="2" fillId="0" borderId="0" xfId="1" applyFont="1"/>
    <xf numFmtId="0" fontId="4" fillId="0" borderId="0" xfId="0" applyFont="1" applyFill="1" applyAlignment="1">
      <alignment horizontal="center"/>
    </xf>
    <xf numFmtId="0" fontId="5" fillId="0" borderId="0" xfId="0" applyFont="1" applyFill="1"/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0" fontId="0" fillId="0" borderId="0" xfId="0" applyFont="1" applyAlignment="1">
      <alignment horizontal="center"/>
    </xf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 applyAlignment="1">
      <alignment horizontal="center"/>
    </xf>
    <xf numFmtId="44" fontId="3" fillId="0" borderId="0" xfId="1" applyFont="1" applyFill="1"/>
    <xf numFmtId="0" fontId="3" fillId="0" borderId="0" xfId="0" applyFont="1" applyFill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 applyAlignment="1">
      <alignment horizontal="center"/>
    </xf>
    <xf numFmtId="44" fontId="15" fillId="0" borderId="9" xfId="1" applyFont="1" applyBorder="1"/>
    <xf numFmtId="44" fontId="17" fillId="5" borderId="0" xfId="1" applyFont="1" applyFill="1" applyAlignment="1">
      <alignment horizontal="center"/>
    </xf>
    <xf numFmtId="44" fontId="17" fillId="5" borderId="15" xfId="1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 wrapText="1"/>
    </xf>
    <xf numFmtId="16" fontId="0" fillId="0" borderId="0" xfId="0" applyNumberFormat="1"/>
    <xf numFmtId="164" fontId="2" fillId="0" borderId="18" xfId="0" applyNumberFormat="1" applyFont="1" applyFill="1" applyBorder="1" applyAlignment="1">
      <alignment horizontal="center"/>
    </xf>
    <xf numFmtId="44" fontId="2" fillId="0" borderId="19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20" xfId="0" applyNumberFormat="1" applyFont="1" applyFill="1" applyBorder="1"/>
    <xf numFmtId="44" fontId="2" fillId="0" borderId="21" xfId="1" applyFont="1" applyFill="1" applyBorder="1"/>
    <xf numFmtId="0" fontId="0" fillId="0" borderId="0" xfId="0" applyFont="1" applyFill="1"/>
    <xf numFmtId="15" fontId="2" fillId="0" borderId="22" xfId="0" applyNumberFormat="1" applyFont="1" applyFill="1" applyBorder="1"/>
    <xf numFmtId="44" fontId="2" fillId="0" borderId="23" xfId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4" fontId="19" fillId="0" borderId="24" xfId="1" applyFont="1" applyFill="1" applyBorder="1"/>
    <xf numFmtId="44" fontId="2" fillId="0" borderId="25" xfId="1" applyFont="1" applyFill="1" applyBorder="1"/>
    <xf numFmtId="44" fontId="2" fillId="0" borderId="0" xfId="1" applyFont="1" applyFill="1" applyBorder="1"/>
    <xf numFmtId="44" fontId="3" fillId="0" borderId="26" xfId="1" applyFont="1" applyFill="1" applyBorder="1"/>
    <xf numFmtId="44" fontId="2" fillId="0" borderId="27" xfId="1" applyFont="1" applyFill="1" applyBorder="1" applyAlignment="1">
      <alignment horizontal="center"/>
    </xf>
    <xf numFmtId="166" fontId="20" fillId="0" borderId="10" xfId="0" applyNumberFormat="1" applyFont="1" applyFill="1" applyBorder="1"/>
    <xf numFmtId="0" fontId="2" fillId="0" borderId="28" xfId="0" applyFont="1" applyFill="1" applyBorder="1" applyAlignment="1">
      <alignment horizontal="center"/>
    </xf>
    <xf numFmtId="44" fontId="2" fillId="0" borderId="26" xfId="1" applyFont="1" applyFill="1" applyBorder="1"/>
    <xf numFmtId="166" fontId="21" fillId="0" borderId="10" xfId="0" applyNumberFormat="1" applyFont="1" applyFill="1" applyBorder="1"/>
    <xf numFmtId="166" fontId="18" fillId="0" borderId="10" xfId="0" applyNumberFormat="1" applyFont="1" applyFill="1" applyBorder="1"/>
    <xf numFmtId="165" fontId="22" fillId="0" borderId="0" xfId="1" applyNumberFormat="1" applyFont="1" applyFill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165" fontId="22" fillId="0" borderId="29" xfId="0" applyNumberFormat="1" applyFont="1" applyFill="1" applyBorder="1" applyAlignment="1">
      <alignment horizontal="center"/>
    </xf>
    <xf numFmtId="44" fontId="2" fillId="0" borderId="26" xfId="1" applyFont="1" applyFill="1" applyBorder="1" applyAlignment="1">
      <alignment horizontal="right"/>
    </xf>
    <xf numFmtId="16" fontId="22" fillId="0" borderId="28" xfId="0" applyNumberFormat="1" applyFont="1" applyFill="1" applyBorder="1" applyAlignment="1">
      <alignment horizontal="center"/>
    </xf>
    <xf numFmtId="0" fontId="23" fillId="0" borderId="28" xfId="0" applyFont="1" applyFill="1" applyBorder="1" applyAlignment="1">
      <alignment horizontal="center" wrapText="1"/>
    </xf>
    <xf numFmtId="16" fontId="2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/>
    <xf numFmtId="165" fontId="2" fillId="0" borderId="29" xfId="0" applyNumberFormat="1" applyFont="1" applyFill="1" applyBorder="1" applyAlignment="1">
      <alignment horizontal="center"/>
    </xf>
    <xf numFmtId="16" fontId="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0" fontId="25" fillId="0" borderId="0" xfId="0" applyFont="1"/>
    <xf numFmtId="165" fontId="2" fillId="0" borderId="32" xfId="1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3" xfId="1" applyFont="1" applyFill="1" applyBorder="1" applyAlignment="1">
      <alignment horizontal="right"/>
    </xf>
    <xf numFmtId="44" fontId="2" fillId="0" borderId="28" xfId="1" applyFont="1" applyFill="1" applyBorder="1" applyAlignment="1">
      <alignment horizontal="right"/>
    </xf>
    <xf numFmtId="44" fontId="2" fillId="0" borderId="34" xfId="1" applyFont="1" applyFill="1" applyBorder="1"/>
    <xf numFmtId="0" fontId="3" fillId="0" borderId="29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0" fontId="22" fillId="0" borderId="28" xfId="0" applyFont="1" applyFill="1" applyBorder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166" fontId="18" fillId="0" borderId="35" xfId="0" applyNumberFormat="1" applyFont="1" applyFill="1" applyBorder="1"/>
    <xf numFmtId="165" fontId="2" fillId="0" borderId="28" xfId="1" applyNumberFormat="1" applyFont="1" applyFill="1" applyBorder="1" applyAlignment="1">
      <alignment horizontal="left"/>
    </xf>
    <xf numFmtId="16" fontId="2" fillId="0" borderId="30" xfId="0" applyNumberFormat="1" applyFont="1" applyFill="1" applyBorder="1" applyAlignment="1">
      <alignment horizontal="center"/>
    </xf>
    <xf numFmtId="166" fontId="21" fillId="0" borderId="28" xfId="0" applyNumberFormat="1" applyFont="1" applyFill="1" applyBorder="1"/>
    <xf numFmtId="0" fontId="2" fillId="0" borderId="28" xfId="0" applyFont="1" applyFill="1" applyBorder="1" applyAlignment="1">
      <alignment horizontal="left" wrapText="1"/>
    </xf>
    <xf numFmtId="166" fontId="3" fillId="0" borderId="28" xfId="0" applyNumberFormat="1" applyFont="1" applyFill="1" applyBorder="1" applyAlignment="1">
      <alignment horizontal="center"/>
    </xf>
    <xf numFmtId="165" fontId="3" fillId="0" borderId="28" xfId="1" applyNumberFormat="1" applyFont="1" applyFill="1" applyBorder="1" applyAlignment="1">
      <alignment horizontal="center"/>
    </xf>
    <xf numFmtId="166" fontId="18" fillId="0" borderId="28" xfId="0" applyNumberFormat="1" applyFont="1" applyFill="1" applyBorder="1"/>
    <xf numFmtId="44" fontId="2" fillId="0" borderId="28" xfId="1" applyFont="1" applyFill="1" applyBorder="1"/>
    <xf numFmtId="0" fontId="2" fillId="0" borderId="28" xfId="0" applyFont="1" applyFill="1" applyBorder="1" applyAlignment="1"/>
    <xf numFmtId="44" fontId="2" fillId="0" borderId="36" xfId="1" applyFont="1" applyFill="1" applyBorder="1"/>
    <xf numFmtId="165" fontId="2" fillId="0" borderId="7" xfId="1" applyNumberFormat="1" applyFont="1" applyFill="1" applyBorder="1" applyAlignment="1">
      <alignment horizontal="center"/>
    </xf>
    <xf numFmtId="0" fontId="2" fillId="0" borderId="29" xfId="0" applyFont="1" applyFill="1" applyBorder="1" applyAlignment="1"/>
    <xf numFmtId="44" fontId="2" fillId="0" borderId="33" xfId="1" applyFont="1" applyFill="1" applyBorder="1"/>
    <xf numFmtId="44" fontId="2" fillId="0" borderId="37" xfId="1" applyFont="1" applyFill="1" applyBorder="1"/>
    <xf numFmtId="166" fontId="18" fillId="0" borderId="38" xfId="0" applyNumberFormat="1" applyFont="1" applyFill="1" applyBorder="1"/>
    <xf numFmtId="0" fontId="1" fillId="0" borderId="0" xfId="0" applyFont="1" applyFill="1"/>
    <xf numFmtId="44" fontId="2" fillId="0" borderId="39" xfId="1" applyFont="1" applyFill="1" applyBorder="1"/>
    <xf numFmtId="166" fontId="21" fillId="0" borderId="38" xfId="0" applyNumberFormat="1" applyFont="1" applyFill="1" applyBorder="1"/>
    <xf numFmtId="0" fontId="2" fillId="0" borderId="28" xfId="0" applyFont="1" applyFill="1" applyBorder="1" applyAlignment="1">
      <alignment horizontal="center" wrapText="1"/>
    </xf>
    <xf numFmtId="166" fontId="3" fillId="0" borderId="38" xfId="0" applyNumberFormat="1" applyFont="1" applyFill="1" applyBorder="1" applyAlignment="1">
      <alignment horizontal="center"/>
    </xf>
    <xf numFmtId="44" fontId="2" fillId="0" borderId="21" xfId="1" applyFont="1" applyFill="1" applyBorder="1" applyAlignment="1">
      <alignment horizontal="center"/>
    </xf>
    <xf numFmtId="44" fontId="2" fillId="0" borderId="40" xfId="1" applyFont="1" applyFill="1" applyBorder="1"/>
    <xf numFmtId="44" fontId="19" fillId="0" borderId="41" xfId="1" applyFont="1" applyFill="1" applyBorder="1"/>
    <xf numFmtId="44" fontId="2" fillId="0" borderId="42" xfId="1" applyFont="1" applyFill="1" applyBorder="1"/>
    <xf numFmtId="44" fontId="3" fillId="0" borderId="28" xfId="1" applyFont="1" applyFill="1" applyBorder="1"/>
    <xf numFmtId="166" fontId="21" fillId="0" borderId="0" xfId="0" applyNumberFormat="1" applyFont="1" applyFill="1" applyBorder="1"/>
    <xf numFmtId="44" fontId="2" fillId="0" borderId="5" xfId="1" applyFont="1" applyFill="1" applyBorder="1"/>
    <xf numFmtId="15" fontId="2" fillId="0" borderId="43" xfId="0" applyNumberFormat="1" applyFont="1" applyFill="1" applyBorder="1"/>
    <xf numFmtId="0" fontId="4" fillId="0" borderId="21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9" fillId="0" borderId="0" xfId="1" applyFont="1" applyFill="1" applyBorder="1"/>
    <xf numFmtId="44" fontId="3" fillId="0" borderId="0" xfId="1" applyFont="1" applyFill="1" applyBorder="1"/>
    <xf numFmtId="166" fontId="26" fillId="0" borderId="0" xfId="0" applyNumberFormat="1" applyFont="1" applyFill="1" applyBorder="1"/>
    <xf numFmtId="0" fontId="26" fillId="0" borderId="21" xfId="0" applyFont="1" applyFill="1" applyBorder="1" applyAlignment="1">
      <alignment horizontal="center"/>
    </xf>
    <xf numFmtId="44" fontId="2" fillId="0" borderId="15" xfId="1" applyFont="1" applyFill="1" applyBorder="1"/>
    <xf numFmtId="44" fontId="3" fillId="3" borderId="0" xfId="1" applyFont="1" applyFill="1" applyAlignment="1">
      <alignment horizontal="center"/>
    </xf>
    <xf numFmtId="44" fontId="17" fillId="0" borderId="0" xfId="1" applyFont="1" applyFill="1" applyBorder="1" applyAlignment="1">
      <alignment horizontal="center" vertical="center"/>
    </xf>
    <xf numFmtId="166" fontId="14" fillId="0" borderId="0" xfId="0" applyNumberFormat="1" applyFont="1" applyFill="1" applyBorder="1"/>
    <xf numFmtId="165" fontId="27" fillId="0" borderId="28" xfId="1" applyNumberFormat="1" applyFont="1" applyFill="1" applyBorder="1" applyAlignment="1">
      <alignment horizontal="center"/>
    </xf>
    <xf numFmtId="0" fontId="27" fillId="0" borderId="28" xfId="0" applyFont="1" applyFill="1" applyBorder="1" applyAlignment="1">
      <alignment horizontal="left"/>
    </xf>
    <xf numFmtId="44" fontId="27" fillId="0" borderId="26" xfId="1" applyFont="1" applyFill="1" applyBorder="1"/>
    <xf numFmtId="165" fontId="2" fillId="0" borderId="22" xfId="0" applyNumberFormat="1" applyFont="1" applyFill="1" applyBorder="1" applyAlignment="1">
      <alignment horizontal="center"/>
    </xf>
    <xf numFmtId="0" fontId="28" fillId="0" borderId="28" xfId="0" applyFont="1" applyFill="1" applyBorder="1" applyAlignment="1">
      <alignment horizontal="left"/>
    </xf>
    <xf numFmtId="165" fontId="2" fillId="0" borderId="22" xfId="1" applyNumberFormat="1" applyFont="1" applyFill="1" applyBorder="1" applyAlignment="1">
      <alignment horizontal="center"/>
    </xf>
    <xf numFmtId="0" fontId="2" fillId="0" borderId="28" xfId="0" applyFont="1" applyFill="1" applyBorder="1" applyAlignment="1">
      <alignment horizontal="left"/>
    </xf>
    <xf numFmtId="44" fontId="2" fillId="0" borderId="47" xfId="1" applyFont="1" applyFill="1" applyBorder="1"/>
    <xf numFmtId="0" fontId="23" fillId="0" borderId="28" xfId="0" applyFont="1" applyFill="1" applyBorder="1" applyAlignment="1">
      <alignment horizontal="left"/>
    </xf>
    <xf numFmtId="44" fontId="2" fillId="0" borderId="48" xfId="1" applyFont="1" applyFill="1" applyBorder="1"/>
    <xf numFmtId="0" fontId="23" fillId="0" borderId="28" xfId="0" applyFont="1" applyFill="1" applyBorder="1" applyAlignment="1">
      <alignment horizontal="center"/>
    </xf>
    <xf numFmtId="166" fontId="4" fillId="0" borderId="0" xfId="0" applyNumberFormat="1" applyFont="1" applyFill="1" applyAlignment="1">
      <alignment horizontal="left"/>
    </xf>
    <xf numFmtId="44" fontId="2" fillId="0" borderId="49" xfId="1" applyFont="1" applyFill="1" applyBorder="1"/>
    <xf numFmtId="15" fontId="2" fillId="0" borderId="32" xfId="0" applyNumberFormat="1" applyFont="1" applyFill="1" applyBorder="1"/>
    <xf numFmtId="165" fontId="24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Fill="1" applyBorder="1" applyAlignment="1">
      <alignment horizontal="center"/>
    </xf>
    <xf numFmtId="44" fontId="2" fillId="0" borderId="51" xfId="1" applyFont="1" applyFill="1" applyBorder="1"/>
    <xf numFmtId="15" fontId="2" fillId="0" borderId="16" xfId="0" applyNumberFormat="1" applyFont="1" applyFill="1" applyBorder="1"/>
    <xf numFmtId="165" fontId="22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left"/>
    </xf>
    <xf numFmtId="15" fontId="2" fillId="0" borderId="16" xfId="0" applyNumberFormat="1" applyFont="1" applyBorder="1"/>
    <xf numFmtId="15" fontId="2" fillId="0" borderId="0" xfId="0" applyNumberFormat="1" applyFont="1" applyBorder="1"/>
    <xf numFmtId="165" fontId="22" fillId="0" borderId="0" xfId="1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164" fontId="2" fillId="0" borderId="52" xfId="0" applyNumberFormat="1" applyFont="1" applyBorder="1" applyAlignment="1">
      <alignment horizontal="center"/>
    </xf>
    <xf numFmtId="44" fontId="14" fillId="0" borderId="53" xfId="1" applyFont="1" applyBorder="1"/>
    <xf numFmtId="0" fontId="0" fillId="0" borderId="54" xfId="0" applyBorder="1"/>
    <xf numFmtId="0" fontId="2" fillId="0" borderId="54" xfId="0" applyFont="1" applyBorder="1" applyAlignment="1">
      <alignment horizontal="center"/>
    </xf>
    <xf numFmtId="44" fontId="29" fillId="0" borderId="54" xfId="1" applyFont="1" applyBorder="1"/>
    <xf numFmtId="0" fontId="0" fillId="0" borderId="54" xfId="0" applyFont="1" applyBorder="1"/>
    <xf numFmtId="44" fontId="2" fillId="0" borderId="55" xfId="1" applyFont="1" applyBorder="1"/>
    <xf numFmtId="165" fontId="2" fillId="0" borderId="0" xfId="1" applyNumberFormat="1" applyFont="1" applyBorder="1"/>
    <xf numFmtId="166" fontId="2" fillId="0" borderId="56" xfId="0" applyNumberFormat="1" applyFont="1" applyBorder="1" applyAlignment="1">
      <alignment horizontal="center"/>
    </xf>
    <xf numFmtId="44" fontId="2" fillId="0" borderId="57" xfId="1" applyFont="1" applyBorder="1"/>
    <xf numFmtId="44" fontId="3" fillId="0" borderId="0" xfId="1" applyFont="1"/>
    <xf numFmtId="164" fontId="0" fillId="0" borderId="0" xfId="0" applyNumberFormat="1" applyFon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3" fillId="0" borderId="58" xfId="0" applyNumberFormat="1" applyFont="1" applyBorder="1" applyAlignment="1">
      <alignment horizontal="center" vertical="center" wrapText="1"/>
    </xf>
    <xf numFmtId="167" fontId="15" fillId="0" borderId="0" xfId="1" applyNumberFormat="1" applyFont="1" applyFill="1" applyBorder="1" applyAlignment="1">
      <alignment vertical="center"/>
    </xf>
    <xf numFmtId="44" fontId="3" fillId="0" borderId="30" xfId="1" applyFont="1" applyBorder="1"/>
    <xf numFmtId="44" fontId="14" fillId="0" borderId="0" xfId="1" applyFont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44" fontId="17" fillId="0" borderId="0" xfId="1" applyFont="1" applyBorder="1" applyAlignment="1">
      <alignment vertical="center"/>
    </xf>
    <xf numFmtId="44" fontId="4" fillId="0" borderId="0" xfId="1" applyFont="1" applyFill="1" applyBorder="1" applyAlignment="1">
      <alignment horizontal="center" vertical="center"/>
    </xf>
    <xf numFmtId="0" fontId="30" fillId="0" borderId="28" xfId="0" applyFont="1" applyBorder="1" applyAlignment="1">
      <alignment horizontal="left"/>
    </xf>
    <xf numFmtId="0" fontId="2" fillId="0" borderId="28" xfId="0" applyFont="1" applyBorder="1"/>
    <xf numFmtId="44" fontId="3" fillId="0" borderId="59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 applyAlignment="1">
      <alignment horizontal="center"/>
    </xf>
    <xf numFmtId="44" fontId="15" fillId="0" borderId="0" xfId="1" applyFont="1"/>
    <xf numFmtId="16" fontId="0" fillId="0" borderId="0" xfId="0" applyNumberFormat="1" applyFont="1"/>
    <xf numFmtId="0" fontId="2" fillId="0" borderId="26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horizontal="center" vertical="center"/>
    </xf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22" fillId="0" borderId="0" xfId="0" applyFont="1"/>
    <xf numFmtId="44" fontId="35" fillId="0" borderId="0" xfId="1" applyFont="1"/>
    <xf numFmtId="166" fontId="14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0" fillId="0" borderId="0" xfId="0" applyFont="1" applyFill="1" applyBorder="1"/>
    <xf numFmtId="0" fontId="2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64" fontId="8" fillId="10" borderId="61" xfId="0" applyNumberFormat="1" applyFont="1" applyFill="1" applyBorder="1" applyAlignment="1">
      <alignment vertical="center"/>
    </xf>
    <xf numFmtId="0" fontId="0" fillId="10" borderId="16" xfId="0" applyFill="1" applyBorder="1" applyAlignment="1">
      <alignment horizontal="center"/>
    </xf>
    <xf numFmtId="44" fontId="1" fillId="10" borderId="16" xfId="1" applyFill="1" applyBorder="1"/>
    <xf numFmtId="165" fontId="0" fillId="10" borderId="16" xfId="0" applyNumberFormat="1" applyFill="1" applyBorder="1"/>
    <xf numFmtId="164" fontId="8" fillId="10" borderId="62" xfId="0" applyNumberFormat="1" applyFont="1" applyFill="1" applyBorder="1" applyAlignment="1">
      <alignment horizontal="center" vertical="center" wrapText="1"/>
    </xf>
    <xf numFmtId="0" fontId="8" fillId="8" borderId="61" xfId="0" applyFont="1" applyFill="1" applyBorder="1" applyAlignment="1">
      <alignment vertical="center"/>
    </xf>
    <xf numFmtId="0" fontId="4" fillId="8" borderId="16" xfId="0" applyFont="1" applyFill="1" applyBorder="1"/>
    <xf numFmtId="44" fontId="1" fillId="8" borderId="16" xfId="1" applyFill="1" applyBorder="1"/>
    <xf numFmtId="165" fontId="0" fillId="8" borderId="16" xfId="0" applyNumberFormat="1" applyFill="1" applyBorder="1"/>
    <xf numFmtId="164" fontId="8" fillId="10" borderId="63" xfId="0" applyNumberFormat="1" applyFont="1" applyFill="1" applyBorder="1" applyAlignment="1">
      <alignment horizontal="center" vertical="center" wrapText="1"/>
    </xf>
    <xf numFmtId="164" fontId="3" fillId="0" borderId="64" xfId="0" applyNumberFormat="1" applyFont="1" applyBorder="1" applyAlignment="1">
      <alignment horizontal="center"/>
    </xf>
    <xf numFmtId="0" fontId="3" fillId="0" borderId="65" xfId="0" applyFont="1" applyBorder="1" applyAlignment="1">
      <alignment horizontal="center"/>
    </xf>
    <xf numFmtId="44" fontId="3" fillId="0" borderId="65" xfId="1" applyFont="1" applyBorder="1" applyAlignment="1">
      <alignment horizontal="center"/>
    </xf>
    <xf numFmtId="165" fontId="3" fillId="0" borderId="65" xfId="0" applyNumberFormat="1" applyFont="1" applyBorder="1" applyAlignment="1">
      <alignment horizontal="center"/>
    </xf>
    <xf numFmtId="44" fontId="3" fillId="0" borderId="66" xfId="1" applyFont="1" applyBorder="1" applyAlignment="1">
      <alignment horizontal="center"/>
    </xf>
    <xf numFmtId="44" fontId="17" fillId="4" borderId="5" xfId="1" applyFont="1" applyFill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44" fontId="3" fillId="0" borderId="67" xfId="1" applyFont="1" applyBorder="1" applyAlignment="1">
      <alignment horizontal="center"/>
    </xf>
    <xf numFmtId="165" fontId="3" fillId="0" borderId="67" xfId="0" applyNumberFormat="1" applyFont="1" applyBorder="1" applyAlignment="1">
      <alignment horizontal="center"/>
    </xf>
    <xf numFmtId="44" fontId="17" fillId="0" borderId="57" xfId="1" applyFont="1" applyBorder="1" applyAlignment="1">
      <alignment horizontal="center"/>
    </xf>
    <xf numFmtId="164" fontId="3" fillId="0" borderId="22" xfId="0" applyNumberFormat="1" applyFont="1" applyFill="1" applyBorder="1"/>
    <xf numFmtId="49" fontId="3" fillId="0" borderId="22" xfId="0" applyNumberFormat="1" applyFont="1" applyFill="1" applyBorder="1" applyAlignment="1">
      <alignment horizontal="center"/>
    </xf>
    <xf numFmtId="44" fontId="3" fillId="0" borderId="22" xfId="1" applyFont="1" applyFill="1" applyBorder="1"/>
    <xf numFmtId="165" fontId="3" fillId="0" borderId="22" xfId="0" applyNumberFormat="1" applyFont="1" applyFill="1" applyBorder="1"/>
    <xf numFmtId="44" fontId="3" fillId="0" borderId="68" xfId="1" applyFont="1" applyFill="1" applyBorder="1"/>
    <xf numFmtId="44" fontId="2" fillId="0" borderId="69" xfId="1" applyFont="1" applyFill="1" applyBorder="1"/>
    <xf numFmtId="44" fontId="39" fillId="0" borderId="70" xfId="1" applyFont="1" applyBorder="1"/>
    <xf numFmtId="164" fontId="3" fillId="0" borderId="28" xfId="0" applyNumberFormat="1" applyFont="1" applyFill="1" applyBorder="1"/>
    <xf numFmtId="49" fontId="3" fillId="0" borderId="28" xfId="0" applyNumberFormat="1" applyFont="1" applyFill="1" applyBorder="1" applyAlignment="1">
      <alignment horizontal="center"/>
    </xf>
    <xf numFmtId="165" fontId="3" fillId="0" borderId="28" xfId="0" applyNumberFormat="1" applyFont="1" applyFill="1" applyBorder="1"/>
    <xf numFmtId="44" fontId="3" fillId="0" borderId="38" xfId="1" applyFont="1" applyFill="1" applyBorder="1"/>
    <xf numFmtId="0" fontId="16" fillId="0" borderId="0" xfId="0" applyFont="1"/>
    <xf numFmtId="44" fontId="39" fillId="0" borderId="70" xfId="1" applyFont="1" applyFill="1" applyBorder="1"/>
    <xf numFmtId="49" fontId="3" fillId="11" borderId="71" xfId="0" applyNumberFormat="1" applyFont="1" applyFill="1" applyBorder="1"/>
    <xf numFmtId="0" fontId="3" fillId="11" borderId="69" xfId="0" applyFont="1" applyFill="1" applyBorder="1" applyAlignment="1">
      <alignment horizontal="center"/>
    </xf>
    <xf numFmtId="44" fontId="3" fillId="11" borderId="69" xfId="1" applyFont="1" applyFill="1" applyBorder="1"/>
    <xf numFmtId="44" fontId="17" fillId="0" borderId="69" xfId="1" applyFont="1" applyFill="1" applyBorder="1"/>
    <xf numFmtId="0" fontId="16" fillId="0" borderId="0" xfId="0" applyFont="1" applyFill="1"/>
    <xf numFmtId="0" fontId="0" fillId="0" borderId="0" xfId="0" applyFill="1"/>
    <xf numFmtId="0" fontId="22" fillId="0" borderId="0" xfId="0" applyFont="1" applyFill="1"/>
    <xf numFmtId="49" fontId="3" fillId="0" borderId="71" xfId="0" applyNumberFormat="1" applyFont="1" applyFill="1" applyBorder="1"/>
    <xf numFmtId="0" fontId="3" fillId="0" borderId="69" xfId="0" applyFont="1" applyFill="1" applyBorder="1" applyAlignment="1">
      <alignment horizontal="center"/>
    </xf>
    <xf numFmtId="44" fontId="3" fillId="0" borderId="69" xfId="1" applyFont="1" applyFill="1" applyBorder="1"/>
    <xf numFmtId="165" fontId="2" fillId="0" borderId="28" xfId="0" applyNumberFormat="1" applyFont="1" applyFill="1" applyBorder="1" applyAlignment="1">
      <alignment horizontal="center"/>
    </xf>
    <xf numFmtId="164" fontId="40" fillId="0" borderId="28" xfId="0" applyNumberFormat="1" applyFont="1" applyFill="1" applyBorder="1" applyAlignment="1">
      <alignment horizontal="center"/>
    </xf>
    <xf numFmtId="1" fontId="41" fillId="0" borderId="28" xfId="0" applyNumberFormat="1" applyFont="1" applyFill="1" applyBorder="1" applyAlignment="1">
      <alignment horizontal="center"/>
    </xf>
    <xf numFmtId="164" fontId="0" fillId="0" borderId="28" xfId="0" applyNumberFormat="1" applyFont="1" applyFill="1" applyBorder="1"/>
    <xf numFmtId="49" fontId="0" fillId="0" borderId="28" xfId="0" applyNumberFormat="1" applyFont="1" applyFill="1" applyBorder="1"/>
    <xf numFmtId="44" fontId="0" fillId="0" borderId="28" xfId="1" applyFont="1" applyFill="1" applyBorder="1"/>
    <xf numFmtId="164" fontId="3" fillId="0" borderId="28" xfId="0" applyNumberFormat="1" applyFont="1" applyFill="1" applyBorder="1" applyAlignment="1">
      <alignment horizontal="center"/>
    </xf>
    <xf numFmtId="1" fontId="3" fillId="0" borderId="28" xfId="0" applyNumberFormat="1" applyFont="1" applyFill="1" applyBorder="1" applyAlignment="1">
      <alignment horizontal="center"/>
    </xf>
    <xf numFmtId="164" fontId="42" fillId="0" borderId="28" xfId="0" applyNumberFormat="1" applyFont="1" applyFill="1" applyBorder="1" applyAlignment="1">
      <alignment horizontal="center"/>
    </xf>
    <xf numFmtId="164" fontId="43" fillId="0" borderId="28" xfId="0" applyNumberFormat="1" applyFont="1" applyFill="1" applyBorder="1" applyAlignment="1">
      <alignment horizontal="center"/>
    </xf>
    <xf numFmtId="1" fontId="2" fillId="0" borderId="28" xfId="0" applyNumberFormat="1" applyFont="1" applyFill="1" applyBorder="1" applyAlignment="1">
      <alignment horizontal="center"/>
    </xf>
    <xf numFmtId="1" fontId="4" fillId="0" borderId="28" xfId="0" applyNumberFormat="1" applyFont="1" applyFill="1" applyBorder="1" applyAlignment="1">
      <alignment horizontal="center"/>
    </xf>
    <xf numFmtId="165" fontId="2" fillId="0" borderId="28" xfId="0" applyNumberFormat="1" applyFont="1" applyBorder="1" applyAlignment="1">
      <alignment horizontal="center"/>
    </xf>
    <xf numFmtId="164" fontId="40" fillId="0" borderId="77" xfId="0" applyNumberFormat="1" applyFont="1" applyFill="1" applyBorder="1" applyAlignment="1">
      <alignment horizontal="center"/>
    </xf>
    <xf numFmtId="1" fontId="41" fillId="0" borderId="77" xfId="0" applyNumberFormat="1" applyFont="1" applyFill="1" applyBorder="1" applyAlignment="1">
      <alignment horizontal="center"/>
    </xf>
    <xf numFmtId="164" fontId="40" fillId="0" borderId="78" xfId="0" applyNumberFormat="1" applyFont="1" applyBorder="1" applyAlignment="1">
      <alignment horizontal="center"/>
    </xf>
    <xf numFmtId="1" fontId="41" fillId="0" borderId="77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44" fontId="2" fillId="0" borderId="6" xfId="1" applyFont="1" applyFill="1" applyBorder="1"/>
    <xf numFmtId="1" fontId="41" fillId="0" borderId="78" xfId="0" applyNumberFormat="1" applyFont="1" applyBorder="1" applyAlignment="1">
      <alignment horizontal="center"/>
    </xf>
    <xf numFmtId="164" fontId="2" fillId="0" borderId="0" xfId="0" applyNumberFormat="1" applyFont="1"/>
    <xf numFmtId="0" fontId="2" fillId="0" borderId="61" xfId="0" applyFont="1" applyBorder="1" applyAlignment="1">
      <alignment horizontal="center"/>
    </xf>
    <xf numFmtId="44" fontId="17" fillId="7" borderId="79" xfId="1" applyFont="1" applyFill="1" applyBorder="1"/>
    <xf numFmtId="165" fontId="17" fillId="7" borderId="79" xfId="1" applyNumberFormat="1" applyFont="1" applyFill="1" applyBorder="1"/>
    <xf numFmtId="44" fontId="3" fillId="7" borderId="79" xfId="1" applyFont="1" applyFill="1" applyBorder="1"/>
    <xf numFmtId="44" fontId="44" fillId="4" borderId="70" xfId="1" applyFont="1" applyFill="1" applyBorder="1"/>
    <xf numFmtId="44" fontId="8" fillId="13" borderId="0" xfId="1" applyFont="1" applyFill="1"/>
    <xf numFmtId="165" fontId="3" fillId="13" borderId="0" xfId="1" applyNumberFormat="1" applyFont="1" applyFill="1"/>
    <xf numFmtId="44" fontId="3" fillId="13" borderId="0" xfId="1" applyFont="1" applyFill="1"/>
    <xf numFmtId="0" fontId="2" fillId="0" borderId="80" xfId="0" applyFont="1" applyBorder="1" applyAlignment="1">
      <alignment horizontal="center"/>
    </xf>
    <xf numFmtId="44" fontId="2" fillId="0" borderId="81" xfId="1" applyFont="1" applyBorder="1"/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" fontId="4" fillId="0" borderId="0" xfId="0" applyNumberFormat="1" applyFont="1"/>
    <xf numFmtId="164" fontId="0" fillId="0" borderId="0" xfId="0" applyNumberFormat="1"/>
    <xf numFmtId="49" fontId="0" fillId="0" borderId="71" xfId="0" applyNumberFormat="1" applyFont="1" applyFill="1" applyBorder="1"/>
    <xf numFmtId="0" fontId="0" fillId="0" borderId="69" xfId="0" applyFont="1" applyFill="1" applyBorder="1"/>
    <xf numFmtId="44" fontId="0" fillId="0" borderId="69" xfId="1" applyFont="1" applyFill="1" applyBorder="1"/>
    <xf numFmtId="0" fontId="0" fillId="0" borderId="0" xfId="0" applyAlignment="1">
      <alignment horizontal="center"/>
    </xf>
    <xf numFmtId="0" fontId="2" fillId="0" borderId="69" xfId="0" applyFont="1" applyFill="1" applyBorder="1" applyAlignment="1">
      <alignment horizontal="center"/>
    </xf>
    <xf numFmtId="44" fontId="2" fillId="3" borderId="27" xfId="1" applyFont="1" applyFill="1" applyBorder="1" applyAlignment="1">
      <alignment horizontal="center"/>
    </xf>
    <xf numFmtId="0" fontId="22" fillId="14" borderId="30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44" fontId="3" fillId="15" borderId="26" xfId="1" applyFont="1" applyFill="1" applyBorder="1"/>
    <xf numFmtId="0" fontId="3" fillId="11" borderId="69" xfId="0" applyFont="1" applyFill="1" applyBorder="1"/>
    <xf numFmtId="49" fontId="3" fillId="0" borderId="71" xfId="0" applyNumberFormat="1" applyFont="1" applyBorder="1"/>
    <xf numFmtId="0" fontId="3" fillId="0" borderId="69" xfId="0" applyFont="1" applyBorder="1"/>
    <xf numFmtId="44" fontId="3" fillId="0" borderId="69" xfId="1" applyFont="1" applyBorder="1"/>
    <xf numFmtId="0" fontId="3" fillId="0" borderId="69" xfId="0" applyFont="1" applyFill="1" applyBorder="1"/>
    <xf numFmtId="0" fontId="22" fillId="0" borderId="30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2" fillId="0" borderId="0" xfId="0" applyFont="1" applyBorder="1"/>
    <xf numFmtId="0" fontId="4" fillId="0" borderId="0" xfId="0" applyFont="1" applyBorder="1"/>
    <xf numFmtId="44" fontId="2" fillId="0" borderId="0" xfId="1" applyFont="1" applyBorder="1"/>
    <xf numFmtId="165" fontId="0" fillId="0" borderId="0" xfId="0" applyNumberFormat="1" applyBorder="1" applyAlignment="1">
      <alignment horizontal="center"/>
    </xf>
    <xf numFmtId="16" fontId="4" fillId="0" borderId="0" xfId="0" applyNumberFormat="1" applyFont="1" applyBorder="1"/>
    <xf numFmtId="165" fontId="0" fillId="0" borderId="0" xfId="0" applyNumberFormat="1" applyBorder="1"/>
    <xf numFmtId="0" fontId="0" fillId="0" borderId="0" xfId="0" applyBorder="1"/>
    <xf numFmtId="0" fontId="2" fillId="0" borderId="0" xfId="0" applyFont="1" applyFill="1" applyBorder="1"/>
    <xf numFmtId="16" fontId="4" fillId="0" borderId="0" xfId="0" applyNumberFormat="1" applyFont="1" applyFill="1" applyBorder="1"/>
    <xf numFmtId="165" fontId="0" fillId="0" borderId="0" xfId="0" applyNumberFormat="1" applyFill="1" applyBorder="1"/>
    <xf numFmtId="49" fontId="0" fillId="0" borderId="0" xfId="0" applyNumberFormat="1" applyFont="1" applyFill="1" applyBorder="1"/>
    <xf numFmtId="44" fontId="0" fillId="0" borderId="0" xfId="1" applyFont="1" applyFill="1" applyBorder="1"/>
    <xf numFmtId="166" fontId="18" fillId="0" borderId="28" xfId="0" applyNumberFormat="1" applyFont="1" applyFill="1" applyBorder="1" applyAlignment="1">
      <alignment horizontal="center"/>
    </xf>
    <xf numFmtId="16" fontId="23" fillId="0" borderId="28" xfId="0" applyNumberFormat="1" applyFont="1" applyFill="1" applyBorder="1" applyAlignment="1">
      <alignment horizontal="center"/>
    </xf>
    <xf numFmtId="165" fontId="3" fillId="16" borderId="22" xfId="0" applyNumberFormat="1" applyFont="1" applyFill="1" applyBorder="1"/>
    <xf numFmtId="44" fontId="3" fillId="16" borderId="69" xfId="1" applyFont="1" applyFill="1" applyBorder="1"/>
    <xf numFmtId="44" fontId="3" fillId="17" borderId="69" xfId="1" applyFont="1" applyFill="1" applyBorder="1"/>
    <xf numFmtId="0" fontId="2" fillId="0" borderId="69" xfId="0" applyFont="1" applyFill="1" applyBorder="1"/>
    <xf numFmtId="0" fontId="2" fillId="0" borderId="61" xfId="0" applyFont="1" applyBorder="1"/>
    <xf numFmtId="16" fontId="4" fillId="0" borderId="16" xfId="0" applyNumberFormat="1" applyFont="1" applyBorder="1"/>
    <xf numFmtId="44" fontId="1" fillId="0" borderId="16" xfId="1" applyBorder="1"/>
    <xf numFmtId="165" fontId="0" fillId="0" borderId="16" xfId="0" applyNumberFormat="1" applyBorder="1"/>
    <xf numFmtId="0" fontId="0" fillId="0" borderId="16" xfId="0" applyBorder="1"/>
    <xf numFmtId="44" fontId="0" fillId="0" borderId="79" xfId="1" applyFont="1" applyBorder="1"/>
    <xf numFmtId="0" fontId="2" fillId="0" borderId="2" xfId="0" applyFont="1" applyFill="1" applyBorder="1"/>
    <xf numFmtId="16" fontId="16" fillId="0" borderId="0" xfId="0" applyNumberFormat="1" applyFont="1" applyFill="1" applyBorder="1"/>
    <xf numFmtId="44" fontId="0" fillId="0" borderId="4" xfId="1" applyFont="1" applyBorder="1"/>
    <xf numFmtId="49" fontId="0" fillId="0" borderId="82" xfId="0" applyNumberFormat="1" applyFont="1" applyFill="1" applyBorder="1"/>
    <xf numFmtId="0" fontId="0" fillId="0" borderId="4" xfId="0" applyBorder="1"/>
    <xf numFmtId="0" fontId="0" fillId="0" borderId="2" xfId="0" applyFill="1" applyBorder="1"/>
    <xf numFmtId="0" fontId="2" fillId="14" borderId="0" xfId="0" applyFont="1" applyFill="1" applyBorder="1"/>
    <xf numFmtId="44" fontId="1" fillId="14" borderId="0" xfId="1" applyFill="1" applyBorder="1"/>
    <xf numFmtId="165" fontId="0" fillId="14" borderId="0" xfId="0" applyNumberFormat="1" applyFill="1" applyBorder="1"/>
    <xf numFmtId="44" fontId="15" fillId="14" borderId="0" xfId="1" applyFont="1" applyFill="1" applyBorder="1"/>
    <xf numFmtId="0" fontId="0" fillId="0" borderId="2" xfId="0" applyBorder="1"/>
    <xf numFmtId="0" fontId="0" fillId="0" borderId="80" xfId="0" applyBorder="1"/>
    <xf numFmtId="0" fontId="0" fillId="0" borderId="5" xfId="0" applyBorder="1"/>
    <xf numFmtId="165" fontId="0" fillId="0" borderId="5" xfId="0" applyNumberFormat="1" applyBorder="1"/>
    <xf numFmtId="0" fontId="0" fillId="0" borderId="81" xfId="0" applyBorder="1"/>
    <xf numFmtId="165" fontId="3" fillId="0" borderId="28" xfId="0" applyNumberFormat="1" applyFont="1" applyFill="1" applyBorder="1" applyAlignment="1">
      <alignment wrapText="1"/>
    </xf>
    <xf numFmtId="166" fontId="4" fillId="0" borderId="35" xfId="0" applyNumberFormat="1" applyFont="1" applyFill="1" applyBorder="1"/>
    <xf numFmtId="0" fontId="23" fillId="0" borderId="28" xfId="0" applyFont="1" applyFill="1" applyBorder="1" applyAlignment="1"/>
    <xf numFmtId="16" fontId="3" fillId="0" borderId="28" xfId="0" applyNumberFormat="1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165" fontId="22" fillId="0" borderId="26" xfId="1" applyNumberFormat="1" applyFont="1" applyFill="1" applyBorder="1" applyAlignment="1">
      <alignment horizontal="left"/>
    </xf>
    <xf numFmtId="165" fontId="2" fillId="0" borderId="26" xfId="1" applyNumberFormat="1" applyFont="1" applyFill="1" applyBorder="1" applyAlignment="1">
      <alignment horizontal="center"/>
    </xf>
    <xf numFmtId="165" fontId="2" fillId="0" borderId="26" xfId="1" applyNumberFormat="1" applyFont="1" applyFill="1" applyBorder="1" applyAlignment="1">
      <alignment horizontal="left"/>
    </xf>
    <xf numFmtId="165" fontId="3" fillId="0" borderId="26" xfId="1" applyNumberFormat="1" applyFont="1" applyFill="1" applyBorder="1" applyAlignment="1">
      <alignment horizontal="center"/>
    </xf>
    <xf numFmtId="165" fontId="2" fillId="0" borderId="76" xfId="0" applyNumberFormat="1" applyFont="1" applyFill="1" applyBorder="1" applyAlignment="1">
      <alignment horizontal="center"/>
    </xf>
    <xf numFmtId="165" fontId="2" fillId="0" borderId="76" xfId="1" applyNumberFormat="1" applyFont="1" applyFill="1" applyBorder="1" applyAlignment="1">
      <alignment horizontal="center"/>
    </xf>
    <xf numFmtId="0" fontId="23" fillId="0" borderId="29" xfId="0" applyFont="1" applyFill="1" applyBorder="1" applyAlignment="1">
      <alignment horizontal="center" wrapText="1"/>
    </xf>
    <xf numFmtId="0" fontId="2" fillId="0" borderId="29" xfId="0" applyFont="1" applyFill="1" applyBorder="1" applyAlignment="1">
      <alignment horizontal="left"/>
    </xf>
    <xf numFmtId="0" fontId="22" fillId="0" borderId="83" xfId="0" applyFont="1" applyFill="1" applyBorder="1" applyAlignment="1">
      <alignment horizontal="center" wrapText="1"/>
    </xf>
    <xf numFmtId="0" fontId="22" fillId="0" borderId="29" xfId="0" applyFont="1" applyFill="1" applyBorder="1" applyAlignment="1">
      <alignment horizontal="center"/>
    </xf>
    <xf numFmtId="16" fontId="2" fillId="0" borderId="83" xfId="0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left" wrapText="1"/>
    </xf>
    <xf numFmtId="16" fontId="23" fillId="0" borderId="29" xfId="0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 wrapText="1"/>
    </xf>
    <xf numFmtId="0" fontId="22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center"/>
    </xf>
    <xf numFmtId="49" fontId="2" fillId="0" borderId="71" xfId="0" applyNumberFormat="1" applyFont="1" applyFill="1" applyBorder="1"/>
    <xf numFmtId="164" fontId="3" fillId="0" borderId="71" xfId="0" applyNumberFormat="1" applyFont="1" applyBorder="1" applyAlignment="1">
      <alignment horizontal="left"/>
    </xf>
    <xf numFmtId="165" fontId="2" fillId="0" borderId="71" xfId="0" applyNumberFormat="1" applyFont="1" applyFill="1" applyBorder="1"/>
    <xf numFmtId="165" fontId="0" fillId="0" borderId="71" xfId="0" applyNumberFormat="1" applyFont="1" applyFill="1" applyBorder="1"/>
    <xf numFmtId="44" fontId="3" fillId="3" borderId="27" xfId="1" applyFont="1" applyFill="1" applyBorder="1" applyAlignment="1">
      <alignment horizontal="center"/>
    </xf>
    <xf numFmtId="0" fontId="23" fillId="0" borderId="61" xfId="0" applyFont="1" applyFill="1" applyBorder="1" applyAlignment="1">
      <alignment horizontal="left"/>
    </xf>
    <xf numFmtId="16" fontId="24" fillId="19" borderId="29" xfId="0" applyNumberFormat="1" applyFont="1" applyFill="1" applyBorder="1" applyAlignment="1">
      <alignment horizontal="center"/>
    </xf>
    <xf numFmtId="0" fontId="0" fillId="0" borderId="29" xfId="0" applyFont="1" applyFill="1" applyBorder="1" applyAlignment="1">
      <alignment horizontal="center" wrapText="1"/>
    </xf>
    <xf numFmtId="44" fontId="3" fillId="0" borderId="23" xfId="1" applyFont="1" applyFill="1" applyBorder="1"/>
    <xf numFmtId="44" fontId="2" fillId="4" borderId="37" xfId="1" applyFont="1" applyFill="1" applyBorder="1"/>
    <xf numFmtId="44" fontId="2" fillId="4" borderId="39" xfId="1" applyFont="1" applyFill="1" applyBorder="1"/>
    <xf numFmtId="165" fontId="14" fillId="0" borderId="28" xfId="1" applyNumberFormat="1" applyFont="1" applyFill="1" applyBorder="1" applyAlignment="1">
      <alignment horizontal="center"/>
    </xf>
    <xf numFmtId="0" fontId="14" fillId="0" borderId="28" xfId="0" applyFont="1" applyFill="1" applyBorder="1" applyAlignment="1">
      <alignment horizontal="center"/>
    </xf>
    <xf numFmtId="44" fontId="14" fillId="0" borderId="26" xfId="1" applyFont="1" applyFill="1" applyBorder="1"/>
    <xf numFmtId="166" fontId="17" fillId="7" borderId="7" xfId="1" applyNumberFormat="1" applyFont="1" applyFill="1" applyBorder="1" applyAlignment="1">
      <alignment horizontal="center" vertical="center"/>
    </xf>
    <xf numFmtId="166" fontId="17" fillId="7" borderId="46" xfId="1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wrapText="1"/>
    </xf>
    <xf numFmtId="0" fontId="11" fillId="2" borderId="5" xfId="0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/>
    </xf>
    <xf numFmtId="0" fontId="38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10" fillId="9" borderId="6" xfId="0" applyFont="1" applyFill="1" applyBorder="1" applyAlignment="1">
      <alignment horizontal="center" vertical="center" wrapText="1"/>
    </xf>
    <xf numFmtId="44" fontId="2" fillId="3" borderId="1" xfId="1" applyFont="1" applyFill="1" applyBorder="1" applyAlignment="1">
      <alignment horizontal="center" vertical="center" wrapText="1"/>
    </xf>
    <xf numFmtId="44" fontId="2" fillId="3" borderId="17" xfId="1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32" fillId="0" borderId="58" xfId="0" applyFont="1" applyBorder="1" applyAlignment="1">
      <alignment horizontal="center"/>
    </xf>
    <xf numFmtId="0" fontId="32" fillId="0" borderId="38" xfId="0" applyFont="1" applyBorder="1" applyAlignment="1">
      <alignment horizontal="center"/>
    </xf>
    <xf numFmtId="44" fontId="15" fillId="7" borderId="13" xfId="1" applyFont="1" applyFill="1" applyBorder="1" applyAlignment="1">
      <alignment horizontal="center"/>
    </xf>
    <xf numFmtId="44" fontId="15" fillId="7" borderId="60" xfId="1" applyFont="1" applyFill="1" applyBorder="1" applyAlignment="1">
      <alignment horizontal="center"/>
    </xf>
    <xf numFmtId="166" fontId="15" fillId="7" borderId="60" xfId="1" applyNumberFormat="1" applyFont="1" applyFill="1" applyBorder="1" applyAlignment="1">
      <alignment horizontal="center"/>
    </xf>
    <xf numFmtId="44" fontId="19" fillId="4" borderId="44" xfId="1" applyFont="1" applyFill="1" applyBorder="1" applyAlignment="1">
      <alignment horizontal="center" vertical="center"/>
    </xf>
    <xf numFmtId="44" fontId="19" fillId="4" borderId="45" xfId="1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 wrapText="1"/>
    </xf>
    <xf numFmtId="166" fontId="14" fillId="0" borderId="28" xfId="0" applyNumberFormat="1" applyFont="1" applyBorder="1" applyAlignment="1">
      <alignment horizontal="center" vertical="center" wrapText="1"/>
    </xf>
    <xf numFmtId="44" fontId="14" fillId="0" borderId="26" xfId="1" applyFont="1" applyBorder="1" applyAlignment="1">
      <alignment horizontal="center" vertical="center" wrapText="1"/>
    </xf>
    <xf numFmtId="44" fontId="14" fillId="0" borderId="58" xfId="1" applyFont="1" applyBorder="1" applyAlignment="1">
      <alignment horizontal="center" vertical="center" wrapText="1"/>
    </xf>
    <xf numFmtId="44" fontId="15" fillId="0" borderId="58" xfId="1" applyFont="1" applyBorder="1" applyAlignment="1">
      <alignment horizontal="center"/>
    </xf>
    <xf numFmtId="44" fontId="15" fillId="0" borderId="26" xfId="1" applyFont="1" applyBorder="1" applyAlignment="1">
      <alignment horizontal="center"/>
    </xf>
    <xf numFmtId="166" fontId="14" fillId="0" borderId="26" xfId="0" applyNumberFormat="1" applyFont="1" applyBorder="1" applyAlignment="1">
      <alignment horizontal="center" vertical="center" wrapText="1"/>
    </xf>
    <xf numFmtId="166" fontId="14" fillId="0" borderId="58" xfId="0" applyNumberFormat="1" applyFont="1" applyBorder="1" applyAlignment="1">
      <alignment horizontal="center" vertical="center" wrapText="1"/>
    </xf>
    <xf numFmtId="166" fontId="3" fillId="0" borderId="58" xfId="0" applyNumberFormat="1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44" fontId="8" fillId="6" borderId="1" xfId="1" applyFont="1" applyFill="1" applyBorder="1" applyAlignment="1">
      <alignment horizontal="center" vertical="center"/>
    </xf>
    <xf numFmtId="44" fontId="8" fillId="6" borderId="3" xfId="1" applyFont="1" applyFill="1" applyBorder="1" applyAlignment="1">
      <alignment horizontal="center" vertical="center"/>
    </xf>
    <xf numFmtId="49" fontId="15" fillId="0" borderId="72" xfId="0" applyNumberFormat="1" applyFont="1" applyFill="1" applyBorder="1" applyAlignment="1">
      <alignment horizontal="center" vertical="center" wrapText="1"/>
    </xf>
    <xf numFmtId="49" fontId="15" fillId="0" borderId="0" xfId="0" applyNumberFormat="1" applyFont="1" applyFill="1" applyBorder="1" applyAlignment="1">
      <alignment horizontal="center" vertical="center" wrapText="1"/>
    </xf>
    <xf numFmtId="49" fontId="15" fillId="0" borderId="73" xfId="0" applyNumberFormat="1" applyFont="1" applyFill="1" applyBorder="1" applyAlignment="1">
      <alignment horizontal="center" vertical="center" wrapText="1"/>
    </xf>
    <xf numFmtId="49" fontId="34" fillId="12" borderId="74" xfId="0" applyNumberFormat="1" applyFont="1" applyFill="1" applyBorder="1" applyAlignment="1">
      <alignment horizontal="center" vertical="center"/>
    </xf>
    <xf numFmtId="49" fontId="34" fillId="12" borderId="75" xfId="0" applyNumberFormat="1" applyFont="1" applyFill="1" applyBorder="1" applyAlignment="1">
      <alignment horizontal="center" vertical="center"/>
    </xf>
    <xf numFmtId="49" fontId="34" fillId="12" borderId="31" xfId="0" applyNumberFormat="1" applyFont="1" applyFill="1" applyBorder="1" applyAlignment="1">
      <alignment horizontal="center" vertical="center"/>
    </xf>
    <xf numFmtId="49" fontId="34" fillId="12" borderId="73" xfId="0" applyNumberFormat="1" applyFont="1" applyFill="1" applyBorder="1" applyAlignment="1">
      <alignment horizontal="center" vertical="center"/>
    </xf>
    <xf numFmtId="49" fontId="34" fillId="12" borderId="76" xfId="0" applyNumberFormat="1" applyFont="1" applyFill="1" applyBorder="1" applyAlignment="1">
      <alignment horizontal="center" vertical="center"/>
    </xf>
    <xf numFmtId="49" fontId="34" fillId="12" borderId="70" xfId="0" applyNumberFormat="1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79" xfId="0" applyFont="1" applyFill="1" applyBorder="1" applyAlignment="1">
      <alignment horizontal="center" vertical="center"/>
    </xf>
    <xf numFmtId="0" fontId="8" fillId="7" borderId="80" xfId="0" applyFont="1" applyFill="1" applyBorder="1" applyAlignment="1">
      <alignment horizontal="center" vertical="center"/>
    </xf>
    <xf numFmtId="0" fontId="8" fillId="7" borderId="81" xfId="0" applyFont="1" applyFill="1" applyBorder="1" applyAlignment="1">
      <alignment horizontal="center" vertical="center"/>
    </xf>
    <xf numFmtId="44" fontId="3" fillId="4" borderId="50" xfId="1" applyFont="1" applyFill="1" applyBorder="1" applyAlignment="1">
      <alignment horizontal="center" vertical="center"/>
    </xf>
    <xf numFmtId="44" fontId="3" fillId="4" borderId="0" xfId="1" applyFont="1" applyFill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44" fontId="15" fillId="8" borderId="60" xfId="1" applyFont="1" applyFill="1" applyBorder="1" applyAlignment="1">
      <alignment horizontal="center"/>
    </xf>
    <xf numFmtId="166" fontId="15" fillId="8" borderId="60" xfId="1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44" fontId="2" fillId="18" borderId="1" xfId="1" applyFont="1" applyFill="1" applyBorder="1" applyAlignment="1">
      <alignment horizontal="center" vertical="center" wrapText="1"/>
    </xf>
    <xf numFmtId="44" fontId="2" fillId="18" borderId="17" xfId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CCFF99"/>
      <color rgb="FFFF00FF"/>
      <color rgb="FF66FF66"/>
      <color rgb="FFFF99CC"/>
      <color rgb="FF990099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4782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59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5971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759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2974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105"/>
  <sheetViews>
    <sheetView topLeftCell="A22" workbookViewId="0">
      <selection activeCell="J34" sqref="J34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372"/>
      <c r="C1" s="374" t="s">
        <v>26</v>
      </c>
      <c r="D1" s="375"/>
      <c r="E1" s="375"/>
      <c r="F1" s="375"/>
      <c r="G1" s="375"/>
      <c r="H1" s="375"/>
      <c r="I1" s="375"/>
      <c r="J1" s="375"/>
      <c r="K1" s="375"/>
      <c r="L1" s="375"/>
      <c r="M1" s="375"/>
    </row>
    <row r="2" spans="1:18" ht="16.5" thickBot="1" x14ac:dyDescent="0.3">
      <c r="B2" s="373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376" t="s">
        <v>0</v>
      </c>
      <c r="C3" s="377"/>
      <c r="D3" s="14"/>
      <c r="E3" s="15"/>
      <c r="F3" s="16"/>
      <c r="H3" s="378" t="s">
        <v>1</v>
      </c>
      <c r="I3" s="378"/>
      <c r="K3" s="18"/>
      <c r="L3" s="19"/>
      <c r="M3" s="20"/>
      <c r="P3" s="370" t="s">
        <v>2</v>
      </c>
      <c r="R3" s="379" t="s">
        <v>3</v>
      </c>
    </row>
    <row r="4" spans="1:18" ht="32.25" thickTop="1" thickBot="1" x14ac:dyDescent="0.35">
      <c r="A4" s="21" t="s">
        <v>4</v>
      </c>
      <c r="B4" s="22"/>
      <c r="C4" s="23">
        <v>3445405.07</v>
      </c>
      <c r="D4" s="24">
        <v>44892</v>
      </c>
      <c r="E4" s="381" t="s">
        <v>5</v>
      </c>
      <c r="F4" s="382"/>
      <c r="H4" s="383" t="s">
        <v>6</v>
      </c>
      <c r="I4" s="384"/>
      <c r="J4" s="25"/>
      <c r="K4" s="26"/>
      <c r="L4" s="27"/>
      <c r="M4" s="28" t="s">
        <v>7</v>
      </c>
      <c r="N4" s="29" t="s">
        <v>8</v>
      </c>
      <c r="P4" s="371"/>
      <c r="Q4" s="30" t="s">
        <v>9</v>
      </c>
      <c r="R4" s="380"/>
    </row>
    <row r="5" spans="1:18" ht="18" thickBot="1" x14ac:dyDescent="0.35">
      <c r="A5" s="31" t="s">
        <v>10</v>
      </c>
      <c r="B5" s="32">
        <v>44935</v>
      </c>
      <c r="C5" s="33">
        <v>11218</v>
      </c>
      <c r="D5" s="34" t="s">
        <v>74</v>
      </c>
      <c r="E5" s="35">
        <v>44935</v>
      </c>
      <c r="F5" s="36">
        <v>127608</v>
      </c>
      <c r="G5" s="37"/>
      <c r="H5" s="38">
        <v>44935</v>
      </c>
      <c r="I5" s="39">
        <v>2928</v>
      </c>
      <c r="J5" s="40"/>
      <c r="K5" s="41"/>
      <c r="L5" s="13"/>
      <c r="M5" s="42">
        <f>13000+79666+7446+12582</f>
        <v>112694</v>
      </c>
      <c r="N5" s="43">
        <v>31942</v>
      </c>
      <c r="P5" s="44">
        <f t="shared" ref="P5:P10" si="0">N5+M5+L5+I5+C5</f>
        <v>158782</v>
      </c>
      <c r="Q5" s="45">
        <v>0</v>
      </c>
      <c r="R5" s="282">
        <v>31174</v>
      </c>
    </row>
    <row r="6" spans="1:18" ht="18" thickBot="1" x14ac:dyDescent="0.35">
      <c r="A6" s="31"/>
      <c r="B6" s="32">
        <v>44936</v>
      </c>
      <c r="C6" s="33">
        <v>22768</v>
      </c>
      <c r="D6" s="47" t="s">
        <v>75</v>
      </c>
      <c r="E6" s="35">
        <v>44936</v>
      </c>
      <c r="F6" s="36">
        <v>111443</v>
      </c>
      <c r="G6" s="37"/>
      <c r="H6" s="38">
        <v>44936</v>
      </c>
      <c r="I6" s="39">
        <v>1614</v>
      </c>
      <c r="J6" s="40"/>
      <c r="K6" s="48"/>
      <c r="L6" s="49"/>
      <c r="M6" s="42">
        <v>34020</v>
      </c>
      <c r="N6" s="43">
        <v>53042</v>
      </c>
      <c r="P6" s="49">
        <f t="shared" si="0"/>
        <v>111444</v>
      </c>
      <c r="Q6" s="45">
        <f t="shared" ref="Q6:Q47" si="1">P6-F6</f>
        <v>1</v>
      </c>
      <c r="R6" s="46">
        <v>0</v>
      </c>
    </row>
    <row r="7" spans="1:18" ht="18" thickBot="1" x14ac:dyDescent="0.35">
      <c r="A7" s="31"/>
      <c r="B7" s="32">
        <v>44937</v>
      </c>
      <c r="C7" s="33">
        <v>29284.5</v>
      </c>
      <c r="D7" s="50" t="s">
        <v>76</v>
      </c>
      <c r="E7" s="35">
        <v>44937</v>
      </c>
      <c r="F7" s="36">
        <v>117562</v>
      </c>
      <c r="G7" s="37"/>
      <c r="H7" s="38">
        <v>44937</v>
      </c>
      <c r="I7" s="39">
        <v>1688</v>
      </c>
      <c r="J7" s="40"/>
      <c r="K7" s="48"/>
      <c r="L7" s="49"/>
      <c r="M7" s="42">
        <f>26415.5+15000+11881</f>
        <v>53296.5</v>
      </c>
      <c r="N7" s="43">
        <v>34321</v>
      </c>
      <c r="P7" s="49">
        <f t="shared" si="0"/>
        <v>118590</v>
      </c>
      <c r="Q7" s="45">
        <v>0</v>
      </c>
      <c r="R7" s="282">
        <v>1028</v>
      </c>
    </row>
    <row r="8" spans="1:18" ht="18" thickBot="1" x14ac:dyDescent="0.35">
      <c r="A8" s="31"/>
      <c r="B8" s="32">
        <v>44938</v>
      </c>
      <c r="C8" s="33">
        <v>7310</v>
      </c>
      <c r="D8" s="51" t="s">
        <v>77</v>
      </c>
      <c r="E8" s="35">
        <v>44938</v>
      </c>
      <c r="F8" s="36">
        <v>99136</v>
      </c>
      <c r="G8" s="37"/>
      <c r="H8" s="38">
        <v>44938</v>
      </c>
      <c r="I8" s="39">
        <v>0</v>
      </c>
      <c r="J8" s="52"/>
      <c r="K8" s="48"/>
      <c r="L8" s="49"/>
      <c r="M8" s="42">
        <v>51713</v>
      </c>
      <c r="N8" s="43">
        <v>40113</v>
      </c>
      <c r="P8" s="49">
        <f t="shared" si="0"/>
        <v>99136</v>
      </c>
      <c r="Q8" s="45">
        <f t="shared" si="1"/>
        <v>0</v>
      </c>
      <c r="R8" s="46">
        <v>0</v>
      </c>
    </row>
    <row r="9" spans="1:18" ht="18" thickBot="1" x14ac:dyDescent="0.35">
      <c r="A9" s="31"/>
      <c r="B9" s="32">
        <v>44939</v>
      </c>
      <c r="C9" s="33">
        <v>4244</v>
      </c>
      <c r="D9" s="51" t="s">
        <v>78</v>
      </c>
      <c r="E9" s="35">
        <v>44939</v>
      </c>
      <c r="F9" s="36">
        <v>150671</v>
      </c>
      <c r="G9" s="37"/>
      <c r="H9" s="38">
        <v>44939</v>
      </c>
      <c r="I9" s="39">
        <v>2984</v>
      </c>
      <c r="J9" s="40"/>
      <c r="K9" s="53"/>
      <c r="L9" s="49"/>
      <c r="M9" s="42">
        <v>105552</v>
      </c>
      <c r="N9" s="43">
        <v>39928</v>
      </c>
      <c r="P9" s="49">
        <f t="shared" si="0"/>
        <v>152708</v>
      </c>
      <c r="Q9" s="45">
        <v>0</v>
      </c>
      <c r="R9" s="282">
        <v>2037</v>
      </c>
    </row>
    <row r="10" spans="1:18" ht="18" thickBot="1" x14ac:dyDescent="0.35">
      <c r="A10" s="31"/>
      <c r="B10" s="32">
        <v>44940</v>
      </c>
      <c r="C10" s="33">
        <v>24643</v>
      </c>
      <c r="D10" s="50" t="s">
        <v>79</v>
      </c>
      <c r="E10" s="35">
        <v>44940</v>
      </c>
      <c r="F10" s="36">
        <v>160578</v>
      </c>
      <c r="G10" s="37"/>
      <c r="H10" s="38">
        <v>44940</v>
      </c>
      <c r="I10" s="39">
        <v>2088</v>
      </c>
      <c r="J10" s="40">
        <v>44940</v>
      </c>
      <c r="K10" s="54" t="s">
        <v>80</v>
      </c>
      <c r="L10" s="55">
        <f>18409+3214+300</f>
        <v>21923</v>
      </c>
      <c r="M10" s="42">
        <f>44100+4149</f>
        <v>48249</v>
      </c>
      <c r="N10" s="43">
        <v>63679</v>
      </c>
      <c r="P10" s="49">
        <f t="shared" si="0"/>
        <v>160582</v>
      </c>
      <c r="Q10" s="45">
        <f t="shared" si="1"/>
        <v>4</v>
      </c>
      <c r="R10" s="46">
        <v>0</v>
      </c>
    </row>
    <row r="11" spans="1:18" ht="18" thickBot="1" x14ac:dyDescent="0.35">
      <c r="A11" s="31"/>
      <c r="B11" s="32">
        <v>44941</v>
      </c>
      <c r="C11" s="33">
        <v>17507</v>
      </c>
      <c r="D11" s="47" t="s">
        <v>82</v>
      </c>
      <c r="E11" s="35">
        <v>44941</v>
      </c>
      <c r="F11" s="36">
        <v>121026</v>
      </c>
      <c r="G11" s="37"/>
      <c r="H11" s="38">
        <v>44941</v>
      </c>
      <c r="I11" s="39">
        <v>1500</v>
      </c>
      <c r="J11" s="52"/>
      <c r="K11" s="56"/>
      <c r="L11" s="49"/>
      <c r="M11" s="42">
        <v>41342</v>
      </c>
      <c r="N11" s="43">
        <v>60674</v>
      </c>
      <c r="P11" s="49">
        <f t="shared" ref="P11:P27" si="2">N11+M11+L11+I11+C11</f>
        <v>121023</v>
      </c>
      <c r="Q11" s="45">
        <f t="shared" si="1"/>
        <v>-3</v>
      </c>
      <c r="R11" s="46">
        <v>0</v>
      </c>
    </row>
    <row r="12" spans="1:18" ht="18" thickBot="1" x14ac:dyDescent="0.35">
      <c r="A12" s="31"/>
      <c r="B12" s="32">
        <v>44942</v>
      </c>
      <c r="C12" s="33">
        <v>11293</v>
      </c>
      <c r="D12" s="47" t="s">
        <v>83</v>
      </c>
      <c r="E12" s="35">
        <v>44942</v>
      </c>
      <c r="F12" s="36">
        <v>127155</v>
      </c>
      <c r="G12" s="37"/>
      <c r="H12" s="38">
        <v>44942</v>
      </c>
      <c r="I12" s="39">
        <v>638</v>
      </c>
      <c r="J12" s="40"/>
      <c r="K12" s="57"/>
      <c r="L12" s="49"/>
      <c r="M12" s="42">
        <f>10000+55415+8396</f>
        <v>73811</v>
      </c>
      <c r="N12" s="43">
        <v>41413</v>
      </c>
      <c r="O12" s="192"/>
      <c r="P12" s="49">
        <f t="shared" si="2"/>
        <v>127155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44943</v>
      </c>
      <c r="C13" s="33">
        <v>18179</v>
      </c>
      <c r="D13" s="51" t="s">
        <v>84</v>
      </c>
      <c r="E13" s="35">
        <v>44943</v>
      </c>
      <c r="F13" s="36">
        <v>104143</v>
      </c>
      <c r="G13" s="37"/>
      <c r="H13" s="38">
        <v>44943</v>
      </c>
      <c r="I13" s="39">
        <v>3349</v>
      </c>
      <c r="J13" s="40">
        <v>44943</v>
      </c>
      <c r="K13" s="121" t="s">
        <v>85</v>
      </c>
      <c r="L13" s="49">
        <v>9547</v>
      </c>
      <c r="M13" s="42">
        <v>31220</v>
      </c>
      <c r="N13" s="43">
        <v>41848</v>
      </c>
      <c r="O13" s="192"/>
      <c r="P13" s="49">
        <f>N13+M13+L13+I13+C13</f>
        <v>104143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44944</v>
      </c>
      <c r="C14" s="33">
        <v>19316</v>
      </c>
      <c r="D14" s="50" t="s">
        <v>86</v>
      </c>
      <c r="E14" s="35">
        <v>44944</v>
      </c>
      <c r="F14" s="36">
        <v>122772</v>
      </c>
      <c r="G14" s="37"/>
      <c r="H14" s="38">
        <v>44944</v>
      </c>
      <c r="I14" s="39">
        <v>3399.5</v>
      </c>
      <c r="J14" s="40"/>
      <c r="K14" s="48"/>
      <c r="L14" s="49"/>
      <c r="M14" s="42">
        <f>44430.5+16295</f>
        <v>60725.5</v>
      </c>
      <c r="N14" s="43">
        <v>39331</v>
      </c>
      <c r="O14" s="193"/>
      <c r="P14" s="49">
        <f t="shared" si="2"/>
        <v>122772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44945</v>
      </c>
      <c r="C15" s="33">
        <v>7955</v>
      </c>
      <c r="D15" s="50" t="s">
        <v>87</v>
      </c>
      <c r="E15" s="35">
        <v>44945</v>
      </c>
      <c r="F15" s="36">
        <v>113415</v>
      </c>
      <c r="G15" s="37"/>
      <c r="H15" s="38">
        <v>44945</v>
      </c>
      <c r="I15" s="39">
        <v>3059</v>
      </c>
      <c r="J15" s="40"/>
      <c r="K15" s="48"/>
      <c r="L15" s="49"/>
      <c r="M15" s="42">
        <f>39227+20000</f>
        <v>59227</v>
      </c>
      <c r="N15" s="43">
        <v>43174</v>
      </c>
      <c r="P15" s="49">
        <f t="shared" si="2"/>
        <v>113415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44946</v>
      </c>
      <c r="C16" s="33">
        <v>6095</v>
      </c>
      <c r="D16" s="47" t="s">
        <v>88</v>
      </c>
      <c r="E16" s="35">
        <v>44946</v>
      </c>
      <c r="F16" s="36">
        <v>135526</v>
      </c>
      <c r="G16" s="37"/>
      <c r="H16" s="38">
        <v>44946</v>
      </c>
      <c r="I16" s="39">
        <v>1637.5</v>
      </c>
      <c r="J16" s="40"/>
      <c r="K16" s="57"/>
      <c r="L16" s="13"/>
      <c r="M16" s="42">
        <f>61785.5+20000</f>
        <v>81785.5</v>
      </c>
      <c r="N16" s="43">
        <v>46008</v>
      </c>
      <c r="P16" s="49">
        <f t="shared" si="2"/>
        <v>135526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44947</v>
      </c>
      <c r="C17" s="33">
        <v>35969</v>
      </c>
      <c r="D17" s="51" t="s">
        <v>89</v>
      </c>
      <c r="E17" s="35">
        <v>44947</v>
      </c>
      <c r="F17" s="36">
        <v>135562</v>
      </c>
      <c r="G17" s="37"/>
      <c r="H17" s="38">
        <v>44947</v>
      </c>
      <c r="I17" s="39">
        <v>9870</v>
      </c>
      <c r="J17" s="40">
        <v>44947</v>
      </c>
      <c r="K17" s="48" t="s">
        <v>90</v>
      </c>
      <c r="L17" s="55">
        <v>19262</v>
      </c>
      <c r="M17" s="42">
        <v>17784</v>
      </c>
      <c r="N17" s="43">
        <v>52677</v>
      </c>
      <c r="P17" s="49">
        <f t="shared" si="2"/>
        <v>135562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44948</v>
      </c>
      <c r="C18" s="33">
        <v>650</v>
      </c>
      <c r="D18" s="47" t="s">
        <v>91</v>
      </c>
      <c r="E18" s="35">
        <v>44948</v>
      </c>
      <c r="F18" s="36">
        <v>117598</v>
      </c>
      <c r="G18" s="37"/>
      <c r="H18" s="38">
        <v>44948</v>
      </c>
      <c r="I18" s="39">
        <v>626</v>
      </c>
      <c r="J18" s="40"/>
      <c r="K18" s="58"/>
      <c r="L18" s="49"/>
      <c r="M18" s="42">
        <f>20000+52532</f>
        <v>72532</v>
      </c>
      <c r="N18" s="43">
        <v>43790</v>
      </c>
      <c r="P18" s="49">
        <f t="shared" si="2"/>
        <v>117598</v>
      </c>
      <c r="Q18" s="45">
        <f t="shared" si="1"/>
        <v>0</v>
      </c>
      <c r="R18" s="46">
        <v>0</v>
      </c>
    </row>
    <row r="19" spans="1:19" ht="27.75" thickBot="1" x14ac:dyDescent="0.35">
      <c r="A19" s="31"/>
      <c r="B19" s="32">
        <v>44949</v>
      </c>
      <c r="C19" s="33">
        <v>20579</v>
      </c>
      <c r="D19" s="47" t="s">
        <v>92</v>
      </c>
      <c r="E19" s="35">
        <v>44949</v>
      </c>
      <c r="F19" s="36">
        <v>116443</v>
      </c>
      <c r="G19" s="37"/>
      <c r="H19" s="38">
        <v>44949</v>
      </c>
      <c r="I19" s="39">
        <v>2267</v>
      </c>
      <c r="J19" s="40">
        <v>44949</v>
      </c>
      <c r="K19" s="283" t="s">
        <v>93</v>
      </c>
      <c r="L19" s="59">
        <v>46500</v>
      </c>
      <c r="M19" s="42">
        <f>354+569+802</f>
        <v>1725</v>
      </c>
      <c r="N19" s="43">
        <v>45371</v>
      </c>
      <c r="P19" s="49">
        <f t="shared" si="2"/>
        <v>116442</v>
      </c>
      <c r="Q19" s="45">
        <f t="shared" si="1"/>
        <v>-1</v>
      </c>
      <c r="R19" s="46">
        <v>0</v>
      </c>
    </row>
    <row r="20" spans="1:19" ht="18" customHeight="1" thickBot="1" x14ac:dyDescent="0.35">
      <c r="A20" s="31"/>
      <c r="B20" s="32">
        <v>44950</v>
      </c>
      <c r="C20" s="33">
        <v>31592</v>
      </c>
      <c r="D20" s="47" t="s">
        <v>94</v>
      </c>
      <c r="E20" s="35">
        <v>44950</v>
      </c>
      <c r="F20" s="36">
        <v>111687</v>
      </c>
      <c r="G20" s="37"/>
      <c r="H20" s="38">
        <v>44950</v>
      </c>
      <c r="I20" s="39">
        <v>2245</v>
      </c>
      <c r="J20" s="40"/>
      <c r="K20" s="60"/>
      <c r="L20" s="55"/>
      <c r="M20" s="42">
        <f>38110+1286</f>
        <v>39396</v>
      </c>
      <c r="N20" s="43">
        <v>38454</v>
      </c>
      <c r="P20" s="49">
        <f t="shared" si="2"/>
        <v>111687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44951</v>
      </c>
      <c r="C21" s="33">
        <v>5555</v>
      </c>
      <c r="D21" s="47" t="s">
        <v>95</v>
      </c>
      <c r="E21" s="35">
        <v>44951</v>
      </c>
      <c r="F21" s="36">
        <v>109189</v>
      </c>
      <c r="G21" s="37"/>
      <c r="H21" s="38">
        <v>44951</v>
      </c>
      <c r="I21" s="39">
        <v>1589</v>
      </c>
      <c r="J21" s="40"/>
      <c r="K21" s="61"/>
      <c r="L21" s="55"/>
      <c r="M21" s="42">
        <f>38970+12084+1916+45045+12249.5+10507.5+4172</f>
        <v>124944</v>
      </c>
      <c r="N21" s="43">
        <v>22148</v>
      </c>
      <c r="P21" s="49">
        <f t="shared" si="2"/>
        <v>154236</v>
      </c>
      <c r="Q21" s="45">
        <v>0</v>
      </c>
      <c r="R21" s="282">
        <v>45047</v>
      </c>
    </row>
    <row r="22" spans="1:19" ht="18" thickBot="1" x14ac:dyDescent="0.35">
      <c r="A22" s="31"/>
      <c r="B22" s="32">
        <v>44952</v>
      </c>
      <c r="C22" s="33">
        <v>23324</v>
      </c>
      <c r="D22" s="47" t="s">
        <v>96</v>
      </c>
      <c r="E22" s="35">
        <v>44952</v>
      </c>
      <c r="F22" s="36">
        <v>231927</v>
      </c>
      <c r="G22" s="37"/>
      <c r="H22" s="38">
        <v>44952</v>
      </c>
      <c r="I22" s="39">
        <v>2738</v>
      </c>
      <c r="J22" s="40">
        <v>44952</v>
      </c>
      <c r="K22" s="284" t="s">
        <v>97</v>
      </c>
      <c r="L22" s="62">
        <v>439311.46</v>
      </c>
      <c r="M22" s="42">
        <f>151000+36342+26928+15000</f>
        <v>229270</v>
      </c>
      <c r="N22" s="43">
        <v>29931</v>
      </c>
      <c r="P22" s="49">
        <f t="shared" si="2"/>
        <v>724574.46</v>
      </c>
      <c r="Q22" s="45">
        <v>0</v>
      </c>
      <c r="R22" s="282">
        <v>492648</v>
      </c>
      <c r="S22" s="63"/>
    </row>
    <row r="23" spans="1:19" ht="18" customHeight="1" thickBot="1" x14ac:dyDescent="0.35">
      <c r="A23" s="31"/>
      <c r="B23" s="32">
        <v>44953</v>
      </c>
      <c r="C23" s="33">
        <v>2432</v>
      </c>
      <c r="D23" s="47" t="s">
        <v>98</v>
      </c>
      <c r="E23" s="35">
        <v>44953</v>
      </c>
      <c r="F23" s="36">
        <v>97988</v>
      </c>
      <c r="G23" s="37"/>
      <c r="H23" s="38">
        <v>44953</v>
      </c>
      <c r="I23" s="39">
        <v>3835</v>
      </c>
      <c r="J23" s="64"/>
      <c r="K23" s="65"/>
      <c r="L23" s="55"/>
      <c r="M23" s="42">
        <v>48348</v>
      </c>
      <c r="N23" s="43">
        <v>43373</v>
      </c>
      <c r="P23" s="49">
        <f t="shared" si="2"/>
        <v>97988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44954</v>
      </c>
      <c r="C24" s="33">
        <v>14943</v>
      </c>
      <c r="D24" s="51" t="s">
        <v>99</v>
      </c>
      <c r="E24" s="35">
        <v>44954</v>
      </c>
      <c r="F24" s="36">
        <v>134301</v>
      </c>
      <c r="G24" s="37"/>
      <c r="H24" s="38">
        <v>44954</v>
      </c>
      <c r="I24" s="39">
        <v>4836</v>
      </c>
      <c r="J24" s="66">
        <v>44954</v>
      </c>
      <c r="K24" s="65" t="s">
        <v>100</v>
      </c>
      <c r="L24" s="67">
        <v>18691</v>
      </c>
      <c r="M24" s="42">
        <v>38323</v>
      </c>
      <c r="N24" s="43">
        <v>57308</v>
      </c>
      <c r="P24" s="49">
        <f>N24+M24+L24+I24+C24</f>
        <v>134101</v>
      </c>
      <c r="Q24" s="285">
        <f t="shared" si="1"/>
        <v>-200</v>
      </c>
      <c r="R24" s="46">
        <v>0</v>
      </c>
    </row>
    <row r="25" spans="1:19" ht="18" thickBot="1" x14ac:dyDescent="0.35">
      <c r="A25" s="31"/>
      <c r="B25" s="32">
        <v>44955</v>
      </c>
      <c r="C25" s="33">
        <v>3370</v>
      </c>
      <c r="D25" s="47" t="s">
        <v>101</v>
      </c>
      <c r="E25" s="35">
        <v>44955</v>
      </c>
      <c r="F25" s="36">
        <v>119517</v>
      </c>
      <c r="G25" s="37"/>
      <c r="H25" s="38">
        <v>44955</v>
      </c>
      <c r="I25" s="39">
        <v>420</v>
      </c>
      <c r="J25" s="64"/>
      <c r="K25" s="48"/>
      <c r="L25" s="68"/>
      <c r="M25" s="42">
        <v>73652</v>
      </c>
      <c r="N25" s="43">
        <v>42075</v>
      </c>
      <c r="P25" s="69">
        <f t="shared" si="2"/>
        <v>119517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/>
      <c r="C26" s="33"/>
      <c r="D26" s="47"/>
      <c r="E26" s="35"/>
      <c r="F26" s="36"/>
      <c r="G26" s="37"/>
      <c r="H26" s="38"/>
      <c r="I26" s="39"/>
      <c r="J26" s="40"/>
      <c r="K26" s="70"/>
      <c r="L26" s="71"/>
      <c r="M26" s="42">
        <v>0</v>
      </c>
      <c r="N26" s="43">
        <v>0</v>
      </c>
      <c r="P26" s="69">
        <f t="shared" si="2"/>
        <v>0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/>
      <c r="C27" s="33"/>
      <c r="D27" s="51"/>
      <c r="E27" s="35"/>
      <c r="F27" s="36"/>
      <c r="G27" s="37"/>
      <c r="H27" s="38"/>
      <c r="I27" s="39"/>
      <c r="J27" s="72"/>
      <c r="K27" s="73"/>
      <c r="L27" s="68"/>
      <c r="M27" s="42">
        <v>0</v>
      </c>
      <c r="N27" s="43">
        <v>0</v>
      </c>
      <c r="P27" s="69">
        <f t="shared" si="2"/>
        <v>0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44938</v>
      </c>
      <c r="C28" s="33">
        <v>4025.53</v>
      </c>
      <c r="D28" s="51" t="s">
        <v>91</v>
      </c>
      <c r="E28" s="35"/>
      <c r="F28" s="36"/>
      <c r="G28" s="37"/>
      <c r="H28" s="38"/>
      <c r="I28" s="39"/>
      <c r="J28" s="74">
        <v>44940</v>
      </c>
      <c r="K28" s="85" t="s">
        <v>81</v>
      </c>
      <c r="L28" s="49">
        <v>23711</v>
      </c>
      <c r="M28" s="42">
        <v>0</v>
      </c>
      <c r="N28" s="43">
        <v>0</v>
      </c>
      <c r="P28" s="69">
        <v>0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44944</v>
      </c>
      <c r="C29" s="33">
        <v>200000</v>
      </c>
      <c r="D29" s="333" t="s">
        <v>217</v>
      </c>
      <c r="E29" s="35"/>
      <c r="F29" s="36"/>
      <c r="G29" s="37"/>
      <c r="H29" s="38"/>
      <c r="I29" s="39"/>
      <c r="J29" s="87">
        <v>44947</v>
      </c>
      <c r="K29" s="88" t="s">
        <v>90</v>
      </c>
      <c r="L29" s="89">
        <v>20083.5</v>
      </c>
      <c r="M29" s="42">
        <v>0</v>
      </c>
      <c r="N29" s="43">
        <v>0</v>
      </c>
      <c r="P29" s="69">
        <v>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44945</v>
      </c>
      <c r="C30" s="33">
        <v>2399.15</v>
      </c>
      <c r="D30" s="76" t="s">
        <v>91</v>
      </c>
      <c r="E30" s="35"/>
      <c r="F30" s="36"/>
      <c r="G30" s="37"/>
      <c r="H30" s="38"/>
      <c r="I30" s="39"/>
      <c r="J30" s="74">
        <v>44954</v>
      </c>
      <c r="K30" s="85" t="s">
        <v>100</v>
      </c>
      <c r="L30" s="49">
        <v>19643.560000000001</v>
      </c>
      <c r="M30" s="42">
        <v>0</v>
      </c>
      <c r="N30" s="43">
        <v>0</v>
      </c>
      <c r="P30" s="69">
        <v>0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44945</v>
      </c>
      <c r="C31" s="33">
        <v>45777</v>
      </c>
      <c r="D31" s="83" t="s">
        <v>145</v>
      </c>
      <c r="E31" s="35"/>
      <c r="F31" s="36"/>
      <c r="G31" s="37"/>
      <c r="H31" s="38"/>
      <c r="I31" s="39"/>
      <c r="J31" s="74"/>
      <c r="K31" s="80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44950</v>
      </c>
      <c r="C32" s="33">
        <v>453654.75</v>
      </c>
      <c r="D32" s="79" t="s">
        <v>218</v>
      </c>
      <c r="E32" s="35"/>
      <c r="F32" s="36"/>
      <c r="G32" s="37"/>
      <c r="H32" s="38"/>
      <c r="I32" s="39"/>
      <c r="J32" s="82"/>
      <c r="K32" s="48"/>
      <c r="L32" s="49"/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>
        <v>44950</v>
      </c>
      <c r="C33" s="33">
        <v>204403.20000000001</v>
      </c>
      <c r="D33" s="81" t="s">
        <v>219</v>
      </c>
      <c r="E33" s="35"/>
      <c r="F33" s="36"/>
      <c r="G33" s="37"/>
      <c r="H33" s="38"/>
      <c r="I33" s="39"/>
      <c r="J33" s="74">
        <v>44935</v>
      </c>
      <c r="K33" s="335" t="s">
        <v>214</v>
      </c>
      <c r="L33" s="84">
        <v>31059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44950</v>
      </c>
      <c r="C34" s="33">
        <v>6811.81</v>
      </c>
      <c r="D34" s="83" t="s">
        <v>226</v>
      </c>
      <c r="E34" s="35"/>
      <c r="F34" s="36"/>
      <c r="G34" s="37"/>
      <c r="H34" s="38"/>
      <c r="I34" s="39"/>
      <c r="J34" s="74">
        <v>44932</v>
      </c>
      <c r="K34" s="334" t="s">
        <v>223</v>
      </c>
      <c r="L34" s="49">
        <v>4363.07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87">
        <v>44938</v>
      </c>
      <c r="K35" s="88" t="s">
        <v>215</v>
      </c>
      <c r="L35" s="89">
        <v>18328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91"/>
      <c r="E36" s="35"/>
      <c r="F36" s="36"/>
      <c r="G36" s="92"/>
      <c r="H36" s="38"/>
      <c r="I36" s="39"/>
      <c r="J36" s="74">
        <v>44938</v>
      </c>
      <c r="K36" s="95" t="s">
        <v>224</v>
      </c>
      <c r="L36" s="49">
        <v>1856</v>
      </c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/>
      <c r="C37" s="93"/>
      <c r="D37" s="94"/>
      <c r="E37" s="35"/>
      <c r="F37" s="36"/>
      <c r="G37" s="92"/>
      <c r="H37" s="38"/>
      <c r="I37" s="39"/>
      <c r="J37" s="82">
        <v>44943</v>
      </c>
      <c r="K37" s="95" t="s">
        <v>225</v>
      </c>
      <c r="L37" s="49">
        <v>512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>
        <v>44943</v>
      </c>
      <c r="K38" s="48" t="s">
        <v>221</v>
      </c>
      <c r="L38" s="49">
        <v>6960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74">
        <v>44944</v>
      </c>
      <c r="K39" s="85" t="s">
        <v>216</v>
      </c>
      <c r="L39" s="49">
        <v>7271.18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>
        <v>44950</v>
      </c>
      <c r="K40" s="48" t="s">
        <v>227</v>
      </c>
      <c r="L40" s="49">
        <v>2320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74">
        <v>44950</v>
      </c>
      <c r="K41" s="48" t="s">
        <v>228</v>
      </c>
      <c r="L41" s="49">
        <v>1232.79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74">
        <v>44952</v>
      </c>
      <c r="K42" s="85" t="s">
        <v>216</v>
      </c>
      <c r="L42" s="49">
        <v>8321.48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74">
        <v>44952</v>
      </c>
      <c r="K43" s="125" t="s">
        <v>229</v>
      </c>
      <c r="L43" s="49">
        <v>400000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74">
        <v>44953</v>
      </c>
      <c r="K44" s="125" t="s">
        <v>229</v>
      </c>
      <c r="L44" s="49">
        <v>398750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/>
      <c r="C45" s="93"/>
      <c r="D45" s="102"/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/>
      <c r="C46" s="93"/>
      <c r="D46" s="102"/>
      <c r="E46" s="35"/>
      <c r="F46" s="97"/>
      <c r="G46" s="37"/>
      <c r="H46" s="38"/>
      <c r="I46" s="103"/>
      <c r="J46" s="74"/>
      <c r="K46" s="48"/>
      <c r="L46" s="49"/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74"/>
      <c r="K47" s="48"/>
      <c r="L47" s="49"/>
      <c r="M47" s="99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74"/>
      <c r="K48" s="48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109"/>
      <c r="E49" s="104"/>
      <c r="F49" s="110"/>
      <c r="G49" s="37"/>
      <c r="H49" s="106"/>
      <c r="I49" s="103"/>
      <c r="J49" s="74"/>
      <c r="K49" s="85"/>
      <c r="L49" s="49"/>
      <c r="M49" s="390">
        <f>SUM(M5:M40)</f>
        <v>1399609.5</v>
      </c>
      <c r="N49" s="390">
        <f>SUM(N5:N40)</f>
        <v>910600</v>
      </c>
      <c r="P49" s="111">
        <f>SUM(P5:P40)</f>
        <v>3236981.46</v>
      </c>
      <c r="Q49" s="402">
        <f>SUM(Q5:Q40)</f>
        <v>-199</v>
      </c>
      <c r="R49" s="46">
        <v>0</v>
      </c>
    </row>
    <row r="50" spans="1:18" ht="18" thickBot="1" x14ac:dyDescent="0.35">
      <c r="A50" s="31"/>
      <c r="B50" s="32"/>
      <c r="C50" s="93"/>
      <c r="D50" s="109"/>
      <c r="E50" s="104"/>
      <c r="F50" s="110"/>
      <c r="G50" s="37"/>
      <c r="H50" s="106"/>
      <c r="I50" s="103"/>
      <c r="J50" s="87"/>
      <c r="K50" s="88"/>
      <c r="L50" s="89"/>
      <c r="M50" s="391"/>
      <c r="N50" s="391"/>
      <c r="P50" s="44"/>
      <c r="Q50" s="403"/>
      <c r="R50" s="112">
        <f>SUM(R5:R49)</f>
        <v>571934</v>
      </c>
    </row>
    <row r="51" spans="1:18" ht="18" thickBot="1" x14ac:dyDescent="0.35">
      <c r="A51" s="31"/>
      <c r="B51" s="32"/>
      <c r="C51" s="93"/>
      <c r="D51" s="109"/>
      <c r="E51" s="104"/>
      <c r="F51" s="110"/>
      <c r="G51" s="37"/>
      <c r="H51" s="106"/>
      <c r="I51" s="103"/>
      <c r="J51" s="74"/>
      <c r="K51" s="85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09"/>
      <c r="E52" s="104"/>
      <c r="F52" s="110"/>
      <c r="G52" s="37"/>
      <c r="H52" s="106"/>
      <c r="I52" s="103"/>
      <c r="J52" s="74"/>
      <c r="K52" s="48"/>
      <c r="L52" s="49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74"/>
      <c r="K53" s="48"/>
      <c r="L53" s="49"/>
      <c r="M53" s="368">
        <f>M49+N49</f>
        <v>2310209.5</v>
      </c>
      <c r="N53" s="369"/>
      <c r="P53" s="44"/>
      <c r="Q53" s="19"/>
    </row>
    <row r="54" spans="1:18" ht="18" hidden="1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74"/>
      <c r="K54" s="48"/>
      <c r="L54" s="49"/>
      <c r="M54" s="113"/>
      <c r="N54" s="113"/>
      <c r="P54" s="44"/>
      <c r="Q54" s="19"/>
    </row>
    <row r="55" spans="1:18" ht="18" hidden="1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115"/>
      <c r="K55" s="116"/>
      <c r="L55" s="117"/>
      <c r="M55" s="113"/>
      <c r="N55" s="113"/>
      <c r="P55" s="44"/>
      <c r="Q55" s="19"/>
    </row>
    <row r="56" spans="1:18" ht="18" hidden="1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118"/>
      <c r="K56" s="119"/>
      <c r="L56" s="68"/>
      <c r="M56" s="113"/>
      <c r="N56" s="113"/>
      <c r="P56" s="44"/>
      <c r="Q56" s="19"/>
    </row>
    <row r="57" spans="1:18" ht="18" hidden="1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120"/>
      <c r="K57" s="121"/>
      <c r="L57" s="84"/>
      <c r="M57" s="113"/>
      <c r="N57" s="113"/>
      <c r="P57" s="44"/>
      <c r="Q57" s="19"/>
    </row>
    <row r="58" spans="1:18" ht="18" hidden="1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120"/>
      <c r="K58" s="121"/>
      <c r="L58" s="84"/>
      <c r="M58" s="113"/>
      <c r="N58" s="113"/>
      <c r="P58" s="44"/>
      <c r="Q58" s="19"/>
    </row>
    <row r="59" spans="1:18" ht="18" hidden="1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120"/>
      <c r="K59" s="121"/>
      <c r="L59" s="84"/>
      <c r="M59" s="113"/>
      <c r="N59" s="113"/>
      <c r="P59" s="44"/>
      <c r="Q59" s="19"/>
    </row>
    <row r="60" spans="1:18" ht="18" hidden="1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120"/>
      <c r="K60" s="121"/>
      <c r="L60" s="84"/>
      <c r="M60" s="113"/>
      <c r="N60" s="113"/>
      <c r="P60" s="44"/>
      <c r="Q60" s="19"/>
    </row>
    <row r="61" spans="1:18" ht="18" hidden="1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120"/>
      <c r="K61" s="121"/>
      <c r="L61" s="84"/>
      <c r="M61" s="113"/>
      <c r="N61" s="113"/>
      <c r="P61" s="44"/>
      <c r="Q61" s="19"/>
    </row>
    <row r="62" spans="1:18" ht="18" hidden="1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120"/>
      <c r="K62" s="123"/>
      <c r="L62" s="84"/>
      <c r="M62" s="113"/>
      <c r="N62" s="113"/>
      <c r="P62" s="44"/>
      <c r="Q62" s="19"/>
    </row>
    <row r="63" spans="1:18" ht="18.75" hidden="1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120"/>
      <c r="K63" s="121"/>
      <c r="L63" s="84"/>
      <c r="M63" s="113"/>
      <c r="N63" s="113"/>
      <c r="P63" s="44"/>
      <c r="Q63" s="19"/>
    </row>
    <row r="64" spans="1:18" ht="18" hidden="1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20"/>
      <c r="K64" s="123"/>
      <c r="L64" s="84"/>
      <c r="M64" s="113"/>
      <c r="N64" s="113"/>
      <c r="P64" s="44"/>
      <c r="Q64" s="19"/>
    </row>
    <row r="65" spans="1:17" ht="18" hidden="1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/>
      <c r="K65" s="121"/>
      <c r="L65" s="84"/>
      <c r="M65" s="113"/>
      <c r="N65" s="113"/>
      <c r="P65" s="44"/>
      <c r="Q65" s="19"/>
    </row>
    <row r="66" spans="1:17" ht="18" hidden="1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hidden="1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hidden="1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1235297.9400000002</v>
      </c>
      <c r="D75" s="142"/>
      <c r="E75" s="143" t="s">
        <v>12</v>
      </c>
      <c r="F75" s="144">
        <f>SUM(F5:F68)</f>
        <v>2665247</v>
      </c>
      <c r="G75" s="145"/>
      <c r="H75" s="143" t="s">
        <v>13</v>
      </c>
      <c r="I75" s="146">
        <f>SUM(I5:I68)</f>
        <v>53311</v>
      </c>
      <c r="J75" s="147"/>
      <c r="K75" s="148" t="s">
        <v>14</v>
      </c>
      <c r="L75" s="149">
        <f>SUM(L5:L73)-L26</f>
        <v>1499646.04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398" t="s">
        <v>15</v>
      </c>
      <c r="I77" s="399"/>
      <c r="J77" s="154"/>
      <c r="K77" s="400">
        <f>I75+L75</f>
        <v>1552957.04</v>
      </c>
      <c r="L77" s="401"/>
      <c r="M77" s="155"/>
      <c r="N77" s="155"/>
      <c r="P77" s="44"/>
      <c r="Q77" s="19"/>
    </row>
    <row r="78" spans="1:17" x14ac:dyDescent="0.25">
      <c r="D78" s="392" t="s">
        <v>16</v>
      </c>
      <c r="E78" s="392"/>
      <c r="F78" s="156">
        <f>F75-K77-C75</f>
        <v>-123007.98000000021</v>
      </c>
      <c r="I78" s="157"/>
      <c r="J78" s="158"/>
    </row>
    <row r="79" spans="1:17" ht="18.75" x14ac:dyDescent="0.3">
      <c r="D79" s="393" t="s">
        <v>17</v>
      </c>
      <c r="E79" s="393"/>
      <c r="F79" s="101">
        <v>-1513561.68</v>
      </c>
      <c r="I79" s="394" t="s">
        <v>18</v>
      </c>
      <c r="J79" s="395"/>
      <c r="K79" s="396">
        <f>F81+F82+F83</f>
        <v>1950142.8099999996</v>
      </c>
      <c r="L79" s="396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-60897.599999999999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-1697467.2600000002</v>
      </c>
      <c r="H81" s="168"/>
      <c r="I81" s="169" t="s">
        <v>21</v>
      </c>
      <c r="J81" s="170"/>
      <c r="K81" s="397">
        <f>-C4</f>
        <v>-3445405.07</v>
      </c>
      <c r="L81" s="396"/>
    </row>
    <row r="82" spans="2:14" ht="16.5" thickBot="1" x14ac:dyDescent="0.3">
      <c r="D82" s="171" t="s">
        <v>22</v>
      </c>
      <c r="E82" s="152" t="s">
        <v>23</v>
      </c>
      <c r="F82" s="101">
        <v>143432</v>
      </c>
    </row>
    <row r="83" spans="2:14" ht="20.25" thickTop="1" thickBot="1" x14ac:dyDescent="0.35">
      <c r="C83" s="172">
        <v>44955</v>
      </c>
      <c r="D83" s="385" t="s">
        <v>24</v>
      </c>
      <c r="E83" s="386"/>
      <c r="F83" s="173">
        <v>3504178.07</v>
      </c>
      <c r="I83" s="387" t="s">
        <v>220</v>
      </c>
      <c r="J83" s="388"/>
      <c r="K83" s="389">
        <f>K79+K81</f>
        <v>-1495262.2600000002</v>
      </c>
      <c r="L83" s="389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33:L44">
    <sortCondition ref="J33:J44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123"/>
  <sheetViews>
    <sheetView zoomScale="115" zoomScaleNormal="115"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K29" sqref="K2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7.425781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44924</v>
      </c>
      <c r="C3" s="216" t="s">
        <v>40</v>
      </c>
      <c r="D3" s="217">
        <v>8208</v>
      </c>
      <c r="E3" s="218">
        <v>44971</v>
      </c>
      <c r="F3" s="217">
        <v>8208</v>
      </c>
      <c r="G3" s="219">
        <f>D3-F3</f>
        <v>0</v>
      </c>
      <c r="I3" s="228"/>
      <c r="J3" s="286"/>
      <c r="K3" s="230"/>
      <c r="L3" s="218"/>
      <c r="M3" s="289"/>
      <c r="N3" s="221">
        <f>K3-M3</f>
        <v>0</v>
      </c>
    </row>
    <row r="4" spans="2:14" ht="18.75" x14ac:dyDescent="0.3">
      <c r="B4" s="222">
        <v>44925</v>
      </c>
      <c r="C4" s="223" t="s">
        <v>39</v>
      </c>
      <c r="D4" s="101">
        <v>14274</v>
      </c>
      <c r="E4" s="218">
        <v>44971</v>
      </c>
      <c r="F4" s="101">
        <v>14274</v>
      </c>
      <c r="G4" s="225">
        <f t="shared" ref="G4:G65" si="0">D4-F4</f>
        <v>0</v>
      </c>
      <c r="H4" s="226"/>
      <c r="I4" s="355">
        <v>44925</v>
      </c>
      <c r="J4" s="288">
        <v>11236</v>
      </c>
      <c r="K4" s="289">
        <v>4399.2</v>
      </c>
      <c r="L4" s="307">
        <v>44952</v>
      </c>
      <c r="M4" s="308">
        <v>4399.2</v>
      </c>
      <c r="N4" s="227">
        <f>N3+K4-M4</f>
        <v>0</v>
      </c>
    </row>
    <row r="5" spans="2:14" ht="15.75" x14ac:dyDescent="0.25">
      <c r="B5" s="222">
        <v>44926</v>
      </c>
      <c r="C5" s="223" t="s">
        <v>41</v>
      </c>
      <c r="D5" s="101">
        <v>53412.4</v>
      </c>
      <c r="E5" s="218">
        <v>44971</v>
      </c>
      <c r="F5" s="101">
        <v>53412.4</v>
      </c>
      <c r="G5" s="225">
        <f t="shared" si="0"/>
        <v>0</v>
      </c>
      <c r="I5" s="228" t="s">
        <v>201</v>
      </c>
      <c r="J5" s="286">
        <v>11249</v>
      </c>
      <c r="K5" s="230">
        <v>9310.4</v>
      </c>
      <c r="L5" s="307">
        <v>44952</v>
      </c>
      <c r="M5" s="309">
        <v>9310.4</v>
      </c>
      <c r="N5" s="227">
        <f t="shared" ref="N5:N65" si="1">N4+K5-M5</f>
        <v>0</v>
      </c>
    </row>
    <row r="6" spans="2:14" ht="15.75" x14ac:dyDescent="0.25">
      <c r="B6" s="222">
        <v>44928</v>
      </c>
      <c r="C6" s="223" t="s">
        <v>42</v>
      </c>
      <c r="D6" s="101">
        <v>53055.3</v>
      </c>
      <c r="E6" s="218">
        <v>44971</v>
      </c>
      <c r="F6" s="101">
        <v>53055.3</v>
      </c>
      <c r="G6" s="225">
        <f t="shared" si="0"/>
        <v>0</v>
      </c>
      <c r="I6" s="287" t="s">
        <v>201</v>
      </c>
      <c r="J6" s="288">
        <v>11253</v>
      </c>
      <c r="K6" s="289">
        <v>6726</v>
      </c>
      <c r="L6" s="307">
        <v>44952</v>
      </c>
      <c r="M6" s="308">
        <v>6726</v>
      </c>
      <c r="N6" s="227">
        <f t="shared" si="1"/>
        <v>0</v>
      </c>
    </row>
    <row r="7" spans="2:14" ht="15.75" x14ac:dyDescent="0.25">
      <c r="B7" s="222">
        <v>44929</v>
      </c>
      <c r="C7" s="223" t="s">
        <v>43</v>
      </c>
      <c r="D7" s="101">
        <v>46137.599999999999</v>
      </c>
      <c r="E7" s="218">
        <v>44971</v>
      </c>
      <c r="F7" s="101">
        <v>46137.599999999999</v>
      </c>
      <c r="G7" s="225">
        <f t="shared" si="0"/>
        <v>0</v>
      </c>
      <c r="I7" s="287" t="s">
        <v>202</v>
      </c>
      <c r="J7" s="288">
        <v>11256</v>
      </c>
      <c r="K7" s="289">
        <v>600</v>
      </c>
      <c r="L7" s="307">
        <v>44952</v>
      </c>
      <c r="M7" s="308">
        <v>600</v>
      </c>
      <c r="N7" s="227">
        <f t="shared" si="1"/>
        <v>0</v>
      </c>
    </row>
    <row r="8" spans="2:14" ht="15.75" x14ac:dyDescent="0.25">
      <c r="B8" s="222">
        <v>44929</v>
      </c>
      <c r="C8" s="223" t="s">
        <v>44</v>
      </c>
      <c r="D8" s="101">
        <v>6800</v>
      </c>
      <c r="E8" s="218">
        <v>44971</v>
      </c>
      <c r="F8" s="101">
        <v>6800</v>
      </c>
      <c r="G8" s="225">
        <f t="shared" si="0"/>
        <v>0</v>
      </c>
      <c r="I8" s="228" t="s">
        <v>203</v>
      </c>
      <c r="J8" s="286">
        <v>11260</v>
      </c>
      <c r="K8" s="230">
        <v>9360</v>
      </c>
      <c r="L8" s="307">
        <v>44952</v>
      </c>
      <c r="M8" s="309">
        <v>9360</v>
      </c>
      <c r="N8" s="227">
        <f t="shared" si="1"/>
        <v>0</v>
      </c>
    </row>
    <row r="9" spans="2:14" ht="15.75" x14ac:dyDescent="0.25">
      <c r="B9" s="222">
        <v>44931</v>
      </c>
      <c r="C9" s="223" t="s">
        <v>45</v>
      </c>
      <c r="D9" s="101">
        <v>76020.600000000006</v>
      </c>
      <c r="E9" s="218">
        <v>44971</v>
      </c>
      <c r="F9" s="101">
        <v>76020.600000000006</v>
      </c>
      <c r="G9" s="225">
        <f t="shared" si="0"/>
        <v>0</v>
      </c>
      <c r="I9" s="228" t="s">
        <v>204</v>
      </c>
      <c r="J9" s="286">
        <v>11264</v>
      </c>
      <c r="K9" s="230">
        <v>360</v>
      </c>
      <c r="L9" s="307">
        <v>44952</v>
      </c>
      <c r="M9" s="309">
        <v>360</v>
      </c>
      <c r="N9" s="227">
        <f t="shared" si="1"/>
        <v>0</v>
      </c>
    </row>
    <row r="10" spans="2:14" ht="18.75" x14ac:dyDescent="0.3">
      <c r="B10" s="222">
        <v>44931</v>
      </c>
      <c r="C10" s="223" t="s">
        <v>46</v>
      </c>
      <c r="D10" s="101">
        <v>13312</v>
      </c>
      <c r="E10" s="218">
        <v>44971</v>
      </c>
      <c r="F10" s="101">
        <v>13312</v>
      </c>
      <c r="G10" s="225">
        <f t="shared" si="0"/>
        <v>0</v>
      </c>
      <c r="H10" s="226"/>
      <c r="I10" s="287" t="s">
        <v>205</v>
      </c>
      <c r="J10" s="288">
        <v>11269</v>
      </c>
      <c r="K10" s="289">
        <v>360</v>
      </c>
      <c r="L10" s="307">
        <v>44952</v>
      </c>
      <c r="M10" s="308">
        <v>360</v>
      </c>
      <c r="N10" s="227">
        <f t="shared" si="1"/>
        <v>0</v>
      </c>
    </row>
    <row r="11" spans="2:14" ht="31.5" x14ac:dyDescent="0.25">
      <c r="B11" s="222">
        <v>44932</v>
      </c>
      <c r="C11" s="223" t="s">
        <v>47</v>
      </c>
      <c r="D11" s="101">
        <v>73262.490000000005</v>
      </c>
      <c r="E11" s="332" t="s">
        <v>210</v>
      </c>
      <c r="F11" s="101">
        <f>55584.1+17678.39</f>
        <v>73262.489999999991</v>
      </c>
      <c r="G11" s="225">
        <f t="shared" si="0"/>
        <v>0</v>
      </c>
      <c r="I11" s="287" t="s">
        <v>102</v>
      </c>
      <c r="J11" s="288">
        <v>11277</v>
      </c>
      <c r="K11" s="289">
        <v>9486.4</v>
      </c>
      <c r="L11" s="307">
        <v>44952</v>
      </c>
      <c r="M11" s="308">
        <v>9486.4</v>
      </c>
      <c r="N11" s="227">
        <f t="shared" si="1"/>
        <v>0</v>
      </c>
    </row>
    <row r="12" spans="2:14" ht="15.75" x14ac:dyDescent="0.25">
      <c r="B12" s="222">
        <v>44933</v>
      </c>
      <c r="C12" s="223" t="s">
        <v>48</v>
      </c>
      <c r="D12" s="101">
        <v>16756.8</v>
      </c>
      <c r="E12" s="224">
        <v>44978</v>
      </c>
      <c r="F12" s="101">
        <v>16756.8</v>
      </c>
      <c r="G12" s="225">
        <f t="shared" si="0"/>
        <v>0</v>
      </c>
      <c r="I12" s="287" t="s">
        <v>103</v>
      </c>
      <c r="J12" s="288">
        <v>11291</v>
      </c>
      <c r="K12" s="289">
        <v>3878.4</v>
      </c>
      <c r="L12" s="307">
        <v>44952</v>
      </c>
      <c r="M12" s="308">
        <v>3878.4</v>
      </c>
      <c r="N12" s="227">
        <f t="shared" si="1"/>
        <v>0</v>
      </c>
    </row>
    <row r="13" spans="2:14" ht="15.75" x14ac:dyDescent="0.25">
      <c r="B13" s="222">
        <v>44933</v>
      </c>
      <c r="C13" s="223" t="s">
        <v>49</v>
      </c>
      <c r="D13" s="101">
        <v>4893</v>
      </c>
      <c r="E13" s="224">
        <v>44978</v>
      </c>
      <c r="F13" s="101">
        <v>4893</v>
      </c>
      <c r="G13" s="225">
        <f t="shared" si="0"/>
        <v>0</v>
      </c>
      <c r="I13" s="287" t="s">
        <v>104</v>
      </c>
      <c r="J13" s="288">
        <v>11302</v>
      </c>
      <c r="K13" s="289">
        <v>480</v>
      </c>
      <c r="L13" s="307">
        <v>44952</v>
      </c>
      <c r="M13" s="308">
        <v>480</v>
      </c>
      <c r="N13" s="227">
        <f t="shared" si="1"/>
        <v>0</v>
      </c>
    </row>
    <row r="14" spans="2:14" ht="15.75" x14ac:dyDescent="0.25">
      <c r="B14" s="222">
        <v>44933</v>
      </c>
      <c r="C14" s="223" t="s">
        <v>50</v>
      </c>
      <c r="D14" s="101">
        <v>10042.200000000001</v>
      </c>
      <c r="E14" s="224">
        <v>44978</v>
      </c>
      <c r="F14" s="101">
        <v>10042.200000000001</v>
      </c>
      <c r="G14" s="225">
        <f t="shared" si="0"/>
        <v>0</v>
      </c>
      <c r="I14" s="287" t="s">
        <v>105</v>
      </c>
      <c r="J14" s="288">
        <v>11309</v>
      </c>
      <c r="K14" s="289">
        <v>9404</v>
      </c>
      <c r="L14" s="307">
        <v>44952</v>
      </c>
      <c r="M14" s="308">
        <v>9404</v>
      </c>
      <c r="N14" s="227">
        <f t="shared" si="1"/>
        <v>0</v>
      </c>
    </row>
    <row r="15" spans="2:14" ht="31.5" x14ac:dyDescent="0.25">
      <c r="B15" s="222">
        <v>44935</v>
      </c>
      <c r="C15" s="223" t="s">
        <v>51</v>
      </c>
      <c r="D15" s="101">
        <v>79966.960000000006</v>
      </c>
      <c r="E15" s="332" t="s">
        <v>211</v>
      </c>
      <c r="F15" s="101">
        <f>79615.61+351.35</f>
        <v>79966.960000000006</v>
      </c>
      <c r="G15" s="225">
        <f t="shared" si="0"/>
        <v>0</v>
      </c>
      <c r="I15" s="287" t="s">
        <v>106</v>
      </c>
      <c r="J15" s="288">
        <v>11329</v>
      </c>
      <c r="K15" s="289">
        <v>10195.200000000001</v>
      </c>
      <c r="L15" s="307">
        <v>44952</v>
      </c>
      <c r="M15" s="308">
        <v>10195.200000000001</v>
      </c>
      <c r="N15" s="227">
        <f t="shared" si="1"/>
        <v>0</v>
      </c>
    </row>
    <row r="16" spans="2:14" ht="15.75" x14ac:dyDescent="0.25">
      <c r="B16" s="222">
        <v>44936</v>
      </c>
      <c r="C16" s="223" t="s">
        <v>52</v>
      </c>
      <c r="D16" s="101">
        <v>77309.399999999994</v>
      </c>
      <c r="E16" s="224">
        <v>44984</v>
      </c>
      <c r="F16" s="101">
        <v>77309.399999999994</v>
      </c>
      <c r="G16" s="225">
        <f t="shared" si="0"/>
        <v>0</v>
      </c>
      <c r="I16" s="287" t="s">
        <v>107</v>
      </c>
      <c r="J16" s="288">
        <v>11341</v>
      </c>
      <c r="K16" s="289">
        <v>600</v>
      </c>
      <c r="L16" s="307">
        <v>44952</v>
      </c>
      <c r="M16" s="308">
        <v>600</v>
      </c>
      <c r="N16" s="227">
        <f t="shared" si="1"/>
        <v>0</v>
      </c>
    </row>
    <row r="17" spans="1:14" ht="15.75" x14ac:dyDescent="0.25">
      <c r="B17" s="222">
        <v>44936</v>
      </c>
      <c r="C17" s="223" t="s">
        <v>53</v>
      </c>
      <c r="D17" s="101">
        <v>5629.6</v>
      </c>
      <c r="E17" s="224">
        <v>44984</v>
      </c>
      <c r="F17" s="101">
        <v>5629.6</v>
      </c>
      <c r="G17" s="225">
        <f t="shared" si="0"/>
        <v>0</v>
      </c>
      <c r="I17" s="228" t="s">
        <v>108</v>
      </c>
      <c r="J17" s="286">
        <v>11342</v>
      </c>
      <c r="K17" s="230">
        <v>360</v>
      </c>
      <c r="L17" s="307">
        <v>44952</v>
      </c>
      <c r="M17" s="308">
        <v>360</v>
      </c>
      <c r="N17" s="227">
        <f t="shared" si="1"/>
        <v>0</v>
      </c>
    </row>
    <row r="18" spans="1:14" ht="15.75" x14ac:dyDescent="0.25">
      <c r="B18" s="222">
        <v>44937</v>
      </c>
      <c r="C18" s="223" t="s">
        <v>54</v>
      </c>
      <c r="D18" s="101">
        <v>135787.84</v>
      </c>
      <c r="E18" s="224">
        <v>44984</v>
      </c>
      <c r="F18" s="101">
        <v>135787.84</v>
      </c>
      <c r="G18" s="225">
        <f t="shared" si="0"/>
        <v>0</v>
      </c>
      <c r="I18" s="287" t="s">
        <v>109</v>
      </c>
      <c r="J18" s="288">
        <v>11349</v>
      </c>
      <c r="K18" s="289">
        <v>480</v>
      </c>
      <c r="L18" s="307">
        <v>44952</v>
      </c>
      <c r="M18" s="308">
        <v>480</v>
      </c>
      <c r="N18" s="227">
        <f t="shared" si="1"/>
        <v>0</v>
      </c>
    </row>
    <row r="19" spans="1:14" ht="15.75" x14ac:dyDescent="0.25">
      <c r="B19" s="222">
        <v>44938</v>
      </c>
      <c r="C19" s="223" t="s">
        <v>55</v>
      </c>
      <c r="D19" s="101">
        <v>19678.25</v>
      </c>
      <c r="E19" s="224">
        <v>44984</v>
      </c>
      <c r="F19" s="101">
        <v>19678.25</v>
      </c>
      <c r="G19" s="225">
        <f t="shared" si="0"/>
        <v>0</v>
      </c>
      <c r="I19" s="228" t="s">
        <v>110</v>
      </c>
      <c r="J19" s="286">
        <v>11362</v>
      </c>
      <c r="K19" s="230">
        <v>9720.7999999999993</v>
      </c>
      <c r="L19" s="307">
        <v>44952</v>
      </c>
      <c r="M19" s="308">
        <v>9720.7999999999993</v>
      </c>
      <c r="N19" s="227">
        <f t="shared" si="1"/>
        <v>0</v>
      </c>
    </row>
    <row r="20" spans="1:14" ht="31.5" x14ac:dyDescent="0.25">
      <c r="B20" s="222">
        <v>44939</v>
      </c>
      <c r="C20" s="223" t="s">
        <v>56</v>
      </c>
      <c r="D20" s="101">
        <v>53428.12</v>
      </c>
      <c r="E20" s="332" t="s">
        <v>212</v>
      </c>
      <c r="F20" s="101">
        <f>14697.56+38730.56</f>
        <v>53428.119999999995</v>
      </c>
      <c r="G20" s="225">
        <f t="shared" si="0"/>
        <v>0</v>
      </c>
      <c r="I20" s="228" t="s">
        <v>111</v>
      </c>
      <c r="J20" s="286">
        <v>11376</v>
      </c>
      <c r="K20" s="230">
        <v>480</v>
      </c>
      <c r="L20" s="307">
        <v>44952</v>
      </c>
      <c r="M20" s="308">
        <v>480</v>
      </c>
      <c r="N20" s="227">
        <f t="shared" si="1"/>
        <v>0</v>
      </c>
    </row>
    <row r="21" spans="1:14" ht="15.75" x14ac:dyDescent="0.25">
      <c r="B21" s="222">
        <v>44940</v>
      </c>
      <c r="C21" s="223" t="s">
        <v>57</v>
      </c>
      <c r="D21" s="101">
        <v>58795.82</v>
      </c>
      <c r="E21" s="224">
        <v>44985</v>
      </c>
      <c r="F21" s="101">
        <v>58795.82</v>
      </c>
      <c r="G21" s="225">
        <f t="shared" si="0"/>
        <v>0</v>
      </c>
      <c r="I21" s="287" t="s">
        <v>112</v>
      </c>
      <c r="J21" s="288">
        <v>11390</v>
      </c>
      <c r="K21" s="289">
        <v>480</v>
      </c>
      <c r="L21" s="218"/>
      <c r="M21" s="220"/>
      <c r="N21" s="227">
        <f t="shared" si="1"/>
        <v>480</v>
      </c>
    </row>
    <row r="22" spans="1:14" ht="18.75" x14ac:dyDescent="0.3">
      <c r="B22" s="222">
        <v>44940</v>
      </c>
      <c r="C22" s="223" t="s">
        <v>58</v>
      </c>
      <c r="D22" s="101">
        <v>5615.8</v>
      </c>
      <c r="E22" s="224">
        <v>44985</v>
      </c>
      <c r="F22" s="101">
        <v>5615.8</v>
      </c>
      <c r="G22" s="225">
        <f t="shared" si="0"/>
        <v>0</v>
      </c>
      <c r="H22" s="232"/>
      <c r="I22" s="287" t="s">
        <v>113</v>
      </c>
      <c r="J22" s="288">
        <v>11395</v>
      </c>
      <c r="K22" s="289">
        <v>9412.7999999999993</v>
      </c>
      <c r="L22" s="218"/>
      <c r="M22" s="220"/>
      <c r="N22" s="227">
        <f t="shared" si="1"/>
        <v>9892.7999999999993</v>
      </c>
    </row>
    <row r="23" spans="1:14" ht="15.75" x14ac:dyDescent="0.25">
      <c r="B23" s="222">
        <v>44940</v>
      </c>
      <c r="C23" s="223" t="s">
        <v>59</v>
      </c>
      <c r="D23" s="101">
        <v>6690</v>
      </c>
      <c r="E23" s="224">
        <v>44985</v>
      </c>
      <c r="F23" s="101">
        <v>6690</v>
      </c>
      <c r="G23" s="225">
        <f t="shared" si="0"/>
        <v>0</v>
      </c>
      <c r="H23" s="233"/>
      <c r="I23" s="228" t="s">
        <v>114</v>
      </c>
      <c r="J23" s="286">
        <v>11397</v>
      </c>
      <c r="K23" s="230">
        <v>360</v>
      </c>
      <c r="L23" s="218"/>
      <c r="M23" s="220"/>
      <c r="N23" s="227">
        <f t="shared" si="1"/>
        <v>10252.799999999999</v>
      </c>
    </row>
    <row r="24" spans="1:14" ht="31.5" x14ac:dyDescent="0.25">
      <c r="B24" s="222">
        <v>44942</v>
      </c>
      <c r="C24" s="223" t="s">
        <v>60</v>
      </c>
      <c r="D24" s="101">
        <v>22678.6</v>
      </c>
      <c r="E24" s="332" t="s">
        <v>213</v>
      </c>
      <c r="F24" s="101">
        <f>11490.35+11188.25</f>
        <v>22678.6</v>
      </c>
      <c r="G24" s="225">
        <f t="shared" si="0"/>
        <v>0</v>
      </c>
      <c r="H24" s="233"/>
      <c r="I24" s="287" t="s">
        <v>115</v>
      </c>
      <c r="J24" s="288">
        <v>11407</v>
      </c>
      <c r="K24" s="289">
        <v>480</v>
      </c>
      <c r="L24" s="218"/>
      <c r="M24" s="220"/>
      <c r="N24" s="227">
        <f t="shared" si="1"/>
        <v>10732.8</v>
      </c>
    </row>
    <row r="25" spans="1:14" ht="15.75" x14ac:dyDescent="0.25">
      <c r="B25" s="222">
        <v>44943</v>
      </c>
      <c r="C25" s="223" t="s">
        <v>61</v>
      </c>
      <c r="D25" s="101">
        <v>3581.3</v>
      </c>
      <c r="E25" s="224">
        <v>44988</v>
      </c>
      <c r="F25" s="101">
        <v>3581.3</v>
      </c>
      <c r="G25" s="225">
        <f t="shared" si="0"/>
        <v>0</v>
      </c>
      <c r="H25" s="234"/>
      <c r="I25" s="228" t="s">
        <v>116</v>
      </c>
      <c r="J25" s="286">
        <v>11432</v>
      </c>
      <c r="K25" s="230">
        <v>360</v>
      </c>
      <c r="L25" s="218"/>
      <c r="M25" s="220"/>
      <c r="N25" s="227">
        <f t="shared" si="1"/>
        <v>11092.8</v>
      </c>
    </row>
    <row r="26" spans="1:14" ht="15.75" x14ac:dyDescent="0.25">
      <c r="B26" s="222">
        <v>44944</v>
      </c>
      <c r="C26" s="223" t="s">
        <v>62</v>
      </c>
      <c r="D26" s="101">
        <v>102999.4</v>
      </c>
      <c r="E26" s="224">
        <v>44988</v>
      </c>
      <c r="F26" s="101">
        <v>102999.4</v>
      </c>
      <c r="G26" s="225">
        <f t="shared" si="0"/>
        <v>0</v>
      </c>
      <c r="H26" s="234"/>
      <c r="I26" s="228" t="s">
        <v>116</v>
      </c>
      <c r="J26" s="286">
        <v>11434</v>
      </c>
      <c r="K26" s="230">
        <v>4240</v>
      </c>
      <c r="L26" s="218"/>
      <c r="M26" s="220"/>
      <c r="N26" s="227">
        <f t="shared" si="1"/>
        <v>15332.8</v>
      </c>
    </row>
    <row r="27" spans="1:14" ht="15.75" x14ac:dyDescent="0.25">
      <c r="B27" s="222">
        <v>44945</v>
      </c>
      <c r="C27" s="223" t="s">
        <v>63</v>
      </c>
      <c r="D27" s="101">
        <v>64760.18</v>
      </c>
      <c r="E27" s="224">
        <v>44988</v>
      </c>
      <c r="F27" s="101">
        <v>64760.18</v>
      </c>
      <c r="G27" s="225">
        <f t="shared" si="0"/>
        <v>0</v>
      </c>
      <c r="H27" s="234"/>
      <c r="I27" s="287" t="s">
        <v>117</v>
      </c>
      <c r="J27" s="288">
        <v>11437</v>
      </c>
      <c r="K27" s="289">
        <v>480</v>
      </c>
      <c r="L27" s="218"/>
      <c r="M27" s="220"/>
      <c r="N27" s="227">
        <f t="shared" si="1"/>
        <v>15812.8</v>
      </c>
    </row>
    <row r="28" spans="1:14" ht="17.25" x14ac:dyDescent="0.3">
      <c r="B28" s="222">
        <v>44946</v>
      </c>
      <c r="C28" s="223" t="s">
        <v>64</v>
      </c>
      <c r="D28" s="101">
        <v>59473.8</v>
      </c>
      <c r="E28" s="224">
        <v>44988</v>
      </c>
      <c r="F28" s="101">
        <v>59473.8</v>
      </c>
      <c r="G28" s="225">
        <f t="shared" si="0"/>
        <v>0</v>
      </c>
      <c r="H28" s="234"/>
      <c r="I28" s="228"/>
      <c r="J28" s="286"/>
      <c r="K28" s="230"/>
      <c r="L28" s="218"/>
      <c r="M28" s="231"/>
      <c r="N28" s="227">
        <f t="shared" si="1"/>
        <v>15812.8</v>
      </c>
    </row>
    <row r="29" spans="1:14" ht="17.25" x14ac:dyDescent="0.3">
      <c r="B29" s="222">
        <v>44947</v>
      </c>
      <c r="C29" s="223" t="s">
        <v>65</v>
      </c>
      <c r="D29" s="101">
        <v>110210.4</v>
      </c>
      <c r="E29" s="224">
        <v>44988</v>
      </c>
      <c r="F29" s="101">
        <v>17382.04</v>
      </c>
      <c r="G29" s="225">
        <f t="shared" si="0"/>
        <v>92828.359999999986</v>
      </c>
      <c r="H29" s="234"/>
      <c r="I29" s="287"/>
      <c r="J29" s="288"/>
      <c r="K29" s="289"/>
      <c r="L29" s="218"/>
      <c r="M29" s="231"/>
      <c r="N29" s="227">
        <f t="shared" si="1"/>
        <v>15812.8</v>
      </c>
    </row>
    <row r="30" spans="1:14" ht="15.75" x14ac:dyDescent="0.25">
      <c r="A30" s="31"/>
      <c r="B30" s="222">
        <v>44947</v>
      </c>
      <c r="C30" s="223" t="s">
        <v>66</v>
      </c>
      <c r="D30" s="101">
        <v>40856.28</v>
      </c>
      <c r="E30" s="224"/>
      <c r="F30" s="101"/>
      <c r="G30" s="225">
        <f t="shared" si="0"/>
        <v>40856.28</v>
      </c>
      <c r="H30" s="234"/>
      <c r="I30" s="277"/>
      <c r="J30" s="281"/>
      <c r="K30" s="237"/>
      <c r="L30" s="224"/>
      <c r="M30" s="101"/>
      <c r="N30" s="227">
        <f t="shared" si="1"/>
        <v>15812.8</v>
      </c>
    </row>
    <row r="31" spans="1:14" ht="15.75" x14ac:dyDescent="0.25">
      <c r="B31" s="222">
        <v>44949</v>
      </c>
      <c r="C31" s="223" t="s">
        <v>67</v>
      </c>
      <c r="D31" s="101">
        <v>109016.94</v>
      </c>
      <c r="E31" s="224"/>
      <c r="F31" s="101"/>
      <c r="G31" s="225">
        <f t="shared" si="0"/>
        <v>109016.94</v>
      </c>
      <c r="H31" s="233"/>
      <c r="I31"/>
      <c r="J31"/>
      <c r="K31" s="5">
        <v>0</v>
      </c>
      <c r="L31" s="224"/>
      <c r="M31" s="101"/>
      <c r="N31" s="227">
        <f t="shared" si="1"/>
        <v>15812.8</v>
      </c>
    </row>
    <row r="32" spans="1:14" ht="15.75" x14ac:dyDescent="0.25">
      <c r="B32" s="222">
        <v>44949</v>
      </c>
      <c r="C32" s="223" t="s">
        <v>68</v>
      </c>
      <c r="D32" s="101">
        <v>40107.599999999999</v>
      </c>
      <c r="E32" s="224"/>
      <c r="F32" s="101"/>
      <c r="G32" s="225">
        <f t="shared" si="0"/>
        <v>40107.599999999999</v>
      </c>
      <c r="H32" s="233"/>
      <c r="I32"/>
      <c r="J32"/>
      <c r="K32" s="5">
        <v>0</v>
      </c>
      <c r="L32" s="224"/>
      <c r="M32" s="101"/>
      <c r="N32" s="227">
        <f t="shared" si="1"/>
        <v>15812.8</v>
      </c>
    </row>
    <row r="33" spans="2:14" ht="15.75" x14ac:dyDescent="0.25">
      <c r="B33" s="222">
        <v>44950</v>
      </c>
      <c r="C33" s="223" t="s">
        <v>69</v>
      </c>
      <c r="D33" s="101">
        <v>20728.580000000002</v>
      </c>
      <c r="E33" s="224"/>
      <c r="F33" s="101"/>
      <c r="G33" s="225">
        <f t="shared" si="0"/>
        <v>20728.580000000002</v>
      </c>
      <c r="I33"/>
      <c r="J33"/>
      <c r="K33" s="5">
        <v>0</v>
      </c>
      <c r="L33" s="224"/>
      <c r="M33" s="101"/>
      <c r="N33" s="227">
        <f t="shared" si="1"/>
        <v>15812.8</v>
      </c>
    </row>
    <row r="34" spans="2:14" ht="18.75" x14ac:dyDescent="0.3">
      <c r="B34" s="222">
        <v>44951</v>
      </c>
      <c r="C34" s="223" t="s">
        <v>70</v>
      </c>
      <c r="D34" s="101">
        <v>87951</v>
      </c>
      <c r="E34" s="224"/>
      <c r="F34" s="101"/>
      <c r="G34" s="225">
        <f t="shared" si="0"/>
        <v>87951</v>
      </c>
      <c r="I34"/>
      <c r="J34"/>
      <c r="K34" s="167"/>
      <c r="L34" s="224"/>
      <c r="M34" s="101"/>
      <c r="N34" s="227">
        <f t="shared" si="1"/>
        <v>15812.8</v>
      </c>
    </row>
    <row r="35" spans="2:14" ht="15.75" x14ac:dyDescent="0.25">
      <c r="B35" s="222">
        <v>44952</v>
      </c>
      <c r="C35" s="223" t="s">
        <v>71</v>
      </c>
      <c r="D35" s="101">
        <v>8081.8</v>
      </c>
      <c r="E35" s="224"/>
      <c r="F35" s="101"/>
      <c r="G35" s="225">
        <f t="shared" si="0"/>
        <v>8081.8</v>
      </c>
      <c r="I35" s="235"/>
      <c r="J35" s="236"/>
      <c r="K35" s="237"/>
      <c r="L35" s="224"/>
      <c r="M35" s="101"/>
      <c r="N35" s="227">
        <f t="shared" si="1"/>
        <v>15812.8</v>
      </c>
    </row>
    <row r="36" spans="2:14" ht="15.75" x14ac:dyDescent="0.25">
      <c r="B36" s="222">
        <v>44953</v>
      </c>
      <c r="C36" s="223" t="s">
        <v>72</v>
      </c>
      <c r="D36" s="101">
        <v>14253.22</v>
      </c>
      <c r="E36" s="224"/>
      <c r="F36" s="101"/>
      <c r="G36" s="225">
        <f t="shared" si="0"/>
        <v>14253.22</v>
      </c>
      <c r="I36" s="404"/>
      <c r="J36" s="405"/>
      <c r="K36" s="405"/>
      <c r="L36" s="406"/>
      <c r="M36" s="101"/>
      <c r="N36" s="227">
        <f t="shared" si="1"/>
        <v>15812.8</v>
      </c>
    </row>
    <row r="37" spans="2:14" ht="15.75" x14ac:dyDescent="0.25">
      <c r="B37" s="222">
        <v>44954</v>
      </c>
      <c r="C37" s="223" t="s">
        <v>73</v>
      </c>
      <c r="D37" s="101">
        <v>9786.4</v>
      </c>
      <c r="E37" s="224"/>
      <c r="F37" s="101"/>
      <c r="G37" s="225">
        <f t="shared" si="0"/>
        <v>9786.4</v>
      </c>
      <c r="I37" s="404"/>
      <c r="J37" s="405"/>
      <c r="K37" s="405"/>
      <c r="L37" s="406"/>
      <c r="M37" s="101"/>
      <c r="N37" s="227">
        <f t="shared" si="1"/>
        <v>15812.8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15812.8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15812.8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407" t="s">
        <v>35</v>
      </c>
      <c r="J40" s="408"/>
      <c r="K40" s="84"/>
      <c r="L40" s="238"/>
      <c r="M40" s="84"/>
      <c r="N40" s="227">
        <f t="shared" si="1"/>
        <v>15812.8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409"/>
      <c r="J41" s="410"/>
      <c r="K41" s="84"/>
      <c r="L41" s="238"/>
      <c r="M41" s="84"/>
      <c r="N41" s="227">
        <f t="shared" si="1"/>
        <v>15812.8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411"/>
      <c r="J42" s="412"/>
      <c r="K42" s="84"/>
      <c r="L42" s="238"/>
      <c r="M42" s="84"/>
      <c r="N42" s="227">
        <f t="shared" si="1"/>
        <v>15812.8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15812.8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15812.8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15812.8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15812.8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15812.8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15812.8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15812.8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15812.8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15812.8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15812.8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15812.8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15812.8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15812.8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15812.8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15812.8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15812.8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15812.8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15812.8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15812.8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15812.8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15812.8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15812.8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15812.8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1513561.68</v>
      </c>
      <c r="E67" s="261"/>
      <c r="F67" s="262">
        <f>SUM(F3:F66)</f>
        <v>1089951.5</v>
      </c>
      <c r="G67" s="263">
        <f>SUM(G3:G66)</f>
        <v>423610.18</v>
      </c>
      <c r="I67" s="413" t="s">
        <v>35</v>
      </c>
      <c r="J67" s="414"/>
      <c r="K67" s="264">
        <f>SUM(K3:K66)</f>
        <v>92013.200000000012</v>
      </c>
      <c r="L67" s="265"/>
      <c r="M67" s="266">
        <f>SUM(M3:M66)</f>
        <v>76200.400000000009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417" t="s">
        <v>36</v>
      </c>
      <c r="I68" s="415"/>
      <c r="J68" s="416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418"/>
      <c r="K69" s="1"/>
      <c r="L69" s="269"/>
      <c r="M69" s="5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314"/>
      <c r="M70" s="315"/>
      <c r="N70" s="316"/>
    </row>
    <row r="71" spans="2:14" ht="18.75" x14ac:dyDescent="0.3">
      <c r="B71" s="272"/>
      <c r="C71" s="273"/>
      <c r="D71" s="108"/>
      <c r="F71"/>
      <c r="H71" s="233"/>
      <c r="I71" s="317"/>
      <c r="J71" s="318" t="s">
        <v>206</v>
      </c>
      <c r="K71" s="189"/>
      <c r="L71" s="302"/>
      <c r="M71" s="299"/>
      <c r="N71" s="319"/>
    </row>
    <row r="72" spans="2:14" ht="15" customHeight="1" x14ac:dyDescent="0.25">
      <c r="C72" s="275"/>
      <c r="D72" s="217">
        <v>8208</v>
      </c>
      <c r="E72" s="276"/>
      <c r="F72"/>
      <c r="H72" s="233"/>
      <c r="I72" s="320"/>
      <c r="J72" s="278"/>
      <c r="K72" s="279"/>
      <c r="L72" s="279"/>
      <c r="M72" s="299"/>
      <c r="N72" s="321"/>
    </row>
    <row r="73" spans="2:14" ht="15.75" customHeight="1" x14ac:dyDescent="0.25">
      <c r="C73" s="275"/>
      <c r="D73" s="101">
        <v>14274</v>
      </c>
      <c r="E73" s="276"/>
      <c r="F73"/>
      <c r="H73" s="233"/>
      <c r="I73" s="320"/>
      <c r="J73" s="310" t="s">
        <v>208</v>
      </c>
      <c r="K73" s="279"/>
      <c r="L73" s="279"/>
      <c r="M73" s="295">
        <v>626653.55000000005</v>
      </c>
      <c r="N73" s="321"/>
    </row>
    <row r="74" spans="2:14" ht="15.75" x14ac:dyDescent="0.25">
      <c r="C74" s="275"/>
      <c r="D74" s="101">
        <v>53412.4</v>
      </c>
      <c r="E74" s="276"/>
      <c r="F74"/>
      <c r="H74" s="233"/>
      <c r="I74" s="320"/>
      <c r="J74" s="310" t="s">
        <v>207</v>
      </c>
      <c r="K74" s="279"/>
      <c r="L74" s="279"/>
      <c r="M74" s="295">
        <v>-439311.46</v>
      </c>
      <c r="N74" s="321"/>
    </row>
    <row r="75" spans="2:14" ht="15.75" x14ac:dyDescent="0.25">
      <c r="C75" s="275"/>
      <c r="D75" s="101">
        <v>53055.3</v>
      </c>
      <c r="E75" s="276"/>
      <c r="H75" s="233"/>
      <c r="I75" s="322"/>
      <c r="J75" s="300"/>
      <c r="K75" s="188"/>
      <c r="L75" s="302"/>
      <c r="M75" s="295">
        <v>0</v>
      </c>
      <c r="N75" s="321"/>
    </row>
    <row r="76" spans="2:14" ht="18.75" x14ac:dyDescent="0.3">
      <c r="C76" s="275"/>
      <c r="D76" s="101">
        <v>46137.599999999999</v>
      </c>
      <c r="E76" s="276"/>
      <c r="H76" s="233"/>
      <c r="I76" s="322"/>
      <c r="J76" s="323" t="s">
        <v>209</v>
      </c>
      <c r="K76" s="324"/>
      <c r="L76" s="325"/>
      <c r="M76" s="326">
        <f>SUM(M73:M75)</f>
        <v>187342.09000000003</v>
      </c>
      <c r="N76" s="321"/>
    </row>
    <row r="77" spans="2:14" ht="15.75" x14ac:dyDescent="0.25">
      <c r="C77" s="275"/>
      <c r="D77" s="101">
        <v>6800</v>
      </c>
      <c r="E77" s="276"/>
      <c r="I77" s="327"/>
      <c r="J77" s="299"/>
      <c r="K77" s="299"/>
      <c r="L77" s="298"/>
      <c r="M77" s="295"/>
      <c r="N77" s="321"/>
    </row>
    <row r="78" spans="2:14" ht="15.75" x14ac:dyDescent="0.25">
      <c r="C78" s="275"/>
      <c r="D78" s="101">
        <v>76020.600000000006</v>
      </c>
      <c r="E78" s="276"/>
      <c r="I78" s="327"/>
      <c r="J78" s="299"/>
      <c r="K78" s="299"/>
      <c r="L78" s="298"/>
      <c r="M78" s="299"/>
      <c r="N78" s="321"/>
    </row>
    <row r="79" spans="2:14" ht="16.5" thickBot="1" x14ac:dyDescent="0.3">
      <c r="C79" s="275"/>
      <c r="D79" s="101">
        <v>13312</v>
      </c>
      <c r="E79" s="276"/>
      <c r="I79" s="328"/>
      <c r="J79" s="329"/>
      <c r="K79" s="329"/>
      <c r="L79" s="330"/>
      <c r="M79" s="329"/>
      <c r="N79" s="331"/>
    </row>
    <row r="80" spans="2:14" ht="15.75" x14ac:dyDescent="0.25">
      <c r="C80" s="275"/>
      <c r="D80" s="101">
        <v>55584.1</v>
      </c>
      <c r="E80" s="276"/>
      <c r="I80"/>
      <c r="J80"/>
      <c r="K80"/>
      <c r="M80"/>
      <c r="N80"/>
    </row>
    <row r="81" spans="3:14" ht="15.75" x14ac:dyDescent="0.25">
      <c r="C81" s="271"/>
      <c r="D81" s="101"/>
      <c r="E81" s="276"/>
      <c r="I81"/>
      <c r="J81"/>
      <c r="K81"/>
      <c r="M81"/>
      <c r="N81"/>
    </row>
    <row r="82" spans="3:14" ht="15.75" x14ac:dyDescent="0.25">
      <c r="C82" s="271"/>
      <c r="D82" s="101"/>
      <c r="E82" s="276"/>
      <c r="I82"/>
      <c r="J82"/>
      <c r="K82"/>
      <c r="M82"/>
      <c r="N82"/>
    </row>
    <row r="83" spans="3:14" ht="15.75" x14ac:dyDescent="0.25">
      <c r="C83" s="271"/>
      <c r="D83" s="101"/>
      <c r="E83" s="276"/>
      <c r="I83"/>
      <c r="J83"/>
      <c r="K83"/>
      <c r="M83"/>
      <c r="N83"/>
    </row>
    <row r="84" spans="3:14" ht="15.75" x14ac:dyDescent="0.25">
      <c r="C84" s="271"/>
      <c r="D84" s="101"/>
      <c r="E84" s="276"/>
      <c r="I84"/>
      <c r="J84"/>
      <c r="K84"/>
      <c r="M84"/>
      <c r="N84"/>
    </row>
    <row r="85" spans="3:14" ht="15.75" x14ac:dyDescent="0.25">
      <c r="C85" s="271"/>
      <c r="D85" s="101"/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SUM(D72:D86)</f>
        <v>326804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I73:M74">
    <sortCondition ref="I73:I74"/>
  </sortState>
  <mergeCells count="4">
    <mergeCell ref="I36:L37"/>
    <mergeCell ref="I40:J42"/>
    <mergeCell ref="I67:J68"/>
    <mergeCell ref="G68:G69"/>
  </mergeCells>
  <pageMargins left="0.25" right="0.25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105"/>
  <sheetViews>
    <sheetView tabSelected="1" workbookViewId="0">
      <pane xSplit="3" ySplit="4" topLeftCell="D61" activePane="bottomRight" state="frozen"/>
      <selection pane="topRight" activeCell="D1" sqref="D1"/>
      <selection pane="bottomLeft" activeCell="A5" sqref="A5"/>
      <selection pane="bottomRight" activeCell="K50" sqref="K50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372"/>
      <c r="C1" s="374" t="s">
        <v>120</v>
      </c>
      <c r="D1" s="375"/>
      <c r="E1" s="375"/>
      <c r="F1" s="375"/>
      <c r="G1" s="375"/>
      <c r="H1" s="375"/>
      <c r="I1" s="375"/>
      <c r="J1" s="375"/>
      <c r="K1" s="375"/>
      <c r="L1" s="375"/>
      <c r="M1" s="375"/>
    </row>
    <row r="2" spans="1:18" ht="16.5" thickBot="1" x14ac:dyDescent="0.3">
      <c r="B2" s="373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376" t="s">
        <v>0</v>
      </c>
      <c r="C3" s="377"/>
      <c r="D3" s="14"/>
      <c r="E3" s="15"/>
      <c r="F3" s="16"/>
      <c r="H3" s="378" t="s">
        <v>1</v>
      </c>
      <c r="I3" s="378"/>
      <c r="K3" s="18"/>
      <c r="L3" s="19"/>
      <c r="M3" s="20"/>
      <c r="P3" s="370" t="s">
        <v>2</v>
      </c>
      <c r="R3" s="379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381" t="s">
        <v>5</v>
      </c>
      <c r="F4" s="382"/>
      <c r="H4" s="383" t="s">
        <v>6</v>
      </c>
      <c r="I4" s="384"/>
      <c r="J4" s="25"/>
      <c r="K4" s="26"/>
      <c r="L4" s="27"/>
      <c r="M4" s="28" t="s">
        <v>7</v>
      </c>
      <c r="N4" s="29" t="s">
        <v>8</v>
      </c>
      <c r="P4" s="371"/>
      <c r="Q4" s="30" t="s">
        <v>9</v>
      </c>
      <c r="R4" s="380"/>
    </row>
    <row r="5" spans="1:18" ht="18" thickBot="1" x14ac:dyDescent="0.35">
      <c r="A5" s="31" t="s">
        <v>10</v>
      </c>
      <c r="B5" s="32">
        <v>44956</v>
      </c>
      <c r="C5" s="33">
        <v>15098</v>
      </c>
      <c r="D5" s="34" t="s">
        <v>121</v>
      </c>
      <c r="E5" s="35">
        <v>44956</v>
      </c>
      <c r="F5" s="36">
        <v>128030</v>
      </c>
      <c r="G5" s="37"/>
      <c r="H5" s="38">
        <v>44956</v>
      </c>
      <c r="I5" s="39">
        <v>708</v>
      </c>
      <c r="J5" s="40"/>
      <c r="K5" s="41"/>
      <c r="L5" s="13"/>
      <c r="M5" s="42">
        <f>10000+42400+13905.5</f>
        <v>66305.5</v>
      </c>
      <c r="N5" s="43">
        <v>45922</v>
      </c>
      <c r="P5" s="44">
        <f t="shared" ref="P5:P10" si="0">N5+M5+L5+I5+C5</f>
        <v>128033.5</v>
      </c>
      <c r="Q5" s="45">
        <f t="shared" ref="Q5:Q47" si="1">P5-F5</f>
        <v>3.5</v>
      </c>
      <c r="R5" s="46">
        <v>0</v>
      </c>
    </row>
    <row r="6" spans="1:18" ht="18" thickBot="1" x14ac:dyDescent="0.35">
      <c r="A6" s="31"/>
      <c r="B6" s="32">
        <v>44957</v>
      </c>
      <c r="C6" s="33">
        <v>11767.5</v>
      </c>
      <c r="D6" s="47" t="s">
        <v>122</v>
      </c>
      <c r="E6" s="35">
        <v>44957</v>
      </c>
      <c r="F6" s="36">
        <v>121278</v>
      </c>
      <c r="G6" s="37"/>
      <c r="H6" s="38">
        <v>44957</v>
      </c>
      <c r="I6" s="39">
        <v>1601</v>
      </c>
      <c r="J6" s="40"/>
      <c r="K6" s="48"/>
      <c r="L6" s="49"/>
      <c r="M6" s="42">
        <v>56409.5</v>
      </c>
      <c r="N6" s="43">
        <v>51500</v>
      </c>
      <c r="P6" s="49">
        <f t="shared" si="0"/>
        <v>121278</v>
      </c>
      <c r="Q6" s="45">
        <f t="shared" si="1"/>
        <v>0</v>
      </c>
      <c r="R6" s="46">
        <v>0</v>
      </c>
    </row>
    <row r="7" spans="1:18" ht="18" thickBot="1" x14ac:dyDescent="0.35">
      <c r="A7" s="31"/>
      <c r="B7" s="32">
        <v>44958</v>
      </c>
      <c r="C7" s="33">
        <v>13717</v>
      </c>
      <c r="D7" s="50" t="s">
        <v>123</v>
      </c>
      <c r="E7" s="35">
        <v>44958</v>
      </c>
      <c r="F7" s="36">
        <v>137059</v>
      </c>
      <c r="G7" s="37"/>
      <c r="H7" s="38">
        <v>44958</v>
      </c>
      <c r="I7" s="39">
        <v>946</v>
      </c>
      <c r="J7" s="40"/>
      <c r="K7" s="48"/>
      <c r="L7" s="49"/>
      <c r="M7" s="42">
        <f>35000+57301+10056</f>
        <v>102357</v>
      </c>
      <c r="N7" s="43">
        <v>33213</v>
      </c>
      <c r="P7" s="49">
        <f t="shared" si="0"/>
        <v>150233</v>
      </c>
      <c r="Q7" s="45">
        <v>0</v>
      </c>
      <c r="R7" s="282">
        <v>13174</v>
      </c>
    </row>
    <row r="8" spans="1:18" ht="18" thickBot="1" x14ac:dyDescent="0.35">
      <c r="A8" s="31"/>
      <c r="B8" s="32">
        <v>44959</v>
      </c>
      <c r="C8" s="33">
        <v>22436</v>
      </c>
      <c r="D8" s="51" t="s">
        <v>124</v>
      </c>
      <c r="E8" s="35">
        <v>44959</v>
      </c>
      <c r="F8" s="36">
        <v>99872</v>
      </c>
      <c r="G8" s="37"/>
      <c r="H8" s="38">
        <v>44959</v>
      </c>
      <c r="I8" s="39">
        <v>934</v>
      </c>
      <c r="J8" s="52"/>
      <c r="K8" s="48"/>
      <c r="L8" s="49"/>
      <c r="M8" s="42">
        <v>49319</v>
      </c>
      <c r="N8" s="43">
        <v>30576</v>
      </c>
      <c r="P8" s="49">
        <f t="shared" si="0"/>
        <v>103265</v>
      </c>
      <c r="Q8" s="45">
        <v>0</v>
      </c>
      <c r="R8" s="282">
        <v>3393</v>
      </c>
    </row>
    <row r="9" spans="1:18" ht="18" thickBot="1" x14ac:dyDescent="0.35">
      <c r="A9" s="31"/>
      <c r="B9" s="32">
        <v>44960</v>
      </c>
      <c r="C9" s="33">
        <v>6103</v>
      </c>
      <c r="D9" s="51" t="s">
        <v>125</v>
      </c>
      <c r="E9" s="35">
        <v>44960</v>
      </c>
      <c r="F9" s="36">
        <v>138587</v>
      </c>
      <c r="G9" s="37"/>
      <c r="H9" s="38">
        <v>44960</v>
      </c>
      <c r="I9" s="39">
        <v>3175.5</v>
      </c>
      <c r="J9" s="40"/>
      <c r="K9" s="53"/>
      <c r="L9" s="49"/>
      <c r="M9" s="42">
        <f>48737.5+30000+492+3914</f>
        <v>83143.5</v>
      </c>
      <c r="N9" s="43">
        <v>46165</v>
      </c>
      <c r="P9" s="49">
        <f t="shared" si="0"/>
        <v>138587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44961</v>
      </c>
      <c r="C10" s="33">
        <v>12977</v>
      </c>
      <c r="D10" s="50" t="s">
        <v>126</v>
      </c>
      <c r="E10" s="35">
        <v>44961</v>
      </c>
      <c r="F10" s="36">
        <v>149140</v>
      </c>
      <c r="G10" s="37"/>
      <c r="H10" s="38">
        <v>44961</v>
      </c>
      <c r="I10" s="39">
        <v>8245</v>
      </c>
      <c r="J10" s="40">
        <v>44961</v>
      </c>
      <c r="K10" s="54" t="s">
        <v>127</v>
      </c>
      <c r="L10" s="55">
        <v>15945</v>
      </c>
      <c r="M10" s="42">
        <f>42680+7684</f>
        <v>50364</v>
      </c>
      <c r="N10" s="43">
        <v>61609</v>
      </c>
      <c r="P10" s="49">
        <f t="shared" si="0"/>
        <v>149140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44962</v>
      </c>
      <c r="C11" s="33">
        <v>20503</v>
      </c>
      <c r="D11" s="47" t="s">
        <v>129</v>
      </c>
      <c r="E11" s="35">
        <v>44962</v>
      </c>
      <c r="F11" s="36">
        <v>104071</v>
      </c>
      <c r="G11" s="37"/>
      <c r="H11" s="38">
        <v>44962</v>
      </c>
      <c r="I11" s="39">
        <v>1672.5</v>
      </c>
      <c r="J11" s="52"/>
      <c r="K11" s="56"/>
      <c r="L11" s="49"/>
      <c r="M11" s="42">
        <v>31716.5</v>
      </c>
      <c r="N11" s="43">
        <v>50179</v>
      </c>
      <c r="P11" s="49">
        <f t="shared" ref="P11:P40" si="2">N11+M11+L11+I11+C11</f>
        <v>104071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44963</v>
      </c>
      <c r="C12" s="33">
        <v>31207</v>
      </c>
      <c r="D12" s="47" t="s">
        <v>130</v>
      </c>
      <c r="E12" s="35">
        <v>44963</v>
      </c>
      <c r="F12" s="36">
        <v>123799</v>
      </c>
      <c r="G12" s="37"/>
      <c r="H12" s="38">
        <v>44963</v>
      </c>
      <c r="I12" s="39">
        <v>1668</v>
      </c>
      <c r="J12" s="40"/>
      <c r="K12" s="57"/>
      <c r="L12" s="49"/>
      <c r="M12" s="42">
        <f>25000+29845</f>
        <v>54845</v>
      </c>
      <c r="N12" s="43">
        <v>36079</v>
      </c>
      <c r="O12" s="192"/>
      <c r="P12" s="49">
        <f t="shared" si="2"/>
        <v>123799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44964</v>
      </c>
      <c r="C13" s="33">
        <v>10671</v>
      </c>
      <c r="D13" s="51" t="s">
        <v>131</v>
      </c>
      <c r="E13" s="35">
        <v>44964</v>
      </c>
      <c r="F13" s="36">
        <v>152604</v>
      </c>
      <c r="G13" s="37"/>
      <c r="H13" s="38">
        <v>44964</v>
      </c>
      <c r="I13" s="39">
        <v>180</v>
      </c>
      <c r="J13" s="40"/>
      <c r="K13" s="121"/>
      <c r="L13" s="49"/>
      <c r="M13" s="42">
        <f>52192+21660</f>
        <v>73852</v>
      </c>
      <c r="N13" s="43">
        <v>67901</v>
      </c>
      <c r="O13" s="192"/>
      <c r="P13" s="49">
        <f>N13+M13+L13+I13+C13</f>
        <v>152604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44965</v>
      </c>
      <c r="C14" s="33">
        <v>22243</v>
      </c>
      <c r="D14" s="50" t="s">
        <v>132</v>
      </c>
      <c r="E14" s="35">
        <v>44965</v>
      </c>
      <c r="F14" s="36">
        <v>158933</v>
      </c>
      <c r="G14" s="37"/>
      <c r="H14" s="38">
        <v>44965</v>
      </c>
      <c r="I14" s="39">
        <v>1020</v>
      </c>
      <c r="J14" s="40"/>
      <c r="K14" s="48"/>
      <c r="L14" s="49"/>
      <c r="M14" s="42">
        <f>56614+23000+20098</f>
        <v>99712</v>
      </c>
      <c r="N14" s="43">
        <v>35958</v>
      </c>
      <c r="O14" s="193"/>
      <c r="P14" s="49">
        <f t="shared" si="2"/>
        <v>158933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44966</v>
      </c>
      <c r="C15" s="33">
        <v>6414</v>
      </c>
      <c r="D15" s="50" t="s">
        <v>133</v>
      </c>
      <c r="E15" s="35">
        <v>44966</v>
      </c>
      <c r="F15" s="36">
        <v>110600</v>
      </c>
      <c r="G15" s="37"/>
      <c r="H15" s="38">
        <v>44966</v>
      </c>
      <c r="I15" s="39">
        <v>1453</v>
      </c>
      <c r="J15" s="40"/>
      <c r="K15" s="48"/>
      <c r="L15" s="49"/>
      <c r="M15" s="42">
        <f>20000+39288</f>
        <v>59288</v>
      </c>
      <c r="N15" s="43">
        <v>43445</v>
      </c>
      <c r="P15" s="49">
        <f t="shared" si="2"/>
        <v>110600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44967</v>
      </c>
      <c r="C16" s="33">
        <v>8683</v>
      </c>
      <c r="D16" s="47" t="s">
        <v>134</v>
      </c>
      <c r="E16" s="35">
        <v>44967</v>
      </c>
      <c r="F16" s="36">
        <v>116861</v>
      </c>
      <c r="G16" s="37"/>
      <c r="H16" s="38">
        <v>44967</v>
      </c>
      <c r="I16" s="39">
        <v>757</v>
      </c>
      <c r="J16" s="40"/>
      <c r="K16" s="57"/>
      <c r="L16" s="13"/>
      <c r="M16" s="42">
        <f>60322+5877.22+1257</f>
        <v>67456.22</v>
      </c>
      <c r="N16" s="43">
        <v>39965</v>
      </c>
      <c r="P16" s="49">
        <f t="shared" si="2"/>
        <v>116861.22</v>
      </c>
      <c r="Q16" s="45">
        <f t="shared" si="1"/>
        <v>0.22000000000116415</v>
      </c>
      <c r="R16" s="46">
        <v>0</v>
      </c>
    </row>
    <row r="17" spans="1:19" ht="18" thickBot="1" x14ac:dyDescent="0.35">
      <c r="A17" s="31"/>
      <c r="B17" s="32">
        <v>44968</v>
      </c>
      <c r="C17" s="33">
        <v>26225</v>
      </c>
      <c r="D17" s="51" t="s">
        <v>135</v>
      </c>
      <c r="E17" s="35">
        <v>44968</v>
      </c>
      <c r="F17" s="36">
        <v>151929</v>
      </c>
      <c r="G17" s="37"/>
      <c r="H17" s="38">
        <v>44968</v>
      </c>
      <c r="I17" s="39">
        <v>4497</v>
      </c>
      <c r="J17" s="40">
        <v>44968</v>
      </c>
      <c r="K17" s="48" t="s">
        <v>136</v>
      </c>
      <c r="L17" s="55">
        <f>19793+4904</f>
        <v>24697</v>
      </c>
      <c r="M17" s="42">
        <v>31638</v>
      </c>
      <c r="N17" s="43">
        <v>64872</v>
      </c>
      <c r="O17" s="2" t="s">
        <v>10</v>
      </c>
      <c r="P17" s="49">
        <f t="shared" si="2"/>
        <v>151929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44969</v>
      </c>
      <c r="C18" s="33">
        <v>7321</v>
      </c>
      <c r="D18" s="47" t="s">
        <v>138</v>
      </c>
      <c r="E18" s="35">
        <v>44969</v>
      </c>
      <c r="F18" s="36">
        <v>121998</v>
      </c>
      <c r="G18" s="37"/>
      <c r="H18" s="38">
        <v>44969</v>
      </c>
      <c r="I18" s="39">
        <v>950</v>
      </c>
      <c r="J18" s="40"/>
      <c r="K18" s="58"/>
      <c r="L18" s="49"/>
      <c r="M18" s="42">
        <f>15000+41549+200</f>
        <v>56749</v>
      </c>
      <c r="N18" s="43">
        <v>57178</v>
      </c>
      <c r="P18" s="49">
        <f t="shared" si="2"/>
        <v>122198</v>
      </c>
      <c r="Q18" s="45">
        <v>0</v>
      </c>
      <c r="R18" s="46">
        <v>0</v>
      </c>
    </row>
    <row r="19" spans="1:19" ht="18" thickBot="1" x14ac:dyDescent="0.35">
      <c r="A19" s="31"/>
      <c r="B19" s="32">
        <v>44970</v>
      </c>
      <c r="C19" s="33">
        <v>32429</v>
      </c>
      <c r="D19" s="47" t="s">
        <v>139</v>
      </c>
      <c r="E19" s="35">
        <v>44970</v>
      </c>
      <c r="F19" s="36">
        <v>104330</v>
      </c>
      <c r="G19" s="37"/>
      <c r="H19" s="38">
        <v>44970</v>
      </c>
      <c r="I19" s="39">
        <v>2463</v>
      </c>
      <c r="J19" s="40"/>
      <c r="K19" s="291"/>
      <c r="L19" s="59"/>
      <c r="M19" s="42">
        <f>27948+8729</f>
        <v>36677</v>
      </c>
      <c r="N19" s="43">
        <v>32761</v>
      </c>
      <c r="P19" s="49">
        <f t="shared" si="2"/>
        <v>104330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44971</v>
      </c>
      <c r="C20" s="33">
        <v>27173</v>
      </c>
      <c r="D20" s="47" t="s">
        <v>140</v>
      </c>
      <c r="E20" s="35">
        <v>44971</v>
      </c>
      <c r="F20" s="36">
        <v>116483</v>
      </c>
      <c r="G20" s="37"/>
      <c r="H20" s="38">
        <v>44971</v>
      </c>
      <c r="I20" s="39">
        <v>536</v>
      </c>
      <c r="J20" s="40"/>
      <c r="K20" s="60"/>
      <c r="L20" s="55"/>
      <c r="M20" s="42">
        <f>47588</f>
        <v>47588</v>
      </c>
      <c r="N20" s="43">
        <v>41186</v>
      </c>
      <c r="P20" s="49">
        <f t="shared" si="2"/>
        <v>116483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44972</v>
      </c>
      <c r="C21" s="33">
        <v>24313.5</v>
      </c>
      <c r="D21" s="47" t="s">
        <v>141</v>
      </c>
      <c r="E21" s="35">
        <v>44972</v>
      </c>
      <c r="F21" s="36">
        <v>108127</v>
      </c>
      <c r="G21" s="37"/>
      <c r="H21" s="38">
        <v>44972</v>
      </c>
      <c r="I21" s="39">
        <v>3409</v>
      </c>
      <c r="J21" s="40"/>
      <c r="K21" s="61"/>
      <c r="L21" s="55"/>
      <c r="M21" s="42">
        <v>36545.5</v>
      </c>
      <c r="N21" s="43">
        <v>43859</v>
      </c>
      <c r="O21" s="2" t="s">
        <v>142</v>
      </c>
      <c r="P21" s="49">
        <f t="shared" si="2"/>
        <v>108127</v>
      </c>
      <c r="Q21" s="45">
        <f t="shared" si="1"/>
        <v>0</v>
      </c>
      <c r="R21" s="46">
        <v>0</v>
      </c>
    </row>
    <row r="22" spans="1:19" ht="18" thickBot="1" x14ac:dyDescent="0.35">
      <c r="A22" s="31"/>
      <c r="B22" s="32">
        <v>44973</v>
      </c>
      <c r="C22" s="33">
        <v>18073</v>
      </c>
      <c r="D22" s="47" t="s">
        <v>143</v>
      </c>
      <c r="E22" s="35">
        <v>44973</v>
      </c>
      <c r="F22" s="36">
        <v>88411</v>
      </c>
      <c r="G22" s="37"/>
      <c r="H22" s="38">
        <v>44973</v>
      </c>
      <c r="I22" s="39">
        <v>953</v>
      </c>
      <c r="J22" s="40"/>
      <c r="K22" s="292"/>
      <c r="L22" s="62"/>
      <c r="M22" s="42">
        <f>18454.5+25683.5</f>
        <v>44138</v>
      </c>
      <c r="N22" s="43">
        <v>25247</v>
      </c>
      <c r="O22" s="2" t="s">
        <v>144</v>
      </c>
      <c r="P22" s="49">
        <f t="shared" si="2"/>
        <v>88411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44974</v>
      </c>
      <c r="C23" s="33">
        <v>18281</v>
      </c>
      <c r="D23" s="47" t="s">
        <v>146</v>
      </c>
      <c r="E23" s="35">
        <v>44974</v>
      </c>
      <c r="F23" s="36">
        <v>113106</v>
      </c>
      <c r="G23" s="37"/>
      <c r="H23" s="38">
        <v>44974</v>
      </c>
      <c r="I23" s="39">
        <v>4804</v>
      </c>
      <c r="J23" s="64"/>
      <c r="K23" s="65"/>
      <c r="L23" s="55"/>
      <c r="M23" s="42">
        <f>45894+4486</f>
        <v>50380</v>
      </c>
      <c r="N23" s="43">
        <v>39641</v>
      </c>
      <c r="P23" s="49">
        <f t="shared" si="2"/>
        <v>113106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44975</v>
      </c>
      <c r="C24" s="33">
        <v>18377</v>
      </c>
      <c r="D24" s="51" t="s">
        <v>147</v>
      </c>
      <c r="E24" s="35">
        <v>44975</v>
      </c>
      <c r="F24" s="36">
        <v>137262</v>
      </c>
      <c r="G24" s="37"/>
      <c r="H24" s="38">
        <v>44975</v>
      </c>
      <c r="I24" s="39">
        <v>4963.5</v>
      </c>
      <c r="J24" s="66">
        <v>44975</v>
      </c>
      <c r="K24" s="65" t="s">
        <v>148</v>
      </c>
      <c r="L24" s="67">
        <v>14718</v>
      </c>
      <c r="M24" s="42">
        <v>42408.5</v>
      </c>
      <c r="N24" s="43">
        <v>56795</v>
      </c>
      <c r="P24" s="49">
        <f>N24+M24+L24+I24+C24</f>
        <v>137262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44976</v>
      </c>
      <c r="C25" s="33">
        <v>8731</v>
      </c>
      <c r="D25" s="47" t="s">
        <v>129</v>
      </c>
      <c r="E25" s="35">
        <v>44976</v>
      </c>
      <c r="F25" s="36">
        <v>106557</v>
      </c>
      <c r="G25" s="37"/>
      <c r="H25" s="38">
        <v>44976</v>
      </c>
      <c r="I25" s="39">
        <v>3302</v>
      </c>
      <c r="J25" s="64"/>
      <c r="K25" s="48"/>
      <c r="L25" s="68"/>
      <c r="M25" s="42">
        <v>60371</v>
      </c>
      <c r="N25" s="43">
        <v>34153</v>
      </c>
      <c r="P25" s="69">
        <f t="shared" si="2"/>
        <v>106557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44977</v>
      </c>
      <c r="C26" s="33">
        <v>16832.5</v>
      </c>
      <c r="D26" s="47" t="s">
        <v>150</v>
      </c>
      <c r="E26" s="35">
        <v>44977</v>
      </c>
      <c r="F26" s="36">
        <v>95986</v>
      </c>
      <c r="G26" s="37"/>
      <c r="H26" s="38">
        <v>44977</v>
      </c>
      <c r="I26" s="39">
        <v>2386</v>
      </c>
      <c r="J26" s="40"/>
      <c r="K26" s="70"/>
      <c r="L26" s="71"/>
      <c r="M26" s="42">
        <v>36667.5</v>
      </c>
      <c r="N26" s="43">
        <v>40100</v>
      </c>
      <c r="P26" s="69">
        <f t="shared" si="2"/>
        <v>95986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44978</v>
      </c>
      <c r="C27" s="33">
        <v>19897.5</v>
      </c>
      <c r="D27" s="51" t="s">
        <v>151</v>
      </c>
      <c r="E27" s="35">
        <v>44978</v>
      </c>
      <c r="F27" s="36">
        <v>114836</v>
      </c>
      <c r="G27" s="37"/>
      <c r="H27" s="38">
        <v>44978</v>
      </c>
      <c r="I27" s="39">
        <v>2758</v>
      </c>
      <c r="J27" s="72"/>
      <c r="K27" s="73"/>
      <c r="L27" s="68"/>
      <c r="M27" s="42">
        <f>37369.5+10580</f>
        <v>47949.5</v>
      </c>
      <c r="N27" s="43">
        <v>44231</v>
      </c>
      <c r="P27" s="69">
        <f t="shared" si="2"/>
        <v>114836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44979</v>
      </c>
      <c r="C28" s="33">
        <v>9195</v>
      </c>
      <c r="D28" s="51" t="s">
        <v>152</v>
      </c>
      <c r="E28" s="35">
        <v>44979</v>
      </c>
      <c r="F28" s="36">
        <v>88291</v>
      </c>
      <c r="G28" s="37"/>
      <c r="H28" s="38">
        <v>44979</v>
      </c>
      <c r="I28" s="39">
        <v>4173</v>
      </c>
      <c r="J28" s="74"/>
      <c r="K28" s="75"/>
      <c r="L28" s="68"/>
      <c r="M28" s="42">
        <f>40263+4633.65</f>
        <v>44896.65</v>
      </c>
      <c r="N28" s="43">
        <v>30026</v>
      </c>
      <c r="P28" s="69">
        <f t="shared" si="2"/>
        <v>88290.65</v>
      </c>
      <c r="Q28" s="45">
        <f t="shared" si="1"/>
        <v>-0.35000000000582077</v>
      </c>
      <c r="R28" s="46">
        <v>0</v>
      </c>
    </row>
    <row r="29" spans="1:19" ht="18" thickBot="1" x14ac:dyDescent="0.35">
      <c r="A29" s="31"/>
      <c r="B29" s="32">
        <v>44980</v>
      </c>
      <c r="C29" s="33">
        <v>14088</v>
      </c>
      <c r="D29" s="76" t="s">
        <v>153</v>
      </c>
      <c r="E29" s="35">
        <v>44980</v>
      </c>
      <c r="F29" s="36">
        <v>124393</v>
      </c>
      <c r="G29" s="37"/>
      <c r="H29" s="38">
        <v>44980</v>
      </c>
      <c r="I29" s="39">
        <v>1093</v>
      </c>
      <c r="J29" s="77"/>
      <c r="K29" s="78"/>
      <c r="L29" s="68"/>
      <c r="M29" s="42">
        <v>78783</v>
      </c>
      <c r="N29" s="43">
        <v>30429</v>
      </c>
      <c r="P29" s="69">
        <f t="shared" si="2"/>
        <v>124393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44981</v>
      </c>
      <c r="C30" s="33">
        <v>9312.5</v>
      </c>
      <c r="D30" s="76" t="s">
        <v>154</v>
      </c>
      <c r="E30" s="35">
        <v>44981</v>
      </c>
      <c r="F30" s="36">
        <v>102902</v>
      </c>
      <c r="G30" s="37"/>
      <c r="H30" s="38">
        <v>44981</v>
      </c>
      <c r="I30" s="39">
        <v>5003</v>
      </c>
      <c r="J30" s="74"/>
      <c r="K30" s="48"/>
      <c r="L30" s="49"/>
      <c r="M30" s="42">
        <v>55595.5</v>
      </c>
      <c r="N30" s="43">
        <v>32991</v>
      </c>
      <c r="P30" s="69">
        <f t="shared" si="2"/>
        <v>102902</v>
      </c>
      <c r="Q30" s="45" t="s">
        <v>11</v>
      </c>
      <c r="R30" s="46">
        <v>0</v>
      </c>
    </row>
    <row r="31" spans="1:19" ht="18" thickBot="1" x14ac:dyDescent="0.35">
      <c r="A31" s="31"/>
      <c r="B31" s="32">
        <v>44982</v>
      </c>
      <c r="C31" s="33">
        <v>2128</v>
      </c>
      <c r="D31" s="79" t="s">
        <v>155</v>
      </c>
      <c r="E31" s="35">
        <v>44982</v>
      </c>
      <c r="F31" s="36">
        <v>158795</v>
      </c>
      <c r="G31" s="37"/>
      <c r="H31" s="38">
        <v>44982</v>
      </c>
      <c r="I31" s="39">
        <v>2941</v>
      </c>
      <c r="J31" s="74">
        <v>44982</v>
      </c>
      <c r="K31" s="80" t="s">
        <v>156</v>
      </c>
      <c r="L31" s="68">
        <v>16111</v>
      </c>
      <c r="M31" s="42">
        <f>4074+61653</f>
        <v>65727</v>
      </c>
      <c r="N31" s="43">
        <v>71888</v>
      </c>
      <c r="P31" s="69">
        <f t="shared" si="2"/>
        <v>158795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44983</v>
      </c>
      <c r="C32" s="33">
        <v>6257</v>
      </c>
      <c r="D32" s="305" t="s">
        <v>158</v>
      </c>
      <c r="E32" s="35">
        <v>44983</v>
      </c>
      <c r="F32" s="36">
        <v>93682</v>
      </c>
      <c r="G32" s="37"/>
      <c r="H32" s="38">
        <v>44983</v>
      </c>
      <c r="I32" s="39">
        <v>1898</v>
      </c>
      <c r="J32" s="82"/>
      <c r="K32" s="48"/>
      <c r="L32" s="49"/>
      <c r="M32" s="42">
        <v>55700</v>
      </c>
      <c r="N32" s="43">
        <v>29828</v>
      </c>
      <c r="P32" s="69">
        <f t="shared" si="2"/>
        <v>93683</v>
      </c>
      <c r="Q32" s="45">
        <f t="shared" si="1"/>
        <v>1</v>
      </c>
      <c r="R32" s="46">
        <v>0</v>
      </c>
    </row>
    <row r="33" spans="1:19" ht="18" thickBot="1" x14ac:dyDescent="0.35">
      <c r="A33" s="31"/>
      <c r="B33" s="32">
        <v>44984</v>
      </c>
      <c r="C33" s="33">
        <v>28069</v>
      </c>
      <c r="D33" s="83" t="s">
        <v>159</v>
      </c>
      <c r="E33" s="35">
        <v>44984</v>
      </c>
      <c r="F33" s="36">
        <v>143797</v>
      </c>
      <c r="G33" s="37"/>
      <c r="H33" s="38">
        <v>44984</v>
      </c>
      <c r="I33" s="39">
        <v>1074</v>
      </c>
      <c r="J33" s="74">
        <v>44984</v>
      </c>
      <c r="K33" s="306" t="s">
        <v>160</v>
      </c>
      <c r="L33" s="84">
        <v>10000</v>
      </c>
      <c r="M33" s="42">
        <f>40670+13374</f>
        <v>54044</v>
      </c>
      <c r="N33" s="43">
        <v>50610</v>
      </c>
      <c r="P33" s="69">
        <f t="shared" si="2"/>
        <v>143797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44985</v>
      </c>
      <c r="C34" s="33">
        <v>8261</v>
      </c>
      <c r="D34" s="83" t="s">
        <v>161</v>
      </c>
      <c r="E34" s="35">
        <v>44985</v>
      </c>
      <c r="F34" s="36">
        <v>110726</v>
      </c>
      <c r="G34" s="37"/>
      <c r="H34" s="38">
        <v>44985</v>
      </c>
      <c r="I34" s="39">
        <v>1831</v>
      </c>
      <c r="J34" s="74"/>
      <c r="K34" s="85"/>
      <c r="L34" s="49"/>
      <c r="M34" s="42">
        <f>63172+2544+469</f>
        <v>66185</v>
      </c>
      <c r="N34" s="43">
        <v>34449</v>
      </c>
      <c r="P34" s="69">
        <f t="shared" si="2"/>
        <v>110726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44986</v>
      </c>
      <c r="C35" s="86">
        <v>15096</v>
      </c>
      <c r="D35" s="79" t="s">
        <v>162</v>
      </c>
      <c r="E35" s="35">
        <v>44986</v>
      </c>
      <c r="F35" s="36">
        <v>129583</v>
      </c>
      <c r="G35" s="37"/>
      <c r="H35" s="38">
        <v>44986</v>
      </c>
      <c r="I35" s="39">
        <v>1171</v>
      </c>
      <c r="J35" s="87"/>
      <c r="K35" s="88"/>
      <c r="L35" s="89"/>
      <c r="M35" s="42">
        <f>99843+6835.5</f>
        <v>106678.5</v>
      </c>
      <c r="N35" s="43">
        <v>5637</v>
      </c>
      <c r="P35" s="69">
        <f t="shared" si="2"/>
        <v>128582.5</v>
      </c>
      <c r="Q35" s="285">
        <f t="shared" si="1"/>
        <v>-1000.5</v>
      </c>
      <c r="R35" s="46">
        <v>0</v>
      </c>
    </row>
    <row r="36" spans="1:19" ht="18" customHeight="1" thickTop="1" thickBot="1" x14ac:dyDescent="0.35">
      <c r="A36" s="31"/>
      <c r="B36" s="32">
        <v>44987</v>
      </c>
      <c r="C36" s="90">
        <v>21050</v>
      </c>
      <c r="D36" s="91" t="s">
        <v>163</v>
      </c>
      <c r="E36" s="35">
        <v>44987</v>
      </c>
      <c r="F36" s="36">
        <v>96003</v>
      </c>
      <c r="G36" s="92"/>
      <c r="H36" s="38">
        <v>44987</v>
      </c>
      <c r="I36" s="39">
        <v>1438</v>
      </c>
      <c r="J36" s="74"/>
      <c r="K36" s="85"/>
      <c r="L36" s="49"/>
      <c r="M36" s="42">
        <f>223+73292</f>
        <v>73515</v>
      </c>
      <c r="N36" s="43">
        <v>0</v>
      </c>
      <c r="P36" s="69">
        <f t="shared" si="2"/>
        <v>96003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44988</v>
      </c>
      <c r="C37" s="93">
        <v>7007</v>
      </c>
      <c r="D37" s="94" t="s">
        <v>164</v>
      </c>
      <c r="E37" s="35">
        <v>44988</v>
      </c>
      <c r="F37" s="36">
        <v>92756</v>
      </c>
      <c r="G37" s="92"/>
      <c r="H37" s="38">
        <v>44988</v>
      </c>
      <c r="I37" s="39">
        <v>1872</v>
      </c>
      <c r="J37" s="74"/>
      <c r="K37" s="85"/>
      <c r="L37" s="49"/>
      <c r="M37" s="42">
        <v>77333</v>
      </c>
      <c r="N37" s="43">
        <v>6544</v>
      </c>
      <c r="P37" s="69">
        <f t="shared" si="2"/>
        <v>92756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/>
      <c r="K38" s="95"/>
      <c r="L38" s="49"/>
      <c r="M38" s="42">
        <v>0</v>
      </c>
      <c r="N38" s="43">
        <v>0</v>
      </c>
      <c r="P38" s="69">
        <f t="shared" si="2"/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82"/>
      <c r="K39" s="95"/>
      <c r="L39" s="49"/>
      <c r="M39" s="42">
        <v>0</v>
      </c>
      <c r="N39" s="43">
        <v>0</v>
      </c>
      <c r="P39" s="69">
        <f t="shared" si="2"/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/>
      <c r="K40" s="48"/>
      <c r="L40" s="49"/>
      <c r="M40" s="42">
        <v>0</v>
      </c>
      <c r="N40" s="43">
        <v>0</v>
      </c>
      <c r="P40" s="69">
        <f t="shared" si="2"/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365">
        <v>44961</v>
      </c>
      <c r="K41" s="366" t="s">
        <v>128</v>
      </c>
      <c r="L41" s="367">
        <v>23359.65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65">
        <v>44968</v>
      </c>
      <c r="K42" s="366" t="s">
        <v>137</v>
      </c>
      <c r="L42" s="367">
        <v>25599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65">
        <v>44975</v>
      </c>
      <c r="K43" s="366" t="s">
        <v>148</v>
      </c>
      <c r="L43" s="367">
        <v>24057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65">
        <v>44982</v>
      </c>
      <c r="K44" s="366" t="s">
        <v>157</v>
      </c>
      <c r="L44" s="367">
        <v>23456.5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44966</v>
      </c>
      <c r="C45" s="93">
        <f>17650+8308+4544+2469+10246</f>
        <v>43217</v>
      </c>
      <c r="D45" s="102" t="s">
        <v>145</v>
      </c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44971</v>
      </c>
      <c r="C46" s="93">
        <v>200000</v>
      </c>
      <c r="D46" s="114" t="s">
        <v>232</v>
      </c>
      <c r="E46" s="35"/>
      <c r="F46" s="97"/>
      <c r="G46" s="37"/>
      <c r="H46" s="38"/>
      <c r="I46" s="103"/>
      <c r="J46" s="74">
        <v>44956</v>
      </c>
      <c r="K46" s="121" t="s">
        <v>221</v>
      </c>
      <c r="L46" s="49">
        <v>28000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44972</v>
      </c>
      <c r="C47" s="93">
        <v>102381</v>
      </c>
      <c r="D47" s="114" t="s">
        <v>232</v>
      </c>
      <c r="E47" s="104"/>
      <c r="F47" s="105"/>
      <c r="G47" s="37"/>
      <c r="H47" s="106"/>
      <c r="I47" s="103"/>
      <c r="J47" s="74">
        <v>44957</v>
      </c>
      <c r="K47" s="121" t="s">
        <v>222</v>
      </c>
      <c r="L47" s="49">
        <v>7617.72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44972</v>
      </c>
      <c r="C48" s="93">
        <v>130732.8</v>
      </c>
      <c r="D48" s="102" t="s">
        <v>234</v>
      </c>
      <c r="E48" s="104"/>
      <c r="F48" s="105"/>
      <c r="G48" s="37"/>
      <c r="H48" s="106"/>
      <c r="I48" s="103"/>
      <c r="J48" s="74">
        <v>44958</v>
      </c>
      <c r="K48" s="121" t="s">
        <v>230</v>
      </c>
      <c r="L48" s="49">
        <v>7344.44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44984</v>
      </c>
      <c r="C49" s="93">
        <v>200000</v>
      </c>
      <c r="D49" s="109" t="s">
        <v>236</v>
      </c>
      <c r="E49" s="104"/>
      <c r="F49" s="110"/>
      <c r="G49" s="37"/>
      <c r="H49" s="106"/>
      <c r="I49" s="103"/>
      <c r="J49" s="74">
        <v>44965</v>
      </c>
      <c r="K49" s="336" t="s">
        <v>336</v>
      </c>
      <c r="L49" s="49">
        <v>5160.4799999999996</v>
      </c>
      <c r="M49" s="390">
        <f>SUM(M5:M40)</f>
        <v>1964337.8699999999</v>
      </c>
      <c r="N49" s="390">
        <f>SUM(N5:N40)</f>
        <v>1314937</v>
      </c>
      <c r="P49" s="111">
        <f>SUM(P5:P40)</f>
        <v>3956557.8699999996</v>
      </c>
      <c r="Q49" s="402">
        <f>SUM(Q5:Q40)</f>
        <v>-996.13000000000466</v>
      </c>
      <c r="R49" s="46">
        <v>0</v>
      </c>
    </row>
    <row r="50" spans="1:18" ht="18" thickBot="1" x14ac:dyDescent="0.35">
      <c r="A50" s="31"/>
      <c r="B50" s="32">
        <v>44987</v>
      </c>
      <c r="C50" s="93">
        <v>121132.8</v>
      </c>
      <c r="D50" s="109" t="s">
        <v>232</v>
      </c>
      <c r="E50" s="104"/>
      <c r="F50" s="110"/>
      <c r="G50" s="37"/>
      <c r="H50" s="106"/>
      <c r="I50" s="103"/>
      <c r="J50" s="87">
        <v>44966</v>
      </c>
      <c r="K50" s="344" t="s">
        <v>337</v>
      </c>
      <c r="L50" s="89">
        <v>4412</v>
      </c>
      <c r="M50" s="391"/>
      <c r="N50" s="391"/>
      <c r="P50" s="44"/>
      <c r="Q50" s="403"/>
      <c r="R50" s="112">
        <f>SUM(R5:R49)</f>
        <v>16567</v>
      </c>
    </row>
    <row r="51" spans="1:18" ht="18" thickBot="1" x14ac:dyDescent="0.35">
      <c r="A51" s="31"/>
      <c r="B51" s="32">
        <v>44966</v>
      </c>
      <c r="C51" s="93">
        <v>8308</v>
      </c>
      <c r="D51" s="109" t="s">
        <v>339</v>
      </c>
      <c r="E51" s="104"/>
      <c r="F51" s="110"/>
      <c r="G51" s="37"/>
      <c r="H51" s="106"/>
      <c r="I51" s="103"/>
      <c r="J51" s="74">
        <v>44967</v>
      </c>
      <c r="K51" s="85" t="s">
        <v>231</v>
      </c>
      <c r="L51" s="49">
        <v>1856</v>
      </c>
      <c r="M51" s="113"/>
      <c r="N51" s="113"/>
      <c r="P51" s="44"/>
      <c r="Q51" s="19"/>
    </row>
    <row r="52" spans="1:18" ht="18" thickBot="1" x14ac:dyDescent="0.35">
      <c r="A52" s="31"/>
      <c r="B52" s="32">
        <v>44966</v>
      </c>
      <c r="C52" s="93">
        <v>2469</v>
      </c>
      <c r="D52" s="109" t="s">
        <v>339</v>
      </c>
      <c r="E52" s="104"/>
      <c r="F52" s="110"/>
      <c r="G52" s="37"/>
      <c r="H52" s="106"/>
      <c r="I52" s="103"/>
      <c r="J52" s="74">
        <v>44970</v>
      </c>
      <c r="K52" s="121" t="s">
        <v>344</v>
      </c>
      <c r="L52" s="49">
        <v>14476.75</v>
      </c>
      <c r="M52" s="113"/>
      <c r="N52" s="113"/>
      <c r="P52" s="44"/>
      <c r="Q52" s="19"/>
    </row>
    <row r="53" spans="1:18" ht="18" thickBot="1" x14ac:dyDescent="0.35">
      <c r="A53" s="31"/>
      <c r="B53" s="32">
        <v>44966</v>
      </c>
      <c r="C53" s="93">
        <v>4544</v>
      </c>
      <c r="D53" s="109" t="s">
        <v>339</v>
      </c>
      <c r="E53" s="104"/>
      <c r="F53" s="110"/>
      <c r="G53" s="37"/>
      <c r="H53" s="106"/>
      <c r="I53" s="103"/>
      <c r="J53" s="74">
        <v>44971</v>
      </c>
      <c r="K53" s="85" t="s">
        <v>233</v>
      </c>
      <c r="L53" s="49">
        <v>4698</v>
      </c>
      <c r="M53" s="368">
        <f>M49+N49</f>
        <v>3279274.87</v>
      </c>
      <c r="N53" s="369"/>
      <c r="P53" s="44"/>
      <c r="Q53" s="19"/>
    </row>
    <row r="54" spans="1:18" ht="18" thickBot="1" x14ac:dyDescent="0.35">
      <c r="A54" s="31"/>
      <c r="B54" s="32">
        <v>44966</v>
      </c>
      <c r="C54" s="93">
        <v>10246</v>
      </c>
      <c r="D54" s="114" t="s">
        <v>338</v>
      </c>
      <c r="E54" s="104"/>
      <c r="F54" s="110"/>
      <c r="G54" s="37"/>
      <c r="H54" s="106"/>
      <c r="I54" s="103" t="s">
        <v>346</v>
      </c>
      <c r="J54" s="74">
        <v>44971</v>
      </c>
      <c r="K54" s="121" t="s">
        <v>345</v>
      </c>
      <c r="L54" s="49">
        <v>75864</v>
      </c>
      <c r="M54" s="113"/>
      <c r="N54" s="113"/>
      <c r="P54" s="44"/>
      <c r="Q54" s="19"/>
    </row>
    <row r="55" spans="1:18" ht="18" thickBot="1" x14ac:dyDescent="0.35">
      <c r="A55" s="31"/>
      <c r="B55" s="32">
        <v>44966</v>
      </c>
      <c r="C55" s="93">
        <v>17650</v>
      </c>
      <c r="D55" s="114" t="s">
        <v>340</v>
      </c>
      <c r="E55" s="104"/>
      <c r="F55" s="110"/>
      <c r="G55" s="37"/>
      <c r="H55" s="106"/>
      <c r="I55" s="103"/>
      <c r="J55" s="74">
        <v>44973</v>
      </c>
      <c r="K55" s="123" t="s">
        <v>344</v>
      </c>
      <c r="L55" s="49">
        <v>5070.82</v>
      </c>
      <c r="M55" s="113"/>
      <c r="N55" s="113"/>
      <c r="P55" s="44"/>
      <c r="Q55" s="19"/>
    </row>
    <row r="56" spans="1:18" ht="18" thickBot="1" x14ac:dyDescent="0.35">
      <c r="A56" s="31"/>
      <c r="B56" s="32">
        <v>44966</v>
      </c>
      <c r="C56" s="93">
        <v>2613.8000000000002</v>
      </c>
      <c r="D56" s="114" t="s">
        <v>341</v>
      </c>
      <c r="E56" s="104"/>
      <c r="F56" s="110"/>
      <c r="G56" s="37"/>
      <c r="H56" s="106"/>
      <c r="I56" s="103"/>
      <c r="J56" s="120">
        <v>44974</v>
      </c>
      <c r="K56" s="85" t="s">
        <v>221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>
        <v>44967</v>
      </c>
      <c r="C57" s="93">
        <v>2656.6</v>
      </c>
      <c r="D57" s="114" t="s">
        <v>342</v>
      </c>
      <c r="E57" s="104"/>
      <c r="F57" s="110"/>
      <c r="G57" s="37"/>
      <c r="H57" s="106"/>
      <c r="I57" s="103"/>
      <c r="J57" s="120">
        <v>44977</v>
      </c>
      <c r="K57" s="48" t="s">
        <v>235</v>
      </c>
      <c r="L57" s="84">
        <v>8178</v>
      </c>
      <c r="M57" s="113"/>
      <c r="N57" s="113"/>
      <c r="P57" s="44"/>
      <c r="Q57" s="19"/>
    </row>
    <row r="58" spans="1:18" ht="18" thickBot="1" x14ac:dyDescent="0.35">
      <c r="A58" s="31"/>
      <c r="B58" s="32">
        <v>44967</v>
      </c>
      <c r="C58" s="93">
        <v>1727.2</v>
      </c>
      <c r="D58" s="114" t="s">
        <v>343</v>
      </c>
      <c r="E58" s="104"/>
      <c r="F58" s="110"/>
      <c r="G58" s="37"/>
      <c r="H58" s="106"/>
      <c r="I58" s="103"/>
      <c r="J58" s="120">
        <v>44977</v>
      </c>
      <c r="K58" s="121" t="s">
        <v>233</v>
      </c>
      <c r="L58" s="84">
        <v>3340</v>
      </c>
      <c r="M58" s="113"/>
      <c r="N58" s="113"/>
      <c r="P58" s="44"/>
      <c r="Q58" s="19"/>
    </row>
    <row r="59" spans="1:18" ht="18" thickBot="1" x14ac:dyDescent="0.35">
      <c r="A59" s="31"/>
      <c r="B59" s="32">
        <v>44973</v>
      </c>
      <c r="C59" s="93">
        <v>32450</v>
      </c>
      <c r="D59" s="114" t="s">
        <v>347</v>
      </c>
      <c r="E59" s="104"/>
      <c r="F59" s="110"/>
      <c r="G59" s="37"/>
      <c r="H59" s="106"/>
      <c r="I59" s="103"/>
      <c r="J59" s="120">
        <v>44980</v>
      </c>
      <c r="K59" s="121" t="s">
        <v>228</v>
      </c>
      <c r="L59" s="84">
        <v>1381.27</v>
      </c>
      <c r="M59" s="113"/>
      <c r="N59" s="113"/>
      <c r="P59" s="44"/>
      <c r="Q59" s="19"/>
    </row>
    <row r="60" spans="1:18" ht="18" thickBot="1" x14ac:dyDescent="0.35">
      <c r="A60" s="31"/>
      <c r="B60" s="32">
        <v>44977</v>
      </c>
      <c r="C60" s="93">
        <v>32450</v>
      </c>
      <c r="D60" s="114" t="s">
        <v>347</v>
      </c>
      <c r="E60" s="104"/>
      <c r="F60" s="110"/>
      <c r="G60" s="37"/>
      <c r="H60" s="106"/>
      <c r="I60" s="103"/>
      <c r="J60" s="120">
        <v>44980</v>
      </c>
      <c r="K60" s="121" t="s">
        <v>350</v>
      </c>
      <c r="L60" s="84">
        <v>15767.99</v>
      </c>
      <c r="M60" s="113"/>
      <c r="N60" s="113"/>
      <c r="P60" s="44"/>
      <c r="Q60" s="19"/>
    </row>
    <row r="61" spans="1:18" ht="18" thickBot="1" x14ac:dyDescent="0.35">
      <c r="A61" s="31"/>
      <c r="B61" s="32">
        <v>44979</v>
      </c>
      <c r="C61" s="93">
        <v>9900.3799999999992</v>
      </c>
      <c r="D61" s="114" t="s">
        <v>348</v>
      </c>
      <c r="E61" s="104"/>
      <c r="F61" s="110"/>
      <c r="G61" s="37"/>
      <c r="H61" s="106"/>
      <c r="I61" s="103"/>
      <c r="J61" s="120">
        <v>44981</v>
      </c>
      <c r="K61" s="123" t="s">
        <v>351</v>
      </c>
      <c r="L61" s="84">
        <v>3906.88</v>
      </c>
      <c r="M61" s="113"/>
      <c r="N61" s="113"/>
      <c r="P61" s="44"/>
      <c r="Q61" s="19"/>
    </row>
    <row r="62" spans="1:18" ht="18" thickBot="1" x14ac:dyDescent="0.35">
      <c r="A62" s="31"/>
      <c r="B62" s="32">
        <v>44980</v>
      </c>
      <c r="C62" s="122">
        <v>4795.68</v>
      </c>
      <c r="D62" s="114" t="s">
        <v>349</v>
      </c>
      <c r="E62" s="104"/>
      <c r="F62" s="110"/>
      <c r="G62" s="37"/>
      <c r="H62" s="106"/>
      <c r="I62" s="103"/>
      <c r="J62" s="120">
        <v>44984</v>
      </c>
      <c r="K62" s="121" t="s">
        <v>227</v>
      </c>
      <c r="L62" s="84">
        <v>2320</v>
      </c>
      <c r="M62" s="113"/>
      <c r="N62" s="113"/>
      <c r="P62" s="44"/>
      <c r="Q62" s="19"/>
    </row>
    <row r="63" spans="1:18" ht="18.75" thickTop="1" thickBot="1" x14ac:dyDescent="0.35">
      <c r="A63" s="31"/>
      <c r="B63" s="32">
        <v>44987</v>
      </c>
      <c r="C63" s="124">
        <v>27214</v>
      </c>
      <c r="D63" s="114" t="s">
        <v>353</v>
      </c>
      <c r="E63" s="104"/>
      <c r="F63" s="110"/>
      <c r="G63" s="37"/>
      <c r="H63" s="106"/>
      <c r="I63" s="103"/>
      <c r="J63" s="120">
        <v>44984</v>
      </c>
      <c r="K63" s="121" t="s">
        <v>352</v>
      </c>
      <c r="L63" s="84">
        <v>2542.5100000000002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18">
        <v>44985</v>
      </c>
      <c r="K64" s="336" t="s">
        <v>237</v>
      </c>
      <c r="L64" s="68">
        <v>5104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>
        <v>44988</v>
      </c>
      <c r="K65" s="121" t="s">
        <v>239</v>
      </c>
      <c r="L65" s="84">
        <v>48121.13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1474424.76</v>
      </c>
      <c r="D75" s="142"/>
      <c r="E75" s="143" t="s">
        <v>12</v>
      </c>
      <c r="F75" s="144">
        <f>SUM(F5:F68)</f>
        <v>3940787</v>
      </c>
      <c r="G75" s="145"/>
      <c r="H75" s="143" t="s">
        <v>13</v>
      </c>
      <c r="I75" s="146">
        <f>SUM(I5:I68)</f>
        <v>75875.5</v>
      </c>
      <c r="J75" s="147"/>
      <c r="K75" s="148" t="s">
        <v>14</v>
      </c>
      <c r="L75" s="149">
        <f>SUM(L5:L73)-L26</f>
        <v>451105.14000000007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398" t="s">
        <v>15</v>
      </c>
      <c r="I77" s="399"/>
      <c r="J77" s="154"/>
      <c r="K77" s="400">
        <f>I75+L75</f>
        <v>526980.64000000013</v>
      </c>
      <c r="L77" s="401"/>
      <c r="M77" s="155"/>
      <c r="N77" s="155"/>
      <c r="P77" s="44"/>
      <c r="Q77" s="19"/>
    </row>
    <row r="78" spans="1:17" x14ac:dyDescent="0.25">
      <c r="D78" s="392" t="s">
        <v>16</v>
      </c>
      <c r="E78" s="392"/>
      <c r="F78" s="156">
        <f>F75-K77-C75</f>
        <v>1939381.5999999999</v>
      </c>
      <c r="I78" s="157"/>
      <c r="J78" s="158"/>
    </row>
    <row r="79" spans="1:17" ht="18.75" x14ac:dyDescent="0.3">
      <c r="D79" s="393" t="s">
        <v>17</v>
      </c>
      <c r="E79" s="393"/>
      <c r="F79" s="101">
        <v>-1830849.67</v>
      </c>
      <c r="I79" s="394" t="s">
        <v>18</v>
      </c>
      <c r="J79" s="395"/>
      <c r="K79" s="396">
        <f>F81+F82+F83</f>
        <v>337068.92999999993</v>
      </c>
      <c r="L79" s="396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0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108531.92999999993</v>
      </c>
      <c r="H81" s="168"/>
      <c r="I81" s="169" t="s">
        <v>21</v>
      </c>
      <c r="J81" s="170"/>
      <c r="K81" s="397">
        <f>-C4</f>
        <v>-3504178.07</v>
      </c>
      <c r="L81" s="396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44988</v>
      </c>
      <c r="D83" s="385" t="s">
        <v>24</v>
      </c>
      <c r="E83" s="386"/>
      <c r="F83" s="173">
        <v>0</v>
      </c>
      <c r="I83" s="419" t="s">
        <v>25</v>
      </c>
      <c r="J83" s="420"/>
      <c r="K83" s="421">
        <f>K79+K81</f>
        <v>-3167109.1399999997</v>
      </c>
      <c r="L83" s="421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I46:L65">
    <sortCondition ref="J46:J65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23"/>
  <sheetViews>
    <sheetView topLeftCell="F13" zoomScale="115" zoomScaleNormal="115" workbookViewId="0">
      <selection activeCell="M26" sqref="M26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4257812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44956</v>
      </c>
      <c r="C3" s="216" t="s">
        <v>165</v>
      </c>
      <c r="D3" s="217">
        <v>93517.24</v>
      </c>
      <c r="E3" s="218"/>
      <c r="F3" s="217"/>
      <c r="G3" s="219">
        <f>D3-F3</f>
        <v>93517.24</v>
      </c>
      <c r="I3" s="235" t="s">
        <v>118</v>
      </c>
      <c r="J3" s="290">
        <v>11442</v>
      </c>
      <c r="K3" s="237">
        <v>9707.2000000000007</v>
      </c>
      <c r="L3" s="218"/>
      <c r="M3" s="220"/>
      <c r="N3" s="221">
        <f>K3-M3</f>
        <v>9707.2000000000007</v>
      </c>
    </row>
    <row r="4" spans="2:14" ht="18.75" x14ac:dyDescent="0.3">
      <c r="B4" s="222">
        <v>44957</v>
      </c>
      <c r="C4" s="223" t="s">
        <v>166</v>
      </c>
      <c r="D4" s="101">
        <v>13098.5</v>
      </c>
      <c r="E4" s="224"/>
      <c r="F4" s="101"/>
      <c r="G4" s="225">
        <f t="shared" ref="G4:G65" si="0">D4-F4</f>
        <v>13098.5</v>
      </c>
      <c r="H4" s="226"/>
      <c r="I4" s="287" t="s">
        <v>119</v>
      </c>
      <c r="J4" s="288">
        <v>11455</v>
      </c>
      <c r="K4" s="289">
        <v>480</v>
      </c>
      <c r="L4" s="218"/>
      <c r="M4" s="220"/>
      <c r="N4" s="227">
        <f>N3+K4-M4</f>
        <v>10187.200000000001</v>
      </c>
    </row>
    <row r="5" spans="2:14" ht="15.75" x14ac:dyDescent="0.25">
      <c r="B5" s="222">
        <v>44958</v>
      </c>
      <c r="C5" s="223" t="s">
        <v>167</v>
      </c>
      <c r="D5" s="101">
        <v>63500.3</v>
      </c>
      <c r="E5" s="224"/>
      <c r="F5" s="101"/>
      <c r="G5" s="225">
        <f t="shared" si="0"/>
        <v>63500.3</v>
      </c>
      <c r="I5" s="354" t="s">
        <v>267</v>
      </c>
      <c r="J5" s="310">
        <v>11457</v>
      </c>
      <c r="K5" s="220">
        <v>480</v>
      </c>
      <c r="L5" s="218"/>
      <c r="M5" s="220"/>
      <c r="N5" s="227">
        <f t="shared" ref="N5:N65" si="1">N4+K5-M5</f>
        <v>10667.2</v>
      </c>
    </row>
    <row r="6" spans="2:14" ht="15.75" x14ac:dyDescent="0.25">
      <c r="B6" s="222">
        <v>44959</v>
      </c>
      <c r="C6" s="223" t="s">
        <v>168</v>
      </c>
      <c r="D6" s="101">
        <v>97811.32</v>
      </c>
      <c r="E6" s="224"/>
      <c r="F6" s="101"/>
      <c r="G6" s="225">
        <f t="shared" si="0"/>
        <v>97811.32</v>
      </c>
      <c r="I6" s="354" t="s">
        <v>268</v>
      </c>
      <c r="J6" s="310">
        <v>11469</v>
      </c>
      <c r="K6" s="220">
        <v>360</v>
      </c>
      <c r="L6" s="218"/>
      <c r="M6" s="220"/>
      <c r="N6" s="227">
        <f t="shared" si="1"/>
        <v>11027.2</v>
      </c>
    </row>
    <row r="7" spans="2:14" ht="15.75" x14ac:dyDescent="0.25">
      <c r="B7" s="222">
        <v>44960</v>
      </c>
      <c r="C7" s="223" t="s">
        <v>169</v>
      </c>
      <c r="D7" s="101">
        <v>23821.599999999999</v>
      </c>
      <c r="E7" s="224"/>
      <c r="F7" s="101"/>
      <c r="G7" s="225">
        <f t="shared" si="0"/>
        <v>23821.599999999999</v>
      </c>
      <c r="I7" s="354" t="s">
        <v>269</v>
      </c>
      <c r="J7" s="310">
        <v>11483</v>
      </c>
      <c r="K7" s="220">
        <v>3880</v>
      </c>
      <c r="L7" s="218"/>
      <c r="M7" s="220"/>
      <c r="N7" s="227">
        <f t="shared" si="1"/>
        <v>14907.2</v>
      </c>
    </row>
    <row r="8" spans="2:14" ht="15.75" x14ac:dyDescent="0.25">
      <c r="B8" s="222">
        <v>44960</v>
      </c>
      <c r="C8" s="223" t="s">
        <v>170</v>
      </c>
      <c r="D8" s="101">
        <v>28550.54</v>
      </c>
      <c r="E8" s="224"/>
      <c r="F8" s="101"/>
      <c r="G8" s="225">
        <f t="shared" si="0"/>
        <v>28550.54</v>
      </c>
      <c r="I8" s="354" t="s">
        <v>270</v>
      </c>
      <c r="J8" s="310">
        <v>11496</v>
      </c>
      <c r="K8" s="220">
        <v>9763.2000000000007</v>
      </c>
      <c r="L8" s="218"/>
      <c r="M8" s="220"/>
      <c r="N8" s="227">
        <f t="shared" si="1"/>
        <v>24670.400000000001</v>
      </c>
    </row>
    <row r="9" spans="2:14" ht="15.75" x14ac:dyDescent="0.25">
      <c r="B9" s="222">
        <v>44961</v>
      </c>
      <c r="C9" s="223" t="s">
        <v>171</v>
      </c>
      <c r="D9" s="101">
        <v>54776.1</v>
      </c>
      <c r="E9" s="224"/>
      <c r="F9" s="101"/>
      <c r="G9" s="225">
        <f t="shared" si="0"/>
        <v>54776.1</v>
      </c>
      <c r="I9" s="354" t="s">
        <v>271</v>
      </c>
      <c r="J9" s="310">
        <v>11506</v>
      </c>
      <c r="K9" s="220">
        <v>600</v>
      </c>
      <c r="L9" s="218"/>
      <c r="M9" s="220"/>
      <c r="N9" s="227">
        <f t="shared" si="1"/>
        <v>25270.400000000001</v>
      </c>
    </row>
    <row r="10" spans="2:14" ht="18.75" x14ac:dyDescent="0.3">
      <c r="B10" s="222">
        <v>44963</v>
      </c>
      <c r="C10" s="223" t="s">
        <v>172</v>
      </c>
      <c r="D10" s="101">
        <v>6216</v>
      </c>
      <c r="E10" s="224"/>
      <c r="F10" s="101"/>
      <c r="G10" s="225">
        <f t="shared" si="0"/>
        <v>6216</v>
      </c>
      <c r="H10" s="226"/>
      <c r="I10" s="354" t="s">
        <v>272</v>
      </c>
      <c r="J10" s="310">
        <v>11517</v>
      </c>
      <c r="K10" s="220">
        <v>9568</v>
      </c>
      <c r="L10" s="218"/>
      <c r="M10" s="220"/>
      <c r="N10" s="227">
        <f t="shared" si="1"/>
        <v>34838.400000000001</v>
      </c>
    </row>
    <row r="11" spans="2:14" ht="15.75" x14ac:dyDescent="0.25">
      <c r="B11" s="222">
        <v>44963</v>
      </c>
      <c r="C11" s="223" t="s">
        <v>173</v>
      </c>
      <c r="D11" s="101">
        <v>89707.48</v>
      </c>
      <c r="E11" s="224"/>
      <c r="F11" s="101"/>
      <c r="G11" s="225">
        <f t="shared" si="0"/>
        <v>89707.48</v>
      </c>
      <c r="I11" s="354" t="s">
        <v>273</v>
      </c>
      <c r="J11" s="310">
        <v>11519</v>
      </c>
      <c r="K11" s="220">
        <v>360</v>
      </c>
      <c r="L11" s="218"/>
      <c r="M11" s="220"/>
      <c r="N11" s="227">
        <f t="shared" si="1"/>
        <v>35198.400000000001</v>
      </c>
    </row>
    <row r="12" spans="2:14" ht="15.75" x14ac:dyDescent="0.25">
      <c r="B12" s="222">
        <v>44964</v>
      </c>
      <c r="C12" s="223" t="s">
        <v>174</v>
      </c>
      <c r="D12" s="101">
        <v>44780.82</v>
      </c>
      <c r="E12" s="224"/>
      <c r="F12" s="101"/>
      <c r="G12" s="225">
        <f t="shared" si="0"/>
        <v>44780.82</v>
      </c>
      <c r="I12" s="354" t="s">
        <v>274</v>
      </c>
      <c r="J12" s="310">
        <v>11550</v>
      </c>
      <c r="K12" s="220">
        <v>17701.599999999999</v>
      </c>
      <c r="L12" s="218"/>
      <c r="M12" s="220"/>
      <c r="N12" s="227">
        <f t="shared" si="1"/>
        <v>52900</v>
      </c>
    </row>
    <row r="13" spans="2:14" ht="15.75" x14ac:dyDescent="0.25">
      <c r="B13" s="222">
        <v>44965</v>
      </c>
      <c r="C13" s="223" t="s">
        <v>175</v>
      </c>
      <c r="D13" s="101">
        <v>21573</v>
      </c>
      <c r="E13" s="224"/>
      <c r="F13" s="101"/>
      <c r="G13" s="225">
        <f t="shared" si="0"/>
        <v>21573</v>
      </c>
      <c r="I13" s="354" t="s">
        <v>275</v>
      </c>
      <c r="J13" s="310">
        <v>11554</v>
      </c>
      <c r="K13" s="220">
        <v>600</v>
      </c>
      <c r="L13" s="218"/>
      <c r="M13" s="220"/>
      <c r="N13" s="227">
        <f t="shared" si="1"/>
        <v>53500</v>
      </c>
    </row>
    <row r="14" spans="2:14" ht="15.75" x14ac:dyDescent="0.25">
      <c r="B14" s="222">
        <v>44966</v>
      </c>
      <c r="C14" s="223" t="s">
        <v>176</v>
      </c>
      <c r="D14" s="101">
        <v>30244.83</v>
      </c>
      <c r="E14" s="224"/>
      <c r="F14" s="101"/>
      <c r="G14" s="225">
        <f t="shared" si="0"/>
        <v>30244.83</v>
      </c>
      <c r="I14" s="354" t="s">
        <v>275</v>
      </c>
      <c r="J14" s="310">
        <v>11559</v>
      </c>
      <c r="K14" s="220">
        <v>600</v>
      </c>
      <c r="L14" s="218"/>
      <c r="M14" s="220"/>
      <c r="N14" s="227">
        <f t="shared" si="1"/>
        <v>54100</v>
      </c>
    </row>
    <row r="15" spans="2:14" ht="15.75" x14ac:dyDescent="0.25">
      <c r="B15" s="222">
        <v>44967</v>
      </c>
      <c r="C15" s="223" t="s">
        <v>177</v>
      </c>
      <c r="D15" s="101">
        <v>10627.4</v>
      </c>
      <c r="E15" s="224"/>
      <c r="F15" s="101"/>
      <c r="G15" s="225">
        <f t="shared" si="0"/>
        <v>10627.4</v>
      </c>
      <c r="I15" s="354" t="s">
        <v>276</v>
      </c>
      <c r="J15" s="310">
        <v>11572</v>
      </c>
      <c r="K15" s="220">
        <v>15001</v>
      </c>
      <c r="L15" s="218"/>
      <c r="M15" s="220"/>
      <c r="N15" s="227">
        <f t="shared" si="1"/>
        <v>69101</v>
      </c>
    </row>
    <row r="16" spans="2:14" ht="15.75" x14ac:dyDescent="0.25">
      <c r="B16" s="222">
        <v>44968</v>
      </c>
      <c r="C16" s="223" t="s">
        <v>178</v>
      </c>
      <c r="D16" s="101">
        <v>106320.8</v>
      </c>
      <c r="E16" s="224"/>
      <c r="F16" s="101"/>
      <c r="G16" s="225">
        <f t="shared" si="0"/>
        <v>106320.8</v>
      </c>
      <c r="I16" s="354" t="s">
        <v>277</v>
      </c>
      <c r="J16" s="310">
        <v>11577</v>
      </c>
      <c r="K16" s="220">
        <v>360</v>
      </c>
      <c r="L16" s="218"/>
      <c r="M16" s="220"/>
      <c r="N16" s="227">
        <f t="shared" si="1"/>
        <v>69461</v>
      </c>
    </row>
    <row r="17" spans="1:14" ht="15.75" x14ac:dyDescent="0.25">
      <c r="B17" s="222">
        <v>44970</v>
      </c>
      <c r="C17" s="223" t="s">
        <v>179</v>
      </c>
      <c r="D17" s="101">
        <v>15558.9</v>
      </c>
      <c r="E17" s="224"/>
      <c r="F17" s="101"/>
      <c r="G17" s="225">
        <f t="shared" si="0"/>
        <v>15558.9</v>
      </c>
      <c r="I17" s="354" t="s">
        <v>277</v>
      </c>
      <c r="J17" s="310">
        <v>11582</v>
      </c>
      <c r="K17" s="220">
        <v>6566.4</v>
      </c>
      <c r="L17" s="218"/>
      <c r="M17" s="220"/>
      <c r="N17" s="227">
        <f t="shared" si="1"/>
        <v>76027.399999999994</v>
      </c>
    </row>
    <row r="18" spans="1:14" ht="15.75" x14ac:dyDescent="0.25">
      <c r="B18" s="222">
        <v>44971</v>
      </c>
      <c r="C18" s="223" t="s">
        <v>180</v>
      </c>
      <c r="D18" s="101">
        <v>38966</v>
      </c>
      <c r="E18" s="224"/>
      <c r="F18" s="101"/>
      <c r="G18" s="225">
        <f t="shared" si="0"/>
        <v>38966</v>
      </c>
      <c r="I18" s="354" t="s">
        <v>278</v>
      </c>
      <c r="J18" s="310">
        <v>11587</v>
      </c>
      <c r="K18" s="220">
        <v>600</v>
      </c>
      <c r="L18" s="218"/>
      <c r="M18" s="220"/>
      <c r="N18" s="227">
        <f t="shared" si="1"/>
        <v>76627.399999999994</v>
      </c>
    </row>
    <row r="19" spans="1:14" ht="15.75" x14ac:dyDescent="0.25">
      <c r="B19" s="222">
        <v>44972</v>
      </c>
      <c r="C19" s="223" t="s">
        <v>181</v>
      </c>
      <c r="D19" s="101">
        <v>22837.8</v>
      </c>
      <c r="E19" s="224"/>
      <c r="F19" s="101"/>
      <c r="G19" s="225">
        <f t="shared" si="0"/>
        <v>22837.8</v>
      </c>
      <c r="I19" s="354" t="s">
        <v>279</v>
      </c>
      <c r="J19" s="310">
        <v>11615</v>
      </c>
      <c r="K19" s="220">
        <v>360</v>
      </c>
      <c r="L19" s="218"/>
      <c r="M19" s="220"/>
      <c r="N19" s="227">
        <f t="shared" si="1"/>
        <v>76987.399999999994</v>
      </c>
    </row>
    <row r="20" spans="1:14" ht="17.25" x14ac:dyDescent="0.3">
      <c r="B20" s="222">
        <v>44972</v>
      </c>
      <c r="C20" s="223" t="s">
        <v>182</v>
      </c>
      <c r="D20" s="101">
        <v>3940.89</v>
      </c>
      <c r="E20" s="224"/>
      <c r="F20" s="101"/>
      <c r="G20" s="225">
        <f t="shared" si="0"/>
        <v>3940.89</v>
      </c>
      <c r="I20" s="354" t="s">
        <v>280</v>
      </c>
      <c r="J20" s="310">
        <v>11637</v>
      </c>
      <c r="K20" s="220">
        <v>9180</v>
      </c>
      <c r="L20" s="218"/>
      <c r="M20" s="231"/>
      <c r="N20" s="227">
        <f t="shared" si="1"/>
        <v>86167.4</v>
      </c>
    </row>
    <row r="21" spans="1:14" ht="17.25" x14ac:dyDescent="0.3">
      <c r="B21" s="222">
        <v>44973</v>
      </c>
      <c r="C21" s="223" t="s">
        <v>183</v>
      </c>
      <c r="D21" s="101">
        <v>91161.2</v>
      </c>
      <c r="E21" s="224"/>
      <c r="F21" s="101"/>
      <c r="G21" s="225">
        <f t="shared" si="0"/>
        <v>91161.2</v>
      </c>
      <c r="I21" s="354" t="s">
        <v>281</v>
      </c>
      <c r="J21" s="310">
        <v>11643</v>
      </c>
      <c r="K21" s="220">
        <v>360</v>
      </c>
      <c r="L21" s="218"/>
      <c r="M21" s="231"/>
      <c r="N21" s="227">
        <f t="shared" si="1"/>
        <v>86527.4</v>
      </c>
    </row>
    <row r="22" spans="1:14" ht="18.75" x14ac:dyDescent="0.3">
      <c r="B22" s="222">
        <v>44974</v>
      </c>
      <c r="C22" s="223" t="s">
        <v>184</v>
      </c>
      <c r="D22" s="101">
        <v>7864.6</v>
      </c>
      <c r="E22" s="224"/>
      <c r="F22" s="101"/>
      <c r="G22" s="225">
        <f t="shared" si="0"/>
        <v>7864.6</v>
      </c>
      <c r="H22" s="232"/>
      <c r="I22" s="354" t="s">
        <v>282</v>
      </c>
      <c r="J22" s="310">
        <v>11656</v>
      </c>
      <c r="K22" s="220">
        <v>360</v>
      </c>
      <c r="L22" s="218"/>
      <c r="M22" s="231"/>
      <c r="N22" s="227">
        <f t="shared" si="1"/>
        <v>86887.4</v>
      </c>
    </row>
    <row r="23" spans="1:14" ht="15.75" x14ac:dyDescent="0.25">
      <c r="B23" s="222">
        <v>44974</v>
      </c>
      <c r="C23" s="223" t="s">
        <v>185</v>
      </c>
      <c r="D23" s="101">
        <v>56418.54</v>
      </c>
      <c r="E23" s="224"/>
      <c r="F23" s="101"/>
      <c r="G23" s="225">
        <f t="shared" si="0"/>
        <v>56418.54</v>
      </c>
      <c r="H23" s="233"/>
      <c r="I23" s="354" t="s">
        <v>283</v>
      </c>
      <c r="J23" s="310">
        <v>11683</v>
      </c>
      <c r="K23" s="220">
        <v>360</v>
      </c>
      <c r="L23" s="224"/>
      <c r="M23" s="101"/>
      <c r="N23" s="227">
        <f t="shared" si="1"/>
        <v>87247.4</v>
      </c>
    </row>
    <row r="24" spans="1:14" ht="21" customHeight="1" x14ac:dyDescent="0.25">
      <c r="B24" s="222">
        <v>44975</v>
      </c>
      <c r="C24" s="223" t="s">
        <v>186</v>
      </c>
      <c r="D24" s="101">
        <v>255285.95</v>
      </c>
      <c r="E24" s="224"/>
      <c r="F24" s="101"/>
      <c r="G24" s="225">
        <f t="shared" si="0"/>
        <v>255285.95</v>
      </c>
      <c r="H24" s="233"/>
      <c r="I24" s="354" t="s">
        <v>284</v>
      </c>
      <c r="J24" s="310">
        <v>11694</v>
      </c>
      <c r="K24" s="220">
        <v>11071.8</v>
      </c>
      <c r="L24" s="224"/>
      <c r="M24" s="101"/>
      <c r="N24" s="227">
        <f t="shared" si="1"/>
        <v>98319.2</v>
      </c>
    </row>
    <row r="25" spans="1:14" ht="15.75" x14ac:dyDescent="0.25">
      <c r="B25" s="222">
        <v>44975</v>
      </c>
      <c r="C25" s="223" t="s">
        <v>187</v>
      </c>
      <c r="D25" s="101">
        <v>7950</v>
      </c>
      <c r="E25" s="224"/>
      <c r="F25" s="101"/>
      <c r="G25" s="225">
        <f t="shared" si="0"/>
        <v>7950</v>
      </c>
      <c r="H25" s="234"/>
      <c r="I25" s="354" t="s">
        <v>285</v>
      </c>
      <c r="J25" s="310">
        <v>11710</v>
      </c>
      <c r="K25" s="220">
        <v>360</v>
      </c>
      <c r="L25" s="224"/>
      <c r="M25" s="101"/>
      <c r="N25" s="227">
        <f t="shared" si="1"/>
        <v>98679.2</v>
      </c>
    </row>
    <row r="26" spans="1:14" ht="15.75" x14ac:dyDescent="0.25">
      <c r="B26" s="222">
        <v>44977</v>
      </c>
      <c r="C26" s="223" t="s">
        <v>188</v>
      </c>
      <c r="D26" s="101">
        <v>48571.5</v>
      </c>
      <c r="E26" s="224"/>
      <c r="F26" s="101"/>
      <c r="G26" s="225">
        <f t="shared" si="0"/>
        <v>48571.5</v>
      </c>
      <c r="H26" s="234"/>
      <c r="I26" s="354" t="s">
        <v>286</v>
      </c>
      <c r="J26" s="310">
        <v>11715</v>
      </c>
      <c r="K26" s="220">
        <v>600</v>
      </c>
      <c r="L26" s="224"/>
      <c r="M26" s="101"/>
      <c r="N26" s="227">
        <f t="shared" si="1"/>
        <v>99279.2</v>
      </c>
    </row>
    <row r="27" spans="1:14" ht="15.75" x14ac:dyDescent="0.25">
      <c r="B27" s="222">
        <v>44978</v>
      </c>
      <c r="C27" s="223" t="s">
        <v>189</v>
      </c>
      <c r="D27" s="101">
        <v>22975.1</v>
      </c>
      <c r="E27" s="224"/>
      <c r="F27" s="101"/>
      <c r="G27" s="225">
        <f t="shared" si="0"/>
        <v>22975.1</v>
      </c>
      <c r="H27" s="234"/>
      <c r="I27" s="356">
        <v>44986</v>
      </c>
      <c r="J27" s="310"/>
      <c r="K27" s="220"/>
      <c r="L27" s="224"/>
      <c r="M27" s="101"/>
      <c r="N27" s="227">
        <f t="shared" si="1"/>
        <v>99279.2</v>
      </c>
    </row>
    <row r="28" spans="1:14" ht="15.75" x14ac:dyDescent="0.25">
      <c r="B28" s="222">
        <v>44978</v>
      </c>
      <c r="C28" s="223" t="s">
        <v>190</v>
      </c>
      <c r="D28" s="101">
        <v>6000</v>
      </c>
      <c r="E28" s="224"/>
      <c r="F28" s="101"/>
      <c r="G28" s="225">
        <f t="shared" si="0"/>
        <v>6000</v>
      </c>
      <c r="H28" s="234"/>
      <c r="I28" s="356">
        <v>44987</v>
      </c>
      <c r="J28" s="310"/>
      <c r="K28" s="220"/>
      <c r="L28" s="224"/>
      <c r="M28" s="101"/>
      <c r="N28" s="227">
        <f t="shared" si="1"/>
        <v>99279.2</v>
      </c>
    </row>
    <row r="29" spans="1:14" ht="15.75" x14ac:dyDescent="0.25">
      <c r="B29" s="222">
        <v>44979</v>
      </c>
      <c r="C29" s="223" t="s">
        <v>191</v>
      </c>
      <c r="D29" s="101">
        <v>5547</v>
      </c>
      <c r="E29" s="224"/>
      <c r="F29" s="101"/>
      <c r="G29" s="225">
        <f t="shared" si="0"/>
        <v>5547</v>
      </c>
      <c r="H29" s="234"/>
      <c r="I29" s="356">
        <v>44988</v>
      </c>
      <c r="J29" s="310"/>
      <c r="K29" s="220"/>
      <c r="L29" s="224"/>
      <c r="M29" s="101"/>
      <c r="N29" s="227">
        <f t="shared" si="1"/>
        <v>99279.2</v>
      </c>
    </row>
    <row r="30" spans="1:14" ht="15.75" x14ac:dyDescent="0.25">
      <c r="A30" s="31"/>
      <c r="B30" s="222">
        <v>44980</v>
      </c>
      <c r="C30" s="223" t="s">
        <v>192</v>
      </c>
      <c r="D30" s="101">
        <v>89040.4</v>
      </c>
      <c r="E30" s="224"/>
      <c r="F30" s="101"/>
      <c r="G30" s="225">
        <f t="shared" si="0"/>
        <v>89040.4</v>
      </c>
      <c r="H30" s="234"/>
      <c r="I30" s="357"/>
      <c r="J30" s="281"/>
      <c r="K30" s="237"/>
      <c r="L30" s="224"/>
      <c r="M30" s="101"/>
      <c r="N30" s="227">
        <f t="shared" si="1"/>
        <v>99279.2</v>
      </c>
    </row>
    <row r="31" spans="1:14" ht="15.75" x14ac:dyDescent="0.25">
      <c r="B31" s="222">
        <v>44981</v>
      </c>
      <c r="C31" s="223" t="s">
        <v>193</v>
      </c>
      <c r="D31" s="101">
        <v>119560.24</v>
      </c>
      <c r="E31" s="224"/>
      <c r="F31" s="101"/>
      <c r="G31" s="225">
        <f t="shared" si="0"/>
        <v>119560.24</v>
      </c>
      <c r="H31" s="233"/>
      <c r="I31" s="274"/>
      <c r="J31"/>
      <c r="K31" s="5">
        <v>0</v>
      </c>
      <c r="L31" s="224"/>
      <c r="M31" s="101"/>
      <c r="N31" s="227">
        <f t="shared" si="1"/>
        <v>99279.2</v>
      </c>
    </row>
    <row r="32" spans="1:14" ht="15.75" x14ac:dyDescent="0.25">
      <c r="B32" s="222">
        <v>44982</v>
      </c>
      <c r="C32" s="223" t="s">
        <v>194</v>
      </c>
      <c r="D32" s="101">
        <v>84723.4</v>
      </c>
      <c r="E32" s="224"/>
      <c r="F32" s="101"/>
      <c r="G32" s="225">
        <f t="shared" si="0"/>
        <v>84723.4</v>
      </c>
      <c r="H32" s="233"/>
      <c r="I32" s="274"/>
      <c r="J32"/>
      <c r="K32" s="5">
        <v>0</v>
      </c>
      <c r="L32" s="224"/>
      <c r="M32" s="101"/>
      <c r="N32" s="227">
        <f t="shared" si="1"/>
        <v>99279.2</v>
      </c>
    </row>
    <row r="33" spans="2:14" ht="15.75" x14ac:dyDescent="0.25">
      <c r="B33" s="222">
        <v>44984</v>
      </c>
      <c r="C33" s="223" t="s">
        <v>195</v>
      </c>
      <c r="D33" s="101">
        <v>50119.18</v>
      </c>
      <c r="E33" s="224"/>
      <c r="F33" s="101"/>
      <c r="G33" s="225">
        <f t="shared" si="0"/>
        <v>50119.18</v>
      </c>
      <c r="I33" s="274"/>
      <c r="J33"/>
      <c r="K33" s="5">
        <v>0</v>
      </c>
      <c r="L33" s="224"/>
      <c r="M33" s="101"/>
      <c r="N33" s="227">
        <f t="shared" si="1"/>
        <v>99279.2</v>
      </c>
    </row>
    <row r="34" spans="2:14" ht="18.75" x14ac:dyDescent="0.3">
      <c r="B34" s="222">
        <v>44985</v>
      </c>
      <c r="C34" s="223" t="s">
        <v>196</v>
      </c>
      <c r="D34" s="101">
        <v>13491.2</v>
      </c>
      <c r="E34" s="224"/>
      <c r="F34" s="101"/>
      <c r="G34" s="225">
        <f t="shared" si="0"/>
        <v>13491.2</v>
      </c>
      <c r="I34" s="274"/>
      <c r="J34"/>
      <c r="K34" s="167"/>
      <c r="L34" s="224"/>
      <c r="M34" s="101"/>
      <c r="N34" s="227">
        <f t="shared" si="1"/>
        <v>99279.2</v>
      </c>
    </row>
    <row r="35" spans="2:14" ht="15.75" x14ac:dyDescent="0.25">
      <c r="B35" s="222">
        <v>44987</v>
      </c>
      <c r="C35" s="223" t="s">
        <v>197</v>
      </c>
      <c r="D35" s="101">
        <v>137215.21</v>
      </c>
      <c r="E35" s="224"/>
      <c r="F35" s="101"/>
      <c r="G35" s="225">
        <f t="shared" si="0"/>
        <v>137215.21</v>
      </c>
      <c r="I35" s="235"/>
      <c r="J35" s="236"/>
      <c r="K35" s="237"/>
      <c r="L35" s="224"/>
      <c r="M35" s="101"/>
      <c r="N35" s="227">
        <f t="shared" si="1"/>
        <v>99279.2</v>
      </c>
    </row>
    <row r="36" spans="2:14" ht="15.75" x14ac:dyDescent="0.25">
      <c r="B36" s="222">
        <v>44987</v>
      </c>
      <c r="C36" s="223" t="s">
        <v>198</v>
      </c>
      <c r="D36" s="101">
        <v>11208</v>
      </c>
      <c r="E36" s="224"/>
      <c r="F36" s="101"/>
      <c r="G36" s="225">
        <f t="shared" si="0"/>
        <v>11208</v>
      </c>
      <c r="I36" s="404"/>
      <c r="J36" s="405"/>
      <c r="K36" s="405"/>
      <c r="L36" s="406"/>
      <c r="M36" s="101"/>
      <c r="N36" s="227">
        <f t="shared" si="1"/>
        <v>99279.2</v>
      </c>
    </row>
    <row r="37" spans="2:14" ht="15.75" x14ac:dyDescent="0.25">
      <c r="B37" s="222">
        <v>44987</v>
      </c>
      <c r="C37" s="223" t="s">
        <v>199</v>
      </c>
      <c r="D37" s="101">
        <v>4184.6000000000004</v>
      </c>
      <c r="E37" s="224"/>
      <c r="F37" s="101"/>
      <c r="G37" s="225">
        <f t="shared" si="0"/>
        <v>4184.6000000000004</v>
      </c>
      <c r="I37" s="404"/>
      <c r="J37" s="405"/>
      <c r="K37" s="405"/>
      <c r="L37" s="406"/>
      <c r="M37" s="101"/>
      <c r="N37" s="227">
        <f t="shared" si="1"/>
        <v>99279.2</v>
      </c>
    </row>
    <row r="38" spans="2:14" ht="15.75" x14ac:dyDescent="0.25">
      <c r="B38" s="222">
        <v>44988</v>
      </c>
      <c r="C38" s="223" t="s">
        <v>200</v>
      </c>
      <c r="D38" s="101">
        <v>53684.03</v>
      </c>
      <c r="E38" s="224"/>
      <c r="F38" s="101"/>
      <c r="G38" s="225">
        <f t="shared" si="0"/>
        <v>53684.03</v>
      </c>
      <c r="I38" s="228"/>
      <c r="J38" s="229"/>
      <c r="K38" s="230"/>
      <c r="L38" s="224"/>
      <c r="M38" s="101"/>
      <c r="N38" s="227">
        <f t="shared" si="1"/>
        <v>99279.2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99279.2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407" t="s">
        <v>35</v>
      </c>
      <c r="J40" s="408"/>
      <c r="K40" s="84"/>
      <c r="L40" s="238"/>
      <c r="M40" s="84"/>
      <c r="N40" s="227">
        <f t="shared" si="1"/>
        <v>99279.2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409"/>
      <c r="J41" s="410"/>
      <c r="K41" s="84"/>
      <c r="L41" s="238"/>
      <c r="M41" s="84"/>
      <c r="N41" s="227">
        <f t="shared" si="1"/>
        <v>99279.2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411"/>
      <c r="J42" s="412"/>
      <c r="K42" s="84"/>
      <c r="L42" s="238"/>
      <c r="M42" s="84"/>
      <c r="N42" s="227">
        <f t="shared" si="1"/>
        <v>99279.2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99279.2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99279.2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99279.2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99279.2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99279.2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99279.2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99279.2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99279.2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99279.2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99279.2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99279.2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99279.2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99279.2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99279.2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99279.2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99279.2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99279.2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99279.2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99279.2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99279.2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99279.2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99279.2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99279.2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1830849.67</v>
      </c>
      <c r="E67" s="261"/>
      <c r="F67" s="262">
        <f>SUM(F3:F66)</f>
        <v>0</v>
      </c>
      <c r="G67" s="263">
        <f>SUM(G3:G66)</f>
        <v>1830849.67</v>
      </c>
      <c r="I67" s="413" t="s">
        <v>35</v>
      </c>
      <c r="J67" s="414"/>
      <c r="K67" s="264">
        <f>SUM(K3:K66)</f>
        <v>99279.2</v>
      </c>
      <c r="L67" s="265"/>
      <c r="M67" s="266">
        <f>SUM(M3:M66)</f>
        <v>0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417" t="s">
        <v>36</v>
      </c>
      <c r="I68" s="422"/>
      <c r="J68" s="423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418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191"/>
      <c r="K73" s="304"/>
      <c r="L73" s="304"/>
      <c r="M73" s="299"/>
      <c r="N73"/>
    </row>
    <row r="74" spans="2:14" x14ac:dyDescent="0.25">
      <c r="C74" s="275"/>
      <c r="D74" s="189"/>
      <c r="E74" s="276"/>
      <c r="F74"/>
      <c r="H74" s="233"/>
      <c r="I74" s="303"/>
      <c r="J74" s="191"/>
      <c r="K74" s="304"/>
      <c r="L74" s="304"/>
      <c r="M74" s="299"/>
      <c r="N74"/>
    </row>
    <row r="75" spans="2:14" ht="15.75" x14ac:dyDescent="0.25">
      <c r="C75" s="275"/>
      <c r="D75" s="108"/>
      <c r="E75" s="276"/>
      <c r="H75" s="233"/>
      <c r="I75" s="188"/>
      <c r="J75" s="188"/>
      <c r="K75" s="188"/>
      <c r="L75" s="302"/>
      <c r="M75" s="299"/>
      <c r="N75"/>
    </row>
    <row r="76" spans="2:14" ht="15.75" x14ac:dyDescent="0.25">
      <c r="C76" s="275"/>
      <c r="D76" s="108"/>
      <c r="E76" s="276"/>
      <c r="H76" s="233"/>
      <c r="I76" s="188"/>
      <c r="J76" s="188"/>
      <c r="K76" s="188"/>
      <c r="L76" s="302"/>
      <c r="M76" s="299"/>
      <c r="N76"/>
    </row>
    <row r="77" spans="2:14" ht="15.75" x14ac:dyDescent="0.25">
      <c r="C77" s="275"/>
      <c r="D77" s="108"/>
      <c r="E77" s="276"/>
      <c r="I77" s="299"/>
      <c r="J77" s="299"/>
      <c r="K77" s="299"/>
      <c r="L77" s="298"/>
      <c r="M77" s="299"/>
      <c r="N77"/>
    </row>
    <row r="78" spans="2:14" ht="15.75" x14ac:dyDescent="0.25">
      <c r="C78" s="275"/>
      <c r="D78" s="108"/>
      <c r="E78" s="276"/>
      <c r="I78" s="299"/>
      <c r="J78" s="299"/>
      <c r="K78" s="299"/>
      <c r="L78" s="298"/>
      <c r="M78" s="299"/>
      <c r="N78"/>
    </row>
    <row r="79" spans="2:14" ht="15.75" x14ac:dyDescent="0.25">
      <c r="C79" s="275"/>
      <c r="D79" s="108"/>
      <c r="E79" s="276"/>
      <c r="I79" s="299"/>
      <c r="J79" s="299"/>
      <c r="K79" s="299"/>
      <c r="L79" s="298"/>
      <c r="M79" s="299"/>
      <c r="N79"/>
    </row>
    <row r="80" spans="2:14" ht="15.75" x14ac:dyDescent="0.25">
      <c r="C80" s="275"/>
      <c r="D80" s="108"/>
      <c r="E80" s="276"/>
      <c r="I80"/>
      <c r="J80"/>
      <c r="K80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43307086614173229" right="0.39370078740157483" top="0.35433070866141736" bottom="0.23622047244094491" header="0.31496062992125984" footer="0.31496062992125984"/>
  <pageSetup scale="8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105"/>
  <sheetViews>
    <sheetView topLeftCell="A59" zoomScale="130" zoomScaleNormal="130" workbookViewId="0">
      <selection activeCell="D66" sqref="D66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372"/>
      <c r="C1" s="374" t="s">
        <v>238</v>
      </c>
      <c r="D1" s="375"/>
      <c r="E1" s="375"/>
      <c r="F1" s="375"/>
      <c r="G1" s="375"/>
      <c r="H1" s="375"/>
      <c r="I1" s="375"/>
      <c r="J1" s="375"/>
      <c r="K1" s="375"/>
      <c r="L1" s="375"/>
      <c r="M1" s="375"/>
    </row>
    <row r="2" spans="1:18" ht="16.5" thickBot="1" x14ac:dyDescent="0.3">
      <c r="B2" s="373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376" t="s">
        <v>0</v>
      </c>
      <c r="C3" s="377"/>
      <c r="D3" s="14"/>
      <c r="E3" s="15"/>
      <c r="F3" s="16"/>
      <c r="H3" s="378" t="s">
        <v>1</v>
      </c>
      <c r="I3" s="378"/>
      <c r="K3" s="18"/>
      <c r="L3" s="19"/>
      <c r="M3" s="20"/>
      <c r="P3" s="370" t="s">
        <v>2</v>
      </c>
      <c r="R3" s="424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381" t="s">
        <v>5</v>
      </c>
      <c r="F4" s="382"/>
      <c r="H4" s="383" t="s">
        <v>6</v>
      </c>
      <c r="I4" s="384"/>
      <c r="J4" s="25"/>
      <c r="K4" s="26"/>
      <c r="L4" s="27"/>
      <c r="M4" s="28" t="s">
        <v>7</v>
      </c>
      <c r="N4" s="29" t="s">
        <v>8</v>
      </c>
      <c r="P4" s="371"/>
      <c r="Q4" s="30" t="s">
        <v>9</v>
      </c>
      <c r="R4" s="425"/>
    </row>
    <row r="5" spans="1:18" ht="18" thickBot="1" x14ac:dyDescent="0.35">
      <c r="A5" s="31" t="s">
        <v>10</v>
      </c>
      <c r="B5" s="32">
        <v>44989</v>
      </c>
      <c r="C5" s="33">
        <v>10705</v>
      </c>
      <c r="D5" s="34" t="s">
        <v>287</v>
      </c>
      <c r="E5" s="35">
        <v>44989</v>
      </c>
      <c r="F5" s="36" t="s">
        <v>10</v>
      </c>
      <c r="G5" s="37"/>
      <c r="H5" s="38">
        <v>44989</v>
      </c>
      <c r="I5" s="39">
        <v>2837</v>
      </c>
      <c r="J5" s="40">
        <v>44989</v>
      </c>
      <c r="K5" s="359" t="s">
        <v>288</v>
      </c>
      <c r="L5" s="13">
        <v>22031</v>
      </c>
      <c r="M5" s="42">
        <v>68366</v>
      </c>
      <c r="N5" s="43">
        <v>39573</v>
      </c>
      <c r="P5" s="44">
        <f t="shared" ref="P5:P10" si="0">N5+M5+L5+I5+C5</f>
        <v>143512</v>
      </c>
      <c r="Q5" s="45">
        <v>0</v>
      </c>
      <c r="R5" s="358">
        <v>250</v>
      </c>
    </row>
    <row r="6" spans="1:18" ht="18" thickBot="1" x14ac:dyDescent="0.35">
      <c r="A6" s="31"/>
      <c r="B6" s="32">
        <v>44990</v>
      </c>
      <c r="C6" s="33">
        <v>11999</v>
      </c>
      <c r="D6" s="47" t="s">
        <v>289</v>
      </c>
      <c r="E6" s="35">
        <v>44990</v>
      </c>
      <c r="F6" s="36">
        <v>92267</v>
      </c>
      <c r="G6" s="37"/>
      <c r="H6" s="38">
        <v>44990</v>
      </c>
      <c r="I6" s="39">
        <v>2652</v>
      </c>
      <c r="J6" s="40"/>
      <c r="K6" s="65"/>
      <c r="L6" s="49"/>
      <c r="M6" s="42">
        <v>39347</v>
      </c>
      <c r="N6" s="43">
        <v>38269</v>
      </c>
      <c r="P6" s="49">
        <f t="shared" si="0"/>
        <v>92267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44991</v>
      </c>
      <c r="C7" s="33">
        <v>28081.5</v>
      </c>
      <c r="D7" s="50" t="s">
        <v>290</v>
      </c>
      <c r="E7" s="35">
        <v>44991</v>
      </c>
      <c r="F7" s="36">
        <v>131688</v>
      </c>
      <c r="G7" s="37"/>
      <c r="H7" s="38">
        <v>44991</v>
      </c>
      <c r="I7" s="39">
        <v>6180</v>
      </c>
      <c r="J7" s="40"/>
      <c r="K7" s="65"/>
      <c r="L7" s="49"/>
      <c r="M7" s="42">
        <f>42674.5+7308</f>
        <v>49982.5</v>
      </c>
      <c r="N7" s="43">
        <v>47444</v>
      </c>
      <c r="P7" s="49">
        <f t="shared" si="0"/>
        <v>131688</v>
      </c>
      <c r="Q7" s="45">
        <v>0</v>
      </c>
      <c r="R7" s="46" t="s">
        <v>10</v>
      </c>
    </row>
    <row r="8" spans="1:18" ht="18" thickBot="1" x14ac:dyDescent="0.35">
      <c r="A8" s="31"/>
      <c r="B8" s="32">
        <v>44992</v>
      </c>
      <c r="C8" s="33">
        <v>23275</v>
      </c>
      <c r="D8" s="51" t="s">
        <v>291</v>
      </c>
      <c r="E8" s="35">
        <v>44992</v>
      </c>
      <c r="F8" s="36">
        <v>117095</v>
      </c>
      <c r="G8" s="37"/>
      <c r="H8" s="38">
        <v>44992</v>
      </c>
      <c r="I8" s="39">
        <v>2437.5</v>
      </c>
      <c r="J8" s="52"/>
      <c r="K8" s="65"/>
      <c r="L8" s="49"/>
      <c r="M8" s="42">
        <f>51615.5+654</f>
        <v>52269.5</v>
      </c>
      <c r="N8" s="43">
        <v>39113</v>
      </c>
      <c r="P8" s="49">
        <f t="shared" si="0"/>
        <v>117095</v>
      </c>
      <c r="Q8" s="45">
        <v>0</v>
      </c>
      <c r="R8" s="46">
        <v>0</v>
      </c>
    </row>
    <row r="9" spans="1:18" ht="18" thickBot="1" x14ac:dyDescent="0.35">
      <c r="A9" s="31"/>
      <c r="B9" s="32">
        <v>44993</v>
      </c>
      <c r="C9" s="33">
        <v>9439</v>
      </c>
      <c r="D9" s="51" t="s">
        <v>292</v>
      </c>
      <c r="E9" s="35">
        <v>44993</v>
      </c>
      <c r="F9" s="36">
        <v>92137</v>
      </c>
      <c r="G9" s="37"/>
      <c r="H9" s="38">
        <v>44993</v>
      </c>
      <c r="I9" s="39">
        <v>5788.5</v>
      </c>
      <c r="J9" s="40">
        <v>44993</v>
      </c>
      <c r="K9" s="349" t="s">
        <v>293</v>
      </c>
      <c r="L9" s="49">
        <v>4000</v>
      </c>
      <c r="M9" s="42">
        <f>36478.5+8026</f>
        <v>44504.5</v>
      </c>
      <c r="N9" s="43">
        <v>28405</v>
      </c>
      <c r="P9" s="49">
        <f t="shared" si="0"/>
        <v>92137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44994</v>
      </c>
      <c r="C10" s="33">
        <v>9227</v>
      </c>
      <c r="D10" s="50" t="s">
        <v>294</v>
      </c>
      <c r="E10" s="35">
        <v>44994</v>
      </c>
      <c r="F10" s="36">
        <v>109968</v>
      </c>
      <c r="G10" s="37"/>
      <c r="H10" s="38">
        <v>44994</v>
      </c>
      <c r="I10" s="39">
        <v>1340</v>
      </c>
      <c r="J10" s="40"/>
      <c r="K10" s="54"/>
      <c r="L10" s="55"/>
      <c r="M10" s="42">
        <f>46519+6813.5</f>
        <v>53332.5</v>
      </c>
      <c r="N10" s="43">
        <v>46068</v>
      </c>
      <c r="P10" s="49">
        <f t="shared" si="0"/>
        <v>109967.5</v>
      </c>
      <c r="Q10" s="45">
        <f t="shared" si="1"/>
        <v>-0.5</v>
      </c>
      <c r="R10" s="46">
        <v>0</v>
      </c>
    </row>
    <row r="11" spans="1:18" ht="18" thickBot="1" x14ac:dyDescent="0.35">
      <c r="A11" s="31"/>
      <c r="B11" s="32">
        <v>44995</v>
      </c>
      <c r="C11" s="33">
        <v>9566</v>
      </c>
      <c r="D11" s="47" t="s">
        <v>295</v>
      </c>
      <c r="E11" s="35">
        <v>44995</v>
      </c>
      <c r="F11" s="36">
        <v>153849</v>
      </c>
      <c r="G11" s="37"/>
      <c r="H11" s="38">
        <v>44995</v>
      </c>
      <c r="I11" s="39">
        <v>1974</v>
      </c>
      <c r="J11" s="52"/>
      <c r="K11" s="58"/>
      <c r="L11" s="49"/>
      <c r="M11" s="42">
        <v>99973</v>
      </c>
      <c r="N11" s="43">
        <v>42336</v>
      </c>
      <c r="P11" s="49">
        <f t="shared" ref="P11:P30" si="2">N11+M11+L11+I11+C11</f>
        <v>153849</v>
      </c>
      <c r="Q11" s="45">
        <v>0</v>
      </c>
      <c r="R11" s="46">
        <v>0</v>
      </c>
    </row>
    <row r="12" spans="1:18" ht="18" thickBot="1" x14ac:dyDescent="0.35">
      <c r="A12" s="31"/>
      <c r="B12" s="32">
        <v>44996</v>
      </c>
      <c r="C12" s="33">
        <v>8365</v>
      </c>
      <c r="D12" s="47" t="s">
        <v>296</v>
      </c>
      <c r="E12" s="35">
        <v>44996</v>
      </c>
      <c r="F12" s="36">
        <v>152331</v>
      </c>
      <c r="G12" s="37"/>
      <c r="H12" s="38">
        <v>44996</v>
      </c>
      <c r="I12" s="39">
        <v>3688</v>
      </c>
      <c r="J12" s="40">
        <v>44996</v>
      </c>
      <c r="K12" s="343" t="s">
        <v>297</v>
      </c>
      <c r="L12" s="49">
        <v>18078</v>
      </c>
      <c r="M12" s="42">
        <f>52470+200+6053</f>
        <v>58723</v>
      </c>
      <c r="N12" s="43">
        <v>63477</v>
      </c>
      <c r="O12" s="192"/>
      <c r="P12" s="49">
        <f t="shared" si="2"/>
        <v>152331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44997</v>
      </c>
      <c r="C13" s="33">
        <v>2000</v>
      </c>
      <c r="D13" s="51" t="s">
        <v>300</v>
      </c>
      <c r="E13" s="35">
        <v>44997</v>
      </c>
      <c r="F13" s="36">
        <v>153796</v>
      </c>
      <c r="G13" s="37"/>
      <c r="H13" s="38">
        <v>44997</v>
      </c>
      <c r="I13" s="39">
        <v>775</v>
      </c>
      <c r="J13" s="40"/>
      <c r="K13" s="344"/>
      <c r="L13" s="49"/>
      <c r="M13" s="42">
        <f>81064</f>
        <v>81064</v>
      </c>
      <c r="N13" s="43">
        <v>69957</v>
      </c>
      <c r="O13" s="192"/>
      <c r="P13" s="49">
        <f>N13+M13+L13+I13+C13</f>
        <v>153796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44998</v>
      </c>
      <c r="C14" s="33">
        <v>40135</v>
      </c>
      <c r="D14" s="50" t="s">
        <v>301</v>
      </c>
      <c r="E14" s="35">
        <v>44998</v>
      </c>
      <c r="F14" s="36">
        <v>125011</v>
      </c>
      <c r="G14" s="37"/>
      <c r="H14" s="38">
        <v>44998</v>
      </c>
      <c r="I14" s="39">
        <v>2719</v>
      </c>
      <c r="J14" s="40"/>
      <c r="K14" s="65"/>
      <c r="L14" s="49"/>
      <c r="M14" s="42">
        <f>32521+12383</f>
        <v>44904</v>
      </c>
      <c r="N14" s="43">
        <v>37253</v>
      </c>
      <c r="O14" s="193"/>
      <c r="P14" s="49">
        <f t="shared" si="2"/>
        <v>125011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44999</v>
      </c>
      <c r="C15" s="33">
        <v>13440.5</v>
      </c>
      <c r="D15" s="50" t="s">
        <v>302</v>
      </c>
      <c r="E15" s="35">
        <v>44999</v>
      </c>
      <c r="F15" s="36">
        <v>123404</v>
      </c>
      <c r="G15" s="37"/>
      <c r="H15" s="38">
        <v>44999</v>
      </c>
      <c r="I15" s="39">
        <v>2309</v>
      </c>
      <c r="J15" s="40"/>
      <c r="K15" s="65"/>
      <c r="L15" s="49"/>
      <c r="M15" s="42">
        <v>57589.5</v>
      </c>
      <c r="N15" s="43">
        <v>50065</v>
      </c>
      <c r="P15" s="49">
        <f t="shared" si="2"/>
        <v>123404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45000</v>
      </c>
      <c r="C16" s="33">
        <v>19866</v>
      </c>
      <c r="D16" s="47" t="s">
        <v>312</v>
      </c>
      <c r="E16" s="35">
        <v>45000</v>
      </c>
      <c r="F16" s="36">
        <v>101693</v>
      </c>
      <c r="G16" s="37"/>
      <c r="H16" s="38">
        <v>45000</v>
      </c>
      <c r="I16" s="39">
        <v>3801.5</v>
      </c>
      <c r="J16" s="40">
        <v>45000</v>
      </c>
      <c r="K16" s="343" t="s">
        <v>313</v>
      </c>
      <c r="L16" s="13">
        <v>6766</v>
      </c>
      <c r="M16" s="42">
        <f>40900+5522</f>
        <v>46422</v>
      </c>
      <c r="N16" s="43">
        <v>24843</v>
      </c>
      <c r="P16" s="49">
        <f t="shared" si="2"/>
        <v>101698.5</v>
      </c>
      <c r="Q16" s="45">
        <f t="shared" si="1"/>
        <v>5.5</v>
      </c>
      <c r="R16" s="46">
        <v>0</v>
      </c>
    </row>
    <row r="17" spans="1:19" ht="18" thickBot="1" x14ac:dyDescent="0.35">
      <c r="A17" s="31"/>
      <c r="B17" s="32">
        <v>45001</v>
      </c>
      <c r="C17" s="33">
        <v>7295</v>
      </c>
      <c r="D17" s="51" t="s">
        <v>314</v>
      </c>
      <c r="E17" s="35">
        <v>45001</v>
      </c>
      <c r="F17" s="36">
        <v>172055</v>
      </c>
      <c r="G17" s="37"/>
      <c r="H17" s="38">
        <v>45001</v>
      </c>
      <c r="I17" s="39">
        <v>1987</v>
      </c>
      <c r="J17" s="40"/>
      <c r="K17" s="65"/>
      <c r="L17" s="55"/>
      <c r="M17" s="42">
        <f>63942+53400</f>
        <v>117342</v>
      </c>
      <c r="N17" s="43">
        <v>45433</v>
      </c>
      <c r="P17" s="49">
        <f t="shared" si="2"/>
        <v>172057</v>
      </c>
      <c r="Q17" s="45">
        <f t="shared" si="1"/>
        <v>2</v>
      </c>
      <c r="R17" s="46">
        <v>0</v>
      </c>
    </row>
    <row r="18" spans="1:19" ht="18" thickBot="1" x14ac:dyDescent="0.35">
      <c r="A18" s="31"/>
      <c r="B18" s="32">
        <v>45002</v>
      </c>
      <c r="C18" s="33">
        <v>5818</v>
      </c>
      <c r="D18" s="47" t="s">
        <v>88</v>
      </c>
      <c r="E18" s="35">
        <v>45002</v>
      </c>
      <c r="F18" s="36">
        <v>145995</v>
      </c>
      <c r="G18" s="37"/>
      <c r="H18" s="38">
        <v>45002</v>
      </c>
      <c r="I18" s="39">
        <v>2988.5</v>
      </c>
      <c r="J18" s="40"/>
      <c r="K18" s="58"/>
      <c r="L18" s="49"/>
      <c r="M18" s="42">
        <f>4942+85847.5</f>
        <v>90789.5</v>
      </c>
      <c r="N18" s="43">
        <v>46399</v>
      </c>
      <c r="P18" s="49">
        <f t="shared" si="2"/>
        <v>145995</v>
      </c>
      <c r="Q18" s="45">
        <v>0</v>
      </c>
      <c r="R18" s="46">
        <v>0</v>
      </c>
    </row>
    <row r="19" spans="1:19" ht="27.75" thickBot="1" x14ac:dyDescent="0.35">
      <c r="A19" s="31"/>
      <c r="B19" s="32">
        <v>45003</v>
      </c>
      <c r="C19" s="33">
        <v>15935</v>
      </c>
      <c r="D19" s="47" t="s">
        <v>315</v>
      </c>
      <c r="E19" s="35">
        <v>45003</v>
      </c>
      <c r="F19" s="36">
        <v>159079</v>
      </c>
      <c r="G19" s="37"/>
      <c r="H19" s="38">
        <v>45003</v>
      </c>
      <c r="I19" s="39">
        <v>3541</v>
      </c>
      <c r="J19" s="40">
        <v>45003</v>
      </c>
      <c r="K19" s="345" t="s">
        <v>316</v>
      </c>
      <c r="L19" s="59">
        <f>18993+4381</f>
        <v>23374</v>
      </c>
      <c r="M19" s="42">
        <f>48817.5+4092.48+4584+2048</f>
        <v>59541.98</v>
      </c>
      <c r="N19" s="43">
        <v>56688</v>
      </c>
      <c r="P19" s="49">
        <f t="shared" si="2"/>
        <v>159079.98000000001</v>
      </c>
      <c r="Q19" s="45">
        <f t="shared" si="1"/>
        <v>0.98000000001047738</v>
      </c>
      <c r="R19" s="46" t="s">
        <v>11</v>
      </c>
    </row>
    <row r="20" spans="1:19" ht="18" customHeight="1" thickBot="1" x14ac:dyDescent="0.35">
      <c r="A20" s="31"/>
      <c r="B20" s="32">
        <v>45004</v>
      </c>
      <c r="C20" s="33">
        <v>18926</v>
      </c>
      <c r="D20" s="47" t="s">
        <v>317</v>
      </c>
      <c r="E20" s="35">
        <v>45004</v>
      </c>
      <c r="F20" s="36">
        <v>99717</v>
      </c>
      <c r="G20" s="37"/>
      <c r="H20" s="38">
        <v>45004</v>
      </c>
      <c r="I20" s="39">
        <v>1486.5</v>
      </c>
      <c r="J20" s="40"/>
      <c r="K20" s="60"/>
      <c r="L20" s="55"/>
      <c r="M20" s="42">
        <v>45892.5</v>
      </c>
      <c r="N20" s="43">
        <v>33412</v>
      </c>
      <c r="P20" s="49">
        <f t="shared" si="2"/>
        <v>99717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45005</v>
      </c>
      <c r="C21" s="33">
        <v>18054</v>
      </c>
      <c r="D21" s="47" t="s">
        <v>318</v>
      </c>
      <c r="E21" s="35">
        <v>45005</v>
      </c>
      <c r="F21" s="36">
        <v>232252</v>
      </c>
      <c r="G21" s="37"/>
      <c r="H21" s="38">
        <v>45005</v>
      </c>
      <c r="I21" s="39">
        <v>2635</v>
      </c>
      <c r="J21" s="40">
        <v>45005</v>
      </c>
      <c r="K21" s="360" t="s">
        <v>319</v>
      </c>
      <c r="L21" s="55">
        <v>157518</v>
      </c>
      <c r="M21" s="42">
        <f>315303.5+42101</f>
        <v>357404.5</v>
      </c>
      <c r="N21" s="43">
        <v>49563</v>
      </c>
      <c r="P21" s="49">
        <f t="shared" si="2"/>
        <v>585174.5</v>
      </c>
      <c r="Q21" s="45">
        <v>0</v>
      </c>
      <c r="R21" s="282">
        <v>352922.5</v>
      </c>
    </row>
    <row r="22" spans="1:19" ht="19.5" customHeight="1" thickBot="1" x14ac:dyDescent="0.35">
      <c r="A22" s="31"/>
      <c r="B22" s="32">
        <v>45006</v>
      </c>
      <c r="C22" s="33">
        <v>12441</v>
      </c>
      <c r="D22" s="47" t="s">
        <v>320</v>
      </c>
      <c r="E22" s="35">
        <v>45006</v>
      </c>
      <c r="F22" s="36">
        <v>125826</v>
      </c>
      <c r="G22" s="37"/>
      <c r="H22" s="38">
        <v>45006</v>
      </c>
      <c r="I22" s="362">
        <f>1122+5000</f>
        <v>6122</v>
      </c>
      <c r="J22" s="40">
        <v>45006</v>
      </c>
      <c r="K22" s="361" t="s">
        <v>321</v>
      </c>
      <c r="L22" s="62">
        <v>16750</v>
      </c>
      <c r="M22" s="42">
        <v>36544</v>
      </c>
      <c r="N22" s="43">
        <f>53199+770</f>
        <v>53969</v>
      </c>
      <c r="P22" s="49">
        <f t="shared" si="2"/>
        <v>125826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45007</v>
      </c>
      <c r="C23" s="33">
        <v>17462</v>
      </c>
      <c r="D23" s="47" t="s">
        <v>322</v>
      </c>
      <c r="E23" s="35">
        <v>45007</v>
      </c>
      <c r="F23" s="36">
        <v>101497</v>
      </c>
      <c r="G23" s="37"/>
      <c r="H23" s="38">
        <v>45007</v>
      </c>
      <c r="I23" s="39">
        <v>1756</v>
      </c>
      <c r="J23" s="64"/>
      <c r="K23" s="65"/>
      <c r="L23" s="55"/>
      <c r="M23" s="42">
        <f>40915+6605</f>
        <v>47520</v>
      </c>
      <c r="N23" s="43">
        <v>34759</v>
      </c>
      <c r="P23" s="49">
        <f t="shared" si="2"/>
        <v>101497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45008</v>
      </c>
      <c r="C24" s="33">
        <v>27688</v>
      </c>
      <c r="D24" s="51" t="s">
        <v>323</v>
      </c>
      <c r="E24" s="35">
        <v>45008</v>
      </c>
      <c r="F24" s="36">
        <v>95455</v>
      </c>
      <c r="G24" s="37"/>
      <c r="H24" s="38">
        <v>45008</v>
      </c>
      <c r="I24" s="39">
        <v>2125</v>
      </c>
      <c r="J24" s="66"/>
      <c r="K24" s="65"/>
      <c r="L24" s="67"/>
      <c r="M24" s="42">
        <f>4655.5+29221.5+1131</f>
        <v>35008</v>
      </c>
      <c r="N24" s="43">
        <v>30634</v>
      </c>
      <c r="P24" s="49">
        <f>N24+M24+L24+I24+C24</f>
        <v>95455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45009</v>
      </c>
      <c r="C25" s="33">
        <v>6094</v>
      </c>
      <c r="D25" s="47" t="s">
        <v>324</v>
      </c>
      <c r="E25" s="35">
        <v>45009</v>
      </c>
      <c r="F25" s="36">
        <v>153900</v>
      </c>
      <c r="G25" s="37"/>
      <c r="H25" s="38">
        <v>45009</v>
      </c>
      <c r="I25" s="39">
        <v>4678.5</v>
      </c>
      <c r="J25" s="64"/>
      <c r="K25" s="65"/>
      <c r="L25" s="68"/>
      <c r="M25" s="42">
        <f>84336.5+13436</f>
        <v>97772.5</v>
      </c>
      <c r="N25" s="43">
        <v>45355</v>
      </c>
      <c r="P25" s="69">
        <f t="shared" si="2"/>
        <v>153900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45010</v>
      </c>
      <c r="C26" s="33">
        <v>13761.5</v>
      </c>
      <c r="D26" s="47" t="s">
        <v>325</v>
      </c>
      <c r="E26" s="35">
        <v>45010</v>
      </c>
      <c r="F26" s="36">
        <v>138127</v>
      </c>
      <c r="G26" s="37"/>
      <c r="H26" s="38">
        <v>45010</v>
      </c>
      <c r="I26" s="39">
        <v>5100</v>
      </c>
      <c r="J26" s="40">
        <v>45010</v>
      </c>
      <c r="K26" s="70" t="s">
        <v>326</v>
      </c>
      <c r="L26" s="71">
        <v>24469</v>
      </c>
      <c r="M26" s="42">
        <f>28684.5+6220</f>
        <v>34904.5</v>
      </c>
      <c r="N26" s="43">
        <v>59892</v>
      </c>
      <c r="P26" s="69">
        <f t="shared" si="2"/>
        <v>138127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45011</v>
      </c>
      <c r="C27" s="33">
        <v>325</v>
      </c>
      <c r="D27" s="51" t="s">
        <v>91</v>
      </c>
      <c r="E27" s="35">
        <v>45011</v>
      </c>
      <c r="F27" s="36">
        <v>88838</v>
      </c>
      <c r="G27" s="37"/>
      <c r="H27" s="38">
        <v>45011</v>
      </c>
      <c r="I27" s="39">
        <v>1229</v>
      </c>
      <c r="J27" s="337"/>
      <c r="K27" s="346"/>
      <c r="L27" s="68"/>
      <c r="M27" s="42">
        <v>58608</v>
      </c>
      <c r="N27" s="43">
        <v>28676</v>
      </c>
      <c r="P27" s="69">
        <f t="shared" si="2"/>
        <v>88838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45012</v>
      </c>
      <c r="C28" s="33">
        <v>34835.5</v>
      </c>
      <c r="D28" s="51" t="s">
        <v>327</v>
      </c>
      <c r="E28" s="35">
        <v>45012</v>
      </c>
      <c r="F28" s="36">
        <v>117497</v>
      </c>
      <c r="G28" s="37"/>
      <c r="H28" s="38">
        <v>45012</v>
      </c>
      <c r="I28" s="39">
        <v>2206</v>
      </c>
      <c r="J28" s="338"/>
      <c r="K28" s="70"/>
      <c r="L28" s="68"/>
      <c r="M28" s="42">
        <f>24101.5+10438</f>
        <v>34539.5</v>
      </c>
      <c r="N28" s="43">
        <v>45916</v>
      </c>
      <c r="P28" s="69">
        <f t="shared" si="2"/>
        <v>117497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45013</v>
      </c>
      <c r="C29" s="33">
        <v>12972</v>
      </c>
      <c r="D29" s="76" t="s">
        <v>328</v>
      </c>
      <c r="E29" s="35">
        <v>45013</v>
      </c>
      <c r="F29" s="36">
        <v>94090</v>
      </c>
      <c r="G29" s="37"/>
      <c r="H29" s="38">
        <v>45013</v>
      </c>
      <c r="I29" s="39">
        <v>2106</v>
      </c>
      <c r="J29" s="339"/>
      <c r="K29" s="347"/>
      <c r="L29" s="68"/>
      <c r="M29" s="42">
        <v>38138</v>
      </c>
      <c r="N29" s="43">
        <v>40874</v>
      </c>
      <c r="P29" s="69">
        <f t="shared" si="2"/>
        <v>94090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45014</v>
      </c>
      <c r="C30" s="33">
        <v>17010.5</v>
      </c>
      <c r="D30" s="76" t="s">
        <v>329</v>
      </c>
      <c r="E30" s="35">
        <v>45014</v>
      </c>
      <c r="F30" s="36">
        <v>110786</v>
      </c>
      <c r="G30" s="37"/>
      <c r="H30" s="38">
        <v>45014</v>
      </c>
      <c r="I30" s="39">
        <v>1087</v>
      </c>
      <c r="J30" s="338"/>
      <c r="K30" s="65"/>
      <c r="L30" s="49"/>
      <c r="M30" s="42">
        <f>44992.5+5522+2023</f>
        <v>52537.5</v>
      </c>
      <c r="N30" s="43">
        <v>40151</v>
      </c>
      <c r="P30" s="69">
        <f t="shared" si="2"/>
        <v>110786</v>
      </c>
      <c r="Q30" s="45" t="s">
        <v>11</v>
      </c>
      <c r="R30" s="46">
        <v>0</v>
      </c>
    </row>
    <row r="31" spans="1:19" ht="18" thickBot="1" x14ac:dyDescent="0.35">
      <c r="A31" s="31"/>
      <c r="B31" s="32"/>
      <c r="C31" s="33"/>
      <c r="D31" s="79"/>
      <c r="E31" s="35"/>
      <c r="F31" s="36"/>
      <c r="G31" s="37"/>
      <c r="H31" s="38"/>
      <c r="I31" s="39"/>
      <c r="J31" s="338"/>
      <c r="K31" s="348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/>
      <c r="C32" s="33"/>
      <c r="D32" s="305"/>
      <c r="E32" s="35"/>
      <c r="F32" s="36"/>
      <c r="G32" s="37"/>
      <c r="H32" s="38"/>
      <c r="I32" s="39"/>
      <c r="J32" s="340">
        <v>44989</v>
      </c>
      <c r="K32" s="65" t="s">
        <v>298</v>
      </c>
      <c r="L32" s="49">
        <v>21975</v>
      </c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38">
        <v>44996</v>
      </c>
      <c r="K33" s="349" t="s">
        <v>299</v>
      </c>
      <c r="L33" s="84">
        <v>24587.26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38">
        <v>45003</v>
      </c>
      <c r="K34" s="88" t="s">
        <v>316</v>
      </c>
      <c r="L34" s="49">
        <f>27880</f>
        <v>27880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87">
        <v>45010</v>
      </c>
      <c r="K35" s="88" t="s">
        <v>326</v>
      </c>
      <c r="L35" s="89">
        <v>31677.3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44995</v>
      </c>
      <c r="C36" s="363">
        <v>8424</v>
      </c>
      <c r="D36" s="91" t="s">
        <v>145</v>
      </c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44995</v>
      </c>
      <c r="C37" s="364">
        <v>2679</v>
      </c>
      <c r="D37" s="94" t="s">
        <v>145</v>
      </c>
      <c r="E37" s="35"/>
      <c r="F37" s="36"/>
      <c r="G37" s="92"/>
      <c r="H37" s="38"/>
      <c r="I37" s="39"/>
      <c r="J37" s="338">
        <v>44991</v>
      </c>
      <c r="K37" s="88" t="s">
        <v>330</v>
      </c>
      <c r="L37" s="49">
        <v>8777.7800000000007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44999</v>
      </c>
      <c r="C38" s="364">
        <v>10746</v>
      </c>
      <c r="D38" s="94" t="s">
        <v>303</v>
      </c>
      <c r="E38" s="35"/>
      <c r="F38" s="36"/>
      <c r="G38" s="92"/>
      <c r="H38" s="38"/>
      <c r="I38" s="39"/>
      <c r="J38" s="338">
        <v>44995</v>
      </c>
      <c r="K38" s="350" t="s">
        <v>331</v>
      </c>
      <c r="L38" s="49">
        <v>28000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>
        <v>44999</v>
      </c>
      <c r="C39" s="364">
        <v>9892</v>
      </c>
      <c r="D39" s="96" t="s">
        <v>304</v>
      </c>
      <c r="E39" s="35"/>
      <c r="F39" s="97"/>
      <c r="G39" s="92"/>
      <c r="H39" s="38"/>
      <c r="I39" s="98"/>
      <c r="J39" s="340">
        <v>44998</v>
      </c>
      <c r="K39" s="350" t="s">
        <v>332</v>
      </c>
      <c r="L39" s="49">
        <v>1856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44999</v>
      </c>
      <c r="C40" s="364">
        <v>3962</v>
      </c>
      <c r="D40" s="94" t="s">
        <v>305</v>
      </c>
      <c r="E40" s="35"/>
      <c r="F40" s="97"/>
      <c r="G40" s="37"/>
      <c r="H40" s="38"/>
      <c r="I40" s="98"/>
      <c r="J40" s="338">
        <v>44999</v>
      </c>
      <c r="K40" s="65" t="s">
        <v>333</v>
      </c>
      <c r="L40" s="49">
        <v>6264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>
        <v>44999</v>
      </c>
      <c r="C41" s="364">
        <v>5264</v>
      </c>
      <c r="D41" s="102" t="s">
        <v>306</v>
      </c>
      <c r="E41" s="35"/>
      <c r="F41" s="97"/>
      <c r="G41" s="37"/>
      <c r="H41" s="38"/>
      <c r="I41" s="103"/>
      <c r="J41" s="338">
        <v>44999</v>
      </c>
      <c r="K41" s="65" t="s">
        <v>334</v>
      </c>
      <c r="L41" s="49">
        <v>17782.8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44999</v>
      </c>
      <c r="C42" s="364">
        <v>1880</v>
      </c>
      <c r="D42" s="102" t="s">
        <v>307</v>
      </c>
      <c r="E42" s="35"/>
      <c r="F42" s="97"/>
      <c r="G42" s="37"/>
      <c r="H42" s="38"/>
      <c r="I42" s="103"/>
      <c r="J42" s="338">
        <v>44999</v>
      </c>
      <c r="K42" s="65" t="s">
        <v>335</v>
      </c>
      <c r="L42" s="49">
        <v>5104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44999</v>
      </c>
      <c r="C43" s="364">
        <v>6448</v>
      </c>
      <c r="D43" s="102" t="s">
        <v>308</v>
      </c>
      <c r="E43" s="35"/>
      <c r="F43" s="97"/>
      <c r="G43" s="37"/>
      <c r="H43" s="38"/>
      <c r="I43" s="103"/>
      <c r="J43" s="338">
        <v>45007</v>
      </c>
      <c r="K43" s="65" t="s">
        <v>331</v>
      </c>
      <c r="L43" s="49">
        <v>28000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44999</v>
      </c>
      <c r="C44" s="364">
        <v>9864</v>
      </c>
      <c r="D44" s="102" t="s">
        <v>309</v>
      </c>
      <c r="E44" s="35"/>
      <c r="F44" s="97"/>
      <c r="G44" s="37"/>
      <c r="H44" s="38"/>
      <c r="I44" s="103"/>
      <c r="J44" s="338">
        <v>45009</v>
      </c>
      <c r="K44" s="65" t="s">
        <v>228</v>
      </c>
      <c r="L44" s="49">
        <v>1232.79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44999</v>
      </c>
      <c r="C45" s="364">
        <v>4235</v>
      </c>
      <c r="D45" s="102" t="s">
        <v>310</v>
      </c>
      <c r="E45" s="35"/>
      <c r="F45" s="97"/>
      <c r="G45" s="37"/>
      <c r="H45" s="38"/>
      <c r="I45" s="103"/>
      <c r="J45" s="338">
        <v>45012</v>
      </c>
      <c r="K45" s="65" t="s">
        <v>225</v>
      </c>
      <c r="L45" s="49">
        <v>1098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44999</v>
      </c>
      <c r="C46" s="364">
        <v>3900</v>
      </c>
      <c r="D46" s="102" t="s">
        <v>311</v>
      </c>
      <c r="E46" s="35"/>
      <c r="F46" s="97"/>
      <c r="G46" s="37"/>
      <c r="H46" s="38"/>
      <c r="I46" s="103"/>
      <c r="J46" s="338">
        <v>45013</v>
      </c>
      <c r="K46" s="65" t="s">
        <v>334</v>
      </c>
      <c r="L46" s="49">
        <v>3770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45002</v>
      </c>
      <c r="C47" s="93">
        <v>200000</v>
      </c>
      <c r="D47" s="114" t="s">
        <v>232</v>
      </c>
      <c r="E47" s="104"/>
      <c r="F47" s="105"/>
      <c r="G47" s="37"/>
      <c r="H47" s="106"/>
      <c r="I47" s="103"/>
      <c r="J47" s="338">
        <v>45014</v>
      </c>
      <c r="K47" s="65" t="s">
        <v>335</v>
      </c>
      <c r="L47" s="49">
        <v>3763.04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45006</v>
      </c>
      <c r="C48" s="93">
        <v>120239.3</v>
      </c>
      <c r="D48" s="102" t="s">
        <v>232</v>
      </c>
      <c r="E48" s="104"/>
      <c r="F48" s="105"/>
      <c r="G48" s="37"/>
      <c r="H48" s="106"/>
      <c r="I48" s="103"/>
      <c r="J48" s="338"/>
      <c r="K48" s="65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109"/>
      <c r="E49" s="104"/>
      <c r="F49" s="110"/>
      <c r="G49" s="37"/>
      <c r="H49" s="106"/>
      <c r="I49" s="103"/>
      <c r="J49" s="338"/>
      <c r="K49" s="88"/>
      <c r="L49" s="49"/>
      <c r="M49" s="390">
        <f>SUM(M5:M40)</f>
        <v>1803019.98</v>
      </c>
      <c r="N49" s="390">
        <f>SUM(N5:N40)</f>
        <v>1138524</v>
      </c>
      <c r="P49" s="111">
        <f>SUM(P5:P40)</f>
        <v>3684795.48</v>
      </c>
      <c r="Q49" s="402">
        <f>SUM(Q5:Q40)</f>
        <v>7.9800000000104774</v>
      </c>
      <c r="R49" s="46">
        <v>0</v>
      </c>
    </row>
    <row r="50" spans="1:18" ht="18" thickBot="1" x14ac:dyDescent="0.35">
      <c r="A50" s="31"/>
      <c r="B50" s="32"/>
      <c r="C50" s="93"/>
      <c r="D50" s="109"/>
      <c r="E50" s="104"/>
      <c r="F50" s="110"/>
      <c r="G50" s="37"/>
      <c r="H50" s="106"/>
      <c r="I50" s="103"/>
      <c r="J50" s="87"/>
      <c r="K50" s="88"/>
      <c r="L50" s="89"/>
      <c r="M50" s="391"/>
      <c r="N50" s="391"/>
      <c r="P50" s="44"/>
      <c r="Q50" s="403"/>
      <c r="R50" s="112">
        <f>SUM(R5:R49)</f>
        <v>353172.5</v>
      </c>
    </row>
    <row r="51" spans="1:18" ht="18" thickBot="1" x14ac:dyDescent="0.35">
      <c r="A51" s="31"/>
      <c r="B51" s="32"/>
      <c r="C51" s="93"/>
      <c r="D51" s="109"/>
      <c r="E51" s="104"/>
      <c r="F51" s="110"/>
      <c r="G51" s="37"/>
      <c r="H51" s="106"/>
      <c r="I51" s="103"/>
      <c r="J51" s="338"/>
      <c r="K51" s="88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09"/>
      <c r="E52" s="104"/>
      <c r="F52" s="110"/>
      <c r="G52" s="37"/>
      <c r="H52" s="106"/>
      <c r="I52" s="103"/>
      <c r="J52" s="338"/>
      <c r="K52" s="65"/>
      <c r="L52" s="49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/>
      <c r="K53" s="65"/>
      <c r="L53" s="49"/>
      <c r="M53" s="368">
        <f>M49+N49</f>
        <v>2941543.98</v>
      </c>
      <c r="N53" s="369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/>
      <c r="K54" s="65"/>
      <c r="L54" s="49"/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/>
      <c r="K55" s="344"/>
      <c r="L55" s="49"/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/>
      <c r="K56" s="351"/>
      <c r="L56" s="68"/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2"/>
      <c r="K57" s="344"/>
      <c r="L57" s="84"/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2"/>
      <c r="K58" s="344"/>
      <c r="L58" s="84"/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2"/>
      <c r="K59" s="344"/>
      <c r="L59" s="84"/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2"/>
      <c r="K60" s="344"/>
      <c r="L60" s="84"/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2"/>
      <c r="K61" s="344"/>
      <c r="L61" s="84"/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2"/>
      <c r="K62" s="352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2"/>
      <c r="K63" s="344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2"/>
      <c r="K64" s="352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2"/>
      <c r="K65" s="344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2"/>
      <c r="K66" s="344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2"/>
      <c r="K67" s="353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782249.8</v>
      </c>
      <c r="D75" s="142"/>
      <c r="E75" s="143" t="s">
        <v>12</v>
      </c>
      <c r="F75" s="144">
        <f>SUM(F5:F68)</f>
        <v>3188353</v>
      </c>
      <c r="G75" s="145"/>
      <c r="H75" s="143" t="s">
        <v>13</v>
      </c>
      <c r="I75" s="146">
        <f>SUM(I5:I68)</f>
        <v>75549</v>
      </c>
      <c r="J75" s="147"/>
      <c r="K75" s="148" t="s">
        <v>14</v>
      </c>
      <c r="L75" s="149">
        <f>SUM(L5:L73)-L26</f>
        <v>460284.97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398" t="s">
        <v>15</v>
      </c>
      <c r="I77" s="399"/>
      <c r="J77" s="154"/>
      <c r="K77" s="400">
        <f>I75+L75</f>
        <v>535833.97</v>
      </c>
      <c r="L77" s="401"/>
      <c r="M77" s="155"/>
      <c r="N77" s="155"/>
      <c r="P77" s="44"/>
      <c r="Q77" s="19"/>
    </row>
    <row r="78" spans="1:17" x14ac:dyDescent="0.25">
      <c r="D78" s="392" t="s">
        <v>16</v>
      </c>
      <c r="E78" s="392"/>
      <c r="F78" s="156">
        <f>F75-K77-C75</f>
        <v>1870269.2300000002</v>
      </c>
      <c r="I78" s="157"/>
      <c r="J78" s="158"/>
    </row>
    <row r="79" spans="1:17" ht="18.75" x14ac:dyDescent="0.3">
      <c r="D79" s="393" t="s">
        <v>17</v>
      </c>
      <c r="E79" s="393"/>
      <c r="F79" s="101">
        <v>-1830849.67</v>
      </c>
      <c r="I79" s="394" t="s">
        <v>18</v>
      </c>
      <c r="J79" s="395"/>
      <c r="K79" s="396">
        <f>F81+F82+F83</f>
        <v>267956.56000000029</v>
      </c>
      <c r="L79" s="396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0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39419.560000000289</v>
      </c>
      <c r="H81" s="168"/>
      <c r="I81" s="169" t="s">
        <v>21</v>
      </c>
      <c r="J81" s="170"/>
      <c r="K81" s="397">
        <f>-C4</f>
        <v>-3504178.07</v>
      </c>
      <c r="L81" s="396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44988</v>
      </c>
      <c r="D83" s="385" t="s">
        <v>24</v>
      </c>
      <c r="E83" s="386"/>
      <c r="F83" s="173">
        <v>0</v>
      </c>
      <c r="I83" s="419" t="s">
        <v>25</v>
      </c>
      <c r="J83" s="420"/>
      <c r="K83" s="421">
        <f>K79+K81</f>
        <v>-3236221.51</v>
      </c>
      <c r="L83" s="421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N123"/>
  <sheetViews>
    <sheetView topLeftCell="A7" workbookViewId="0">
      <selection activeCell="D30" sqref="D30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4257812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44989</v>
      </c>
      <c r="C3" s="216" t="s">
        <v>241</v>
      </c>
      <c r="D3" s="217">
        <v>28031.5</v>
      </c>
      <c r="E3" s="218"/>
      <c r="F3" s="217"/>
      <c r="G3" s="219">
        <f>D3-F3</f>
        <v>28031.5</v>
      </c>
      <c r="I3" s="287"/>
      <c r="J3" s="288"/>
      <c r="K3" s="289"/>
      <c r="L3" s="218"/>
      <c r="M3" s="220"/>
      <c r="N3" s="221">
        <f>K3-M3</f>
        <v>0</v>
      </c>
    </row>
    <row r="4" spans="2:14" ht="18.75" x14ac:dyDescent="0.3">
      <c r="B4" s="222">
        <v>44989</v>
      </c>
      <c r="C4" s="223" t="s">
        <v>240</v>
      </c>
      <c r="D4" s="101">
        <v>16713.439999999999</v>
      </c>
      <c r="E4" s="224"/>
      <c r="F4" s="101"/>
      <c r="G4" s="225">
        <f t="shared" ref="G4:G65" si="0">D4-F4</f>
        <v>16713.439999999999</v>
      </c>
      <c r="H4" s="226"/>
      <c r="I4" s="287"/>
      <c r="J4" s="288"/>
      <c r="K4" s="289"/>
      <c r="L4" s="218"/>
      <c r="M4" s="220"/>
      <c r="N4" s="227">
        <f>N3+K4-M4</f>
        <v>0</v>
      </c>
    </row>
    <row r="5" spans="2:14" ht="15.75" x14ac:dyDescent="0.25">
      <c r="B5" s="222">
        <v>44989</v>
      </c>
      <c r="C5" s="223" t="s">
        <v>242</v>
      </c>
      <c r="D5" s="101">
        <v>38403.300000000003</v>
      </c>
      <c r="E5" s="224"/>
      <c r="F5" s="101"/>
      <c r="G5" s="225">
        <f t="shared" si="0"/>
        <v>38403.300000000003</v>
      </c>
      <c r="I5" s="287"/>
      <c r="J5" s="288"/>
      <c r="K5" s="289"/>
      <c r="L5" s="218"/>
      <c r="M5" s="220"/>
      <c r="N5" s="227">
        <f t="shared" ref="N5:N65" si="1">N4+K5-M5</f>
        <v>0</v>
      </c>
    </row>
    <row r="6" spans="2:14" ht="15.75" x14ac:dyDescent="0.25">
      <c r="B6" s="222">
        <v>44991</v>
      </c>
      <c r="C6" s="223" t="s">
        <v>243</v>
      </c>
      <c r="D6" s="101">
        <v>47508.800000000003</v>
      </c>
      <c r="E6" s="224"/>
      <c r="F6" s="101"/>
      <c r="G6" s="225">
        <f t="shared" si="0"/>
        <v>47508.800000000003</v>
      </c>
      <c r="I6" s="287"/>
      <c r="J6" s="288"/>
      <c r="K6" s="289"/>
      <c r="L6" s="218"/>
      <c r="M6" s="220"/>
      <c r="N6" s="227">
        <f t="shared" si="1"/>
        <v>0</v>
      </c>
    </row>
    <row r="7" spans="2:14" ht="15.75" x14ac:dyDescent="0.25">
      <c r="B7" s="222">
        <v>44992</v>
      </c>
      <c r="C7" s="223" t="s">
        <v>244</v>
      </c>
      <c r="D7" s="101">
        <v>7298.8</v>
      </c>
      <c r="E7" s="224"/>
      <c r="F7" s="101"/>
      <c r="G7" s="225">
        <f t="shared" si="0"/>
        <v>7298.8</v>
      </c>
      <c r="I7" s="287"/>
      <c r="J7" s="288"/>
      <c r="K7" s="289"/>
      <c r="L7" s="218"/>
      <c r="M7" s="220"/>
      <c r="N7" s="227">
        <f t="shared" si="1"/>
        <v>0</v>
      </c>
    </row>
    <row r="8" spans="2:14" ht="15.75" x14ac:dyDescent="0.25">
      <c r="B8" s="222">
        <v>44993</v>
      </c>
      <c r="C8" s="223" t="s">
        <v>245</v>
      </c>
      <c r="D8" s="101">
        <v>63925.72</v>
      </c>
      <c r="E8" s="224"/>
      <c r="F8" s="101"/>
      <c r="G8" s="225">
        <f t="shared" si="0"/>
        <v>63925.72</v>
      </c>
      <c r="I8" s="287"/>
      <c r="J8" s="288"/>
      <c r="K8" s="289"/>
      <c r="L8" s="218"/>
      <c r="M8" s="220"/>
      <c r="N8" s="227">
        <f t="shared" si="1"/>
        <v>0</v>
      </c>
    </row>
    <row r="9" spans="2:14" ht="15.75" x14ac:dyDescent="0.25">
      <c r="B9" s="222">
        <v>44994</v>
      </c>
      <c r="C9" s="223" t="s">
        <v>246</v>
      </c>
      <c r="D9" s="101">
        <v>48335.199999999997</v>
      </c>
      <c r="E9" s="224"/>
      <c r="F9" s="101"/>
      <c r="G9" s="225">
        <f t="shared" si="0"/>
        <v>48335.199999999997</v>
      </c>
      <c r="I9" s="228"/>
      <c r="J9" s="286"/>
      <c r="K9" s="230"/>
      <c r="L9" s="218"/>
      <c r="M9" s="220"/>
      <c r="N9" s="227">
        <f t="shared" si="1"/>
        <v>0</v>
      </c>
    </row>
    <row r="10" spans="2:14" ht="18.75" x14ac:dyDescent="0.3">
      <c r="B10" s="222">
        <v>44995</v>
      </c>
      <c r="C10" s="223" t="s">
        <v>247</v>
      </c>
      <c r="D10" s="101">
        <v>29634.58</v>
      </c>
      <c r="E10" s="224"/>
      <c r="F10" s="101"/>
      <c r="G10" s="225">
        <f t="shared" si="0"/>
        <v>29634.58</v>
      </c>
      <c r="H10" s="226"/>
      <c r="I10" s="287"/>
      <c r="J10" s="288"/>
      <c r="K10" s="289"/>
      <c r="L10" s="218"/>
      <c r="M10" s="220"/>
      <c r="N10" s="227">
        <f t="shared" si="1"/>
        <v>0</v>
      </c>
    </row>
    <row r="11" spans="2:14" ht="15.75" x14ac:dyDescent="0.25">
      <c r="B11" s="222">
        <v>44996</v>
      </c>
      <c r="C11" s="223" t="s">
        <v>248</v>
      </c>
      <c r="D11" s="101">
        <v>50269.72</v>
      </c>
      <c r="E11" s="224"/>
      <c r="F11" s="101"/>
      <c r="G11" s="225">
        <f t="shared" si="0"/>
        <v>50269.72</v>
      </c>
      <c r="I11" s="228"/>
      <c r="J11" s="286"/>
      <c r="K11" s="230"/>
      <c r="L11" s="218"/>
      <c r="M11" s="220"/>
      <c r="N11" s="227">
        <f t="shared" si="1"/>
        <v>0</v>
      </c>
    </row>
    <row r="12" spans="2:14" ht="15.75" x14ac:dyDescent="0.25">
      <c r="B12" s="222">
        <v>44998</v>
      </c>
      <c r="C12" s="223" t="s">
        <v>249</v>
      </c>
      <c r="D12" s="101">
        <v>207174.23</v>
      </c>
      <c r="E12" s="224"/>
      <c r="F12" s="101"/>
      <c r="G12" s="225">
        <f t="shared" si="0"/>
        <v>207174.23</v>
      </c>
      <c r="I12" s="228"/>
      <c r="J12" s="286"/>
      <c r="K12" s="230"/>
      <c r="L12" s="218"/>
      <c r="M12" s="220"/>
      <c r="N12" s="227">
        <f t="shared" si="1"/>
        <v>0</v>
      </c>
    </row>
    <row r="13" spans="2:14" ht="15.75" x14ac:dyDescent="0.25">
      <c r="B13" s="222">
        <v>44999</v>
      </c>
      <c r="C13" s="223" t="s">
        <v>250</v>
      </c>
      <c r="D13" s="101">
        <v>101397.09</v>
      </c>
      <c r="E13" s="224"/>
      <c r="F13" s="101"/>
      <c r="G13" s="225">
        <f t="shared" si="0"/>
        <v>101397.09</v>
      </c>
      <c r="I13" s="287"/>
      <c r="J13" s="288"/>
      <c r="K13" s="289"/>
      <c r="L13" s="218"/>
      <c r="M13" s="220"/>
      <c r="N13" s="227">
        <f t="shared" si="1"/>
        <v>0</v>
      </c>
    </row>
    <row r="14" spans="2:14" ht="15.75" x14ac:dyDescent="0.25">
      <c r="B14" s="222">
        <v>45000</v>
      </c>
      <c r="C14" s="223" t="s">
        <v>260</v>
      </c>
      <c r="D14" s="101">
        <v>94085.5</v>
      </c>
      <c r="E14" s="224"/>
      <c r="F14" s="101"/>
      <c r="G14" s="225">
        <f t="shared" si="0"/>
        <v>94085.5</v>
      </c>
      <c r="I14" s="287"/>
      <c r="J14" s="288"/>
      <c r="K14" s="289"/>
      <c r="L14" s="218"/>
      <c r="M14" s="220"/>
      <c r="N14" s="227">
        <f t="shared" si="1"/>
        <v>0</v>
      </c>
    </row>
    <row r="15" spans="2:14" ht="15.75" x14ac:dyDescent="0.25">
      <c r="B15" s="222">
        <v>45001</v>
      </c>
      <c r="C15" s="223" t="s">
        <v>251</v>
      </c>
      <c r="D15" s="101">
        <v>13348.5</v>
      </c>
      <c r="E15" s="224"/>
      <c r="F15" s="101"/>
      <c r="G15" s="225">
        <f t="shared" si="0"/>
        <v>13348.5</v>
      </c>
      <c r="I15" s="228"/>
      <c r="J15" s="286"/>
      <c r="K15" s="230"/>
      <c r="L15" s="218"/>
      <c r="M15" s="220"/>
      <c r="N15" s="227">
        <f t="shared" si="1"/>
        <v>0</v>
      </c>
    </row>
    <row r="16" spans="2:14" ht="15.75" x14ac:dyDescent="0.25">
      <c r="B16" s="222">
        <v>45002</v>
      </c>
      <c r="C16" s="223" t="s">
        <v>252</v>
      </c>
      <c r="D16" s="101">
        <v>97253.73</v>
      </c>
      <c r="E16" s="224"/>
      <c r="F16" s="101"/>
      <c r="G16" s="225">
        <f t="shared" si="0"/>
        <v>97253.73</v>
      </c>
      <c r="I16" s="287"/>
      <c r="J16" s="288"/>
      <c r="K16" s="289"/>
      <c r="L16" s="218"/>
      <c r="M16" s="220"/>
      <c r="N16" s="227">
        <f t="shared" si="1"/>
        <v>0</v>
      </c>
    </row>
    <row r="17" spans="1:14" ht="15.75" x14ac:dyDescent="0.25">
      <c r="B17" s="222">
        <v>45003</v>
      </c>
      <c r="C17" s="223" t="s">
        <v>253</v>
      </c>
      <c r="D17" s="101">
        <v>39552.720000000001</v>
      </c>
      <c r="E17" s="224"/>
      <c r="F17" s="101"/>
      <c r="G17" s="225">
        <f t="shared" si="0"/>
        <v>39552.720000000001</v>
      </c>
      <c r="I17" s="228"/>
      <c r="J17" s="286"/>
      <c r="K17" s="230"/>
      <c r="L17" s="218"/>
      <c r="M17" s="220"/>
      <c r="N17" s="227">
        <f t="shared" si="1"/>
        <v>0</v>
      </c>
    </row>
    <row r="18" spans="1:14" ht="15.75" x14ac:dyDescent="0.25">
      <c r="B18" s="222">
        <v>45005</v>
      </c>
      <c r="C18" s="223" t="s">
        <v>254</v>
      </c>
      <c r="D18" s="101">
        <v>108979.1</v>
      </c>
      <c r="E18" s="224"/>
      <c r="F18" s="101"/>
      <c r="G18" s="225">
        <f t="shared" si="0"/>
        <v>108979.1</v>
      </c>
      <c r="I18" s="228"/>
      <c r="J18" s="286"/>
      <c r="K18" s="230"/>
      <c r="L18" s="218"/>
      <c r="M18" s="220"/>
      <c r="N18" s="227">
        <f t="shared" si="1"/>
        <v>0</v>
      </c>
    </row>
    <row r="19" spans="1:14" ht="15.75" x14ac:dyDescent="0.25">
      <c r="B19" s="222">
        <v>45006</v>
      </c>
      <c r="C19" s="223" t="s">
        <v>255</v>
      </c>
      <c r="D19" s="101">
        <v>16327.98</v>
      </c>
      <c r="E19" s="224"/>
      <c r="F19" s="101"/>
      <c r="G19" s="225">
        <f t="shared" si="0"/>
        <v>16327.98</v>
      </c>
      <c r="I19" s="287"/>
      <c r="J19" s="288"/>
      <c r="K19" s="289"/>
      <c r="L19" s="218"/>
      <c r="M19" s="220"/>
      <c r="N19" s="227">
        <f t="shared" si="1"/>
        <v>0</v>
      </c>
    </row>
    <row r="20" spans="1:14" ht="17.25" x14ac:dyDescent="0.3">
      <c r="B20" s="222">
        <v>45007</v>
      </c>
      <c r="C20" s="223" t="s">
        <v>256</v>
      </c>
      <c r="D20" s="101">
        <v>4721.6000000000004</v>
      </c>
      <c r="E20" s="224"/>
      <c r="F20" s="101"/>
      <c r="G20" s="225">
        <f t="shared" si="0"/>
        <v>4721.6000000000004</v>
      </c>
      <c r="I20" s="228"/>
      <c r="J20" s="286"/>
      <c r="K20" s="230"/>
      <c r="L20" s="218"/>
      <c r="M20" s="231"/>
      <c r="N20" s="227">
        <f t="shared" si="1"/>
        <v>0</v>
      </c>
    </row>
    <row r="21" spans="1:14" ht="17.25" x14ac:dyDescent="0.3">
      <c r="B21" s="222">
        <v>45007</v>
      </c>
      <c r="C21" s="223" t="s">
        <v>257</v>
      </c>
      <c r="D21" s="101">
        <v>2870.4</v>
      </c>
      <c r="E21" s="224"/>
      <c r="F21" s="101"/>
      <c r="G21" s="225">
        <f t="shared" si="0"/>
        <v>2870.4</v>
      </c>
      <c r="I21" s="287"/>
      <c r="J21" s="288"/>
      <c r="K21" s="289"/>
      <c r="L21" s="218"/>
      <c r="M21" s="231"/>
      <c r="N21" s="227">
        <f t="shared" si="1"/>
        <v>0</v>
      </c>
    </row>
    <row r="22" spans="1:14" ht="18.75" x14ac:dyDescent="0.3">
      <c r="B22" s="222">
        <v>45008</v>
      </c>
      <c r="C22" s="223" t="s">
        <v>258</v>
      </c>
      <c r="D22" s="101">
        <v>62616.82</v>
      </c>
      <c r="E22" s="224"/>
      <c r="F22" s="101"/>
      <c r="G22" s="225">
        <f t="shared" si="0"/>
        <v>62616.82</v>
      </c>
      <c r="H22" s="232"/>
      <c r="I22" s="235"/>
      <c r="J22" s="290"/>
      <c r="K22" s="237"/>
      <c r="L22" s="218"/>
      <c r="M22" s="231"/>
      <c r="N22" s="227">
        <f t="shared" si="1"/>
        <v>0</v>
      </c>
    </row>
    <row r="23" spans="1:14" ht="15.75" x14ac:dyDescent="0.25">
      <c r="B23" s="222">
        <v>45009</v>
      </c>
      <c r="C23" s="223" t="s">
        <v>259</v>
      </c>
      <c r="D23" s="101">
        <v>13706.8</v>
      </c>
      <c r="E23" s="224"/>
      <c r="F23" s="101"/>
      <c r="G23" s="225">
        <f t="shared" si="0"/>
        <v>13706.8</v>
      </c>
      <c r="H23" s="233"/>
      <c r="I23" s="235"/>
      <c r="J23" s="290"/>
      <c r="K23" s="237"/>
      <c r="L23" s="224"/>
      <c r="M23" s="101"/>
      <c r="N23" s="227">
        <f t="shared" si="1"/>
        <v>0</v>
      </c>
    </row>
    <row r="24" spans="1:14" ht="21" customHeight="1" x14ac:dyDescent="0.25">
      <c r="B24" s="222">
        <v>45010</v>
      </c>
      <c r="C24" s="223" t="s">
        <v>261</v>
      </c>
      <c r="D24" s="101">
        <v>60713.06</v>
      </c>
      <c r="E24" s="224"/>
      <c r="F24" s="101"/>
      <c r="G24" s="225">
        <f t="shared" si="0"/>
        <v>60713.06</v>
      </c>
      <c r="H24" s="233"/>
      <c r="I24" s="235"/>
      <c r="J24" s="290"/>
      <c r="K24" s="237"/>
      <c r="L24" s="224"/>
      <c r="M24" s="101"/>
      <c r="N24" s="227">
        <f t="shared" si="1"/>
        <v>0</v>
      </c>
    </row>
    <row r="25" spans="1:14" ht="15.75" x14ac:dyDescent="0.25">
      <c r="B25" s="222">
        <v>45012</v>
      </c>
      <c r="C25" s="223" t="s">
        <v>262</v>
      </c>
      <c r="D25" s="101">
        <v>89935.7</v>
      </c>
      <c r="E25" s="224"/>
      <c r="F25" s="101"/>
      <c r="G25" s="225">
        <f t="shared" si="0"/>
        <v>89935.7</v>
      </c>
      <c r="H25" s="234"/>
      <c r="I25" s="235"/>
      <c r="J25" s="290"/>
      <c r="K25" s="237"/>
      <c r="L25" s="224"/>
      <c r="M25" s="101"/>
      <c r="N25" s="227">
        <f t="shared" si="1"/>
        <v>0</v>
      </c>
    </row>
    <row r="26" spans="1:14" ht="15.75" x14ac:dyDescent="0.25">
      <c r="B26" s="222">
        <v>45012</v>
      </c>
      <c r="C26" s="223" t="s">
        <v>263</v>
      </c>
      <c r="D26" s="101">
        <v>6879.4</v>
      </c>
      <c r="E26" s="224"/>
      <c r="F26" s="101"/>
      <c r="G26" s="225">
        <f t="shared" si="0"/>
        <v>6879.4</v>
      </c>
      <c r="H26" s="234"/>
      <c r="I26" s="235"/>
      <c r="J26" s="290"/>
      <c r="K26" s="237"/>
      <c r="L26" s="224"/>
      <c r="M26" s="101"/>
      <c r="N26" s="227">
        <f t="shared" si="1"/>
        <v>0</v>
      </c>
    </row>
    <row r="27" spans="1:14" ht="15.75" x14ac:dyDescent="0.25">
      <c r="B27" s="222">
        <v>45012</v>
      </c>
      <c r="C27" s="223" t="s">
        <v>264</v>
      </c>
      <c r="D27" s="101">
        <v>5900.8</v>
      </c>
      <c r="E27" s="224"/>
      <c r="F27" s="101"/>
      <c r="G27" s="225">
        <f t="shared" si="0"/>
        <v>5900.8</v>
      </c>
      <c r="H27" s="234"/>
      <c r="I27" s="235"/>
      <c r="J27" s="290"/>
      <c r="K27" s="237"/>
      <c r="L27" s="224"/>
      <c r="M27" s="101"/>
      <c r="N27" s="227">
        <f t="shared" si="1"/>
        <v>0</v>
      </c>
    </row>
    <row r="28" spans="1:14" ht="15.75" x14ac:dyDescent="0.25">
      <c r="B28" s="222">
        <v>45013</v>
      </c>
      <c r="C28" s="223" t="s">
        <v>265</v>
      </c>
      <c r="D28" s="101">
        <v>15687.72</v>
      </c>
      <c r="E28" s="224"/>
      <c r="F28" s="101"/>
      <c r="G28" s="225">
        <f t="shared" si="0"/>
        <v>15687.72</v>
      </c>
      <c r="H28" s="234"/>
      <c r="I28" s="277"/>
      <c r="J28" s="281"/>
      <c r="K28" s="237"/>
      <c r="L28" s="224"/>
      <c r="M28" s="101"/>
      <c r="N28" s="227">
        <f t="shared" si="1"/>
        <v>0</v>
      </c>
    </row>
    <row r="29" spans="1:14" ht="15.75" x14ac:dyDescent="0.25">
      <c r="B29" s="222">
        <v>45013</v>
      </c>
      <c r="C29" s="223" t="s">
        <v>266</v>
      </c>
      <c r="D29" s="101">
        <v>3153.6</v>
      </c>
      <c r="E29" s="224"/>
      <c r="F29" s="101"/>
      <c r="G29" s="225">
        <f t="shared" si="0"/>
        <v>3153.6</v>
      </c>
      <c r="H29" s="234"/>
      <c r="I29" s="277"/>
      <c r="J29" s="281"/>
      <c r="K29" s="237"/>
      <c r="L29" s="224"/>
      <c r="M29" s="101"/>
      <c r="N29" s="227">
        <f t="shared" si="1"/>
        <v>0</v>
      </c>
    </row>
    <row r="30" spans="1:14" ht="15.75" x14ac:dyDescent="0.25">
      <c r="A30" s="31"/>
      <c r="B30" s="222"/>
      <c r="C30" s="223"/>
      <c r="D30" s="101"/>
      <c r="E30" s="224"/>
      <c r="F30" s="101"/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/>
      <c r="C31" s="223"/>
      <c r="D31" s="101"/>
      <c r="E31" s="224"/>
      <c r="F31" s="101"/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/>
      <c r="C32" s="223"/>
      <c r="D32" s="101"/>
      <c r="E32" s="224"/>
      <c r="F32" s="101"/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/>
      <c r="C33" s="223"/>
      <c r="D33" s="101"/>
      <c r="E33" s="224"/>
      <c r="F33" s="101"/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/>
      <c r="C34" s="223"/>
      <c r="D34" s="101"/>
      <c r="E34" s="224"/>
      <c r="F34" s="101"/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/>
      <c r="C35" s="223"/>
      <c r="D35" s="101"/>
      <c r="E35" s="224"/>
      <c r="F35" s="101"/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/>
      <c r="C36" s="223"/>
      <c r="D36" s="101"/>
      <c r="E36" s="224"/>
      <c r="F36" s="101"/>
      <c r="G36" s="225">
        <f t="shared" si="0"/>
        <v>0</v>
      </c>
      <c r="I36" s="404"/>
      <c r="J36" s="405"/>
      <c r="K36" s="405"/>
      <c r="L36" s="406"/>
      <c r="M36" s="101"/>
      <c r="N36" s="227">
        <f t="shared" si="1"/>
        <v>0</v>
      </c>
    </row>
    <row r="37" spans="2:14" ht="15.75" x14ac:dyDescent="0.25">
      <c r="B37" s="222"/>
      <c r="C37" s="223"/>
      <c r="D37" s="101"/>
      <c r="E37" s="224"/>
      <c r="F37" s="101"/>
      <c r="G37" s="225">
        <f t="shared" si="0"/>
        <v>0</v>
      </c>
      <c r="I37" s="404"/>
      <c r="J37" s="405"/>
      <c r="K37" s="405"/>
      <c r="L37" s="406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407" t="s">
        <v>35</v>
      </c>
      <c r="J40" s="408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409"/>
      <c r="J41" s="410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411"/>
      <c r="J42" s="412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1274425.81</v>
      </c>
      <c r="E67" s="261"/>
      <c r="F67" s="262">
        <f>SUM(F3:F66)</f>
        <v>0</v>
      </c>
      <c r="G67" s="263">
        <f>SUM(G3:G66)</f>
        <v>1274425.81</v>
      </c>
      <c r="I67" s="413" t="s">
        <v>35</v>
      </c>
      <c r="J67" s="414"/>
      <c r="K67" s="264">
        <f>SUM(K3:K66)</f>
        <v>0</v>
      </c>
      <c r="L67" s="265"/>
      <c r="M67" s="266">
        <f>SUM(M3:M66)</f>
        <v>0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417" t="s">
        <v>36</v>
      </c>
      <c r="I68" s="422"/>
      <c r="J68" s="423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418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191"/>
      <c r="K73" s="304"/>
      <c r="L73" s="304"/>
      <c r="M73" s="299"/>
      <c r="N73"/>
    </row>
    <row r="74" spans="2:14" x14ac:dyDescent="0.25">
      <c r="C74" s="275"/>
      <c r="D74" s="189"/>
      <c r="E74" s="276"/>
      <c r="F74"/>
      <c r="H74" s="233"/>
      <c r="I74" s="303"/>
      <c r="J74" s="191"/>
      <c r="K74" s="304"/>
      <c r="L74" s="304"/>
      <c r="M74" s="299"/>
      <c r="N74"/>
    </row>
    <row r="75" spans="2:14" ht="15.75" x14ac:dyDescent="0.25">
      <c r="C75" s="275"/>
      <c r="D75" s="108"/>
      <c r="E75" s="276"/>
      <c r="H75" s="233"/>
      <c r="I75" s="188"/>
      <c r="J75" s="188"/>
      <c r="K75" s="188"/>
      <c r="L75" s="302"/>
      <c r="M75" s="299"/>
      <c r="N75"/>
    </row>
    <row r="76" spans="2:14" ht="15.75" x14ac:dyDescent="0.25">
      <c r="C76" s="275"/>
      <c r="D76" s="108"/>
      <c r="E76" s="276"/>
      <c r="H76" s="233"/>
      <c r="I76" s="188"/>
      <c r="J76" s="188"/>
      <c r="K76" s="188"/>
      <c r="L76" s="302"/>
      <c r="M76" s="299"/>
      <c r="N76"/>
    </row>
    <row r="77" spans="2:14" ht="15.75" x14ac:dyDescent="0.25">
      <c r="C77" s="275"/>
      <c r="D77" s="108"/>
      <c r="E77" s="276"/>
      <c r="I77" s="299"/>
      <c r="J77" s="299"/>
      <c r="K77" s="299"/>
      <c r="L77" s="298"/>
      <c r="M77" s="299"/>
      <c r="N77"/>
    </row>
    <row r="78" spans="2:14" ht="15.75" x14ac:dyDescent="0.25">
      <c r="C78" s="275"/>
      <c r="D78" s="108"/>
      <c r="E78" s="276"/>
      <c r="I78" s="299"/>
      <c r="J78" s="299"/>
      <c r="K78" s="299"/>
      <c r="L78" s="298"/>
      <c r="M78" s="299"/>
      <c r="N78"/>
    </row>
    <row r="79" spans="2:14" ht="15.75" x14ac:dyDescent="0.25">
      <c r="C79" s="275"/>
      <c r="D79" s="108"/>
      <c r="E79" s="276"/>
      <c r="I79" s="299"/>
      <c r="J79" s="299"/>
      <c r="K79" s="299"/>
      <c r="L79" s="298"/>
      <c r="M79" s="299"/>
      <c r="N79"/>
    </row>
    <row r="80" spans="2:14" ht="15.75" x14ac:dyDescent="0.25">
      <c r="C80" s="275"/>
      <c r="D80" s="108"/>
      <c r="E80" s="276"/>
      <c r="I80"/>
      <c r="J80"/>
      <c r="K80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Hoja1</vt:lpstr>
      <vt:lpstr>  E N E R O    2 0 2 3     </vt:lpstr>
      <vt:lpstr>COMPRAS  ENERO  2023  </vt:lpstr>
      <vt:lpstr>  F E B R E R O      2 0 2 3   </vt:lpstr>
      <vt:lpstr>COMPRAS   FEBRERERO  2023    </vt:lpstr>
      <vt:lpstr>   M A R Z O     2 0 2 3    </vt:lpstr>
      <vt:lpstr> COMPRAS  MARZO   2023     </vt:lpstr>
      <vt:lpstr>Hoja8</vt:lpstr>
      <vt:lpstr>Hoja9</vt:lpstr>
      <vt:lpstr>Hoja10</vt:lpstr>
      <vt:lpstr>Hoja11</vt:lpstr>
      <vt:lpstr>Hoja12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2023-03-03T20:28:05Z</cp:lastPrinted>
  <dcterms:created xsi:type="dcterms:W3CDTF">2023-01-31T18:18:42Z</dcterms:created>
  <dcterms:modified xsi:type="dcterms:W3CDTF">2023-04-27T21:52:18Z</dcterms:modified>
</cp:coreProperties>
</file>