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4920" yWindow="0" windowWidth="15255" windowHeight="10920" firstSheet="20" activeTab="21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pagos de octubre " sheetId="29" r:id="rId20"/>
    <sheet name="OCTUBRE   2 0 2  1           " sheetId="30" r:id="rId21"/>
    <sheet name="REMISIONES OCTUBRE  2021" sheetId="31" r:id="rId22"/>
    <sheet name="Hoja5" sheetId="32" r:id="rId23"/>
    <sheet name="C A N C E L A C I O N E S   " sheetId="5" r:id="rId24"/>
    <sheet name="REPORTE  JUNIO  JULIO  AGOSTO  " sheetId="23" r:id="rId25"/>
    <sheet name="RELACION DE TIKETS       00000" sheetId="17" r:id="rId26"/>
    <sheet name="Hoja1" sheetId="25" r:id="rId27"/>
    <sheet name="Hoja3" sheetId="26" r:id="rId28"/>
    <sheet name="Hoja2" sheetId="24" r:id="rId2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30" l="1"/>
  <c r="I19" i="30"/>
  <c r="F19" i="30"/>
  <c r="S17" i="30"/>
  <c r="S20" i="30"/>
  <c r="F18" i="30"/>
  <c r="F17" i="30"/>
  <c r="F7" i="30"/>
  <c r="L6" i="30"/>
  <c r="F6" i="30"/>
  <c r="F16" i="30" l="1"/>
  <c r="S15" i="30"/>
  <c r="P15" i="30"/>
  <c r="M15" i="30"/>
  <c r="F15" i="30"/>
  <c r="F14" i="30"/>
  <c r="L13" i="30"/>
  <c r="I13" i="30"/>
  <c r="C13" i="30"/>
  <c r="F13" i="30"/>
  <c r="F12" i="30"/>
  <c r="S10" i="30" l="1"/>
  <c r="S11" i="30"/>
  <c r="F11" i="30"/>
  <c r="F10" i="30"/>
  <c r="F9" i="30"/>
  <c r="S5" i="30"/>
  <c r="F8" i="30"/>
  <c r="R5" i="30"/>
  <c r="E97" i="31"/>
  <c r="C97" i="31"/>
  <c r="F3" i="31"/>
  <c r="F4" i="31" s="1"/>
  <c r="F5" i="31" s="1"/>
  <c r="F6" i="31" s="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K73" i="30"/>
  <c r="I67" i="30"/>
  <c r="M66" i="30"/>
  <c r="M58" i="30"/>
  <c r="AG44" i="30"/>
  <c r="M39" i="30"/>
  <c r="R38" i="30"/>
  <c r="R37" i="30"/>
  <c r="R36" i="30"/>
  <c r="R35" i="30"/>
  <c r="S35" i="30" s="1"/>
  <c r="R34" i="30"/>
  <c r="R33" i="30"/>
  <c r="S33" i="30" s="1"/>
  <c r="R32" i="30"/>
  <c r="S32" i="30" s="1"/>
  <c r="R31" i="30"/>
  <c r="S31" i="30" s="1"/>
  <c r="P31" i="30"/>
  <c r="R30" i="30"/>
  <c r="S30" i="30" s="1"/>
  <c r="AC29" i="30"/>
  <c r="R29" i="30"/>
  <c r="S29" i="30" s="1"/>
  <c r="R28" i="30"/>
  <c r="S28" i="30" s="1"/>
  <c r="S27" i="30"/>
  <c r="R27" i="30"/>
  <c r="R26" i="30"/>
  <c r="S26" i="30" s="1"/>
  <c r="AG25" i="30"/>
  <c r="R25" i="30"/>
  <c r="S25" i="30" s="1"/>
  <c r="R24" i="30"/>
  <c r="S24" i="30" s="1"/>
  <c r="AG23" i="30"/>
  <c r="R23" i="30"/>
  <c r="S23" i="30" s="1"/>
  <c r="R22" i="30"/>
  <c r="S22" i="30" s="1"/>
  <c r="R21" i="30"/>
  <c r="S21" i="30" s="1"/>
  <c r="R20" i="30"/>
  <c r="R19" i="30"/>
  <c r="S19" i="30" s="1"/>
  <c r="R18" i="30"/>
  <c r="S18" i="30" s="1"/>
  <c r="R17" i="30"/>
  <c r="R16" i="30"/>
  <c r="S16" i="30" s="1"/>
  <c r="R15" i="30"/>
  <c r="R14" i="30"/>
  <c r="S14" i="30" s="1"/>
  <c r="R13" i="30"/>
  <c r="S13" i="30" s="1"/>
  <c r="R12" i="30"/>
  <c r="S12" i="30" s="1"/>
  <c r="R11" i="30"/>
  <c r="R10" i="30"/>
  <c r="C67" i="30"/>
  <c r="R8" i="30"/>
  <c r="S8" i="30" s="1"/>
  <c r="L67" i="30"/>
  <c r="R7" i="30"/>
  <c r="S7" i="30" s="1"/>
  <c r="R6" i="30"/>
  <c r="S6" i="30" s="1"/>
  <c r="F67" i="30" l="1"/>
  <c r="K69" i="30"/>
  <c r="N39" i="30"/>
  <c r="R9" i="30"/>
  <c r="S9" i="30" s="1"/>
  <c r="F70" i="30" l="1"/>
  <c r="F73" i="30" s="1"/>
  <c r="K71" i="30" s="1"/>
  <c r="K75" i="30" s="1"/>
  <c r="S67" i="30"/>
  <c r="R39" i="30"/>
  <c r="R67" i="30" s="1"/>
  <c r="R70" i="30" l="1"/>
  <c r="D31" i="29" l="1"/>
  <c r="D24" i="29"/>
  <c r="D18" i="29"/>
  <c r="D13" i="29"/>
  <c r="D8" i="29"/>
  <c r="L39" i="27" l="1"/>
  <c r="L51" i="27"/>
  <c r="L38" i="27"/>
  <c r="L47" i="27"/>
  <c r="F67" i="27" l="1"/>
  <c r="C97" i="28"/>
  <c r="P31" i="27"/>
  <c r="L34" i="27"/>
  <c r="N33" i="27"/>
  <c r="N29" i="27" l="1"/>
  <c r="L29" i="27"/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7" i="16" l="1"/>
  <c r="N32" i="19"/>
  <c r="N31" i="19"/>
  <c r="L29" i="19"/>
  <c r="N28" i="19"/>
  <c r="L22" i="19" l="1"/>
  <c r="R22" i="19" s="1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N39" i="19" s="1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F21" i="22" l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AG25" i="19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 s="1"/>
  <c r="Q15" i="10" s="1"/>
  <c r="L16" i="10"/>
  <c r="P16" i="10" s="1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M56" i="10" l="1"/>
  <c r="L56" i="10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<sst xmlns="http://schemas.openxmlformats.org/spreadsheetml/2006/main" count="2651" uniqueCount="949">
  <si>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</si>
  <si>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</si>
  <si>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</si>
  <si>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</si>
  <si>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</si>
  <si>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</si>
  <si>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</si>
  <si>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</si>
  <si>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</si>
  <si>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</si>
  <si>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</si>
  <si>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</si>
  <si>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</si>
  <si>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</si>
  <si>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</si>
  <si>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</si>
  <si>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</si>
  <si>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</si>
  <si>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</si>
  <si>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</si>
  <si>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</si>
  <si>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</si>
  <si>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</si>
  <si>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</si>
  <si>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</si>
  <si>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</si>
  <si>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</si>
  <si>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</si>
  <si>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</si>
  <si>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</si>
  <si>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</si>
  <si>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</si>
  <si>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</si>
  <si>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</si>
  <si>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</si>
  <si>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</si>
  <si>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</si>
  <si>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</si>
  <si>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</si>
  <si>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</si>
  <si>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</si>
  <si>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</si>
  <si>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</si>
  <si>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</si>
  <si>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</si>
  <si>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</si>
  <si>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</si>
  <si>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</si>
  <si>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</si>
  <si>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</si>
  <si>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</si>
  <si>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</si>
  <si>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</si>
  <si>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</si>
  <si>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</si>
  <si>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</si>
  <si>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</si>
  <si>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</si>
  <si>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</si>
  <si>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</si>
  <si>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</si>
  <si>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</si>
  <si>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</si>
  <si>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</si>
  <si>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</si>
  <si>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</si>
  <si>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</si>
  <si>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</si>
  <si>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</si>
  <si>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</si>
  <si>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</si>
  <si>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</si>
  <si>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</si>
  <si>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</si>
  <si>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</si>
  <si>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</si>
  <si>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</si>
  <si>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</si>
  <si>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</si>
  <si>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</si>
  <si>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</si>
  <si>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</si>
  <si>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</si>
  <si>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</si>
  <si>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</si>
  <si>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</si>
  <si>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</si>
  <si>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</si>
  <si>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</si>
  <si>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</si>
  <si>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</si>
  <si>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</si>
  <si>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</si>
  <si>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</si>
  <si>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</si>
  <si>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</si>
  <si>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</si>
  <si>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</si>
  <si>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</si>
  <si>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</si>
  <si>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</si>
  <si>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</si>
  <si>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</si>
  <si>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</si>
  <si>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</si>
  <si>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</si>
  <si>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</si>
  <si>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</si>
  <si>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</si>
  <si>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</si>
  <si>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</si>
  <si>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</si>
  <si>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</si>
  <si>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</si>
  <si>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</si>
  <si>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</si>
  <si>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</si>
  <si>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</si>
  <si>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</si>
  <si>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</si>
  <si>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</si>
  <si>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</si>
  <si>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</si>
  <si>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</si>
  <si>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</si>
  <si>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</si>
  <si>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</si>
  <si>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</si>
  <si>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</si>
  <si>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</si>
  <si>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</si>
  <si>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</si>
  <si>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</si>
  <si>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</si>
  <si>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</si>
  <si>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</si>
  <si>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</si>
  <si>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</si>
  <si>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</si>
  <si>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</si>
  <si>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</si>
  <si>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</si>
  <si>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</si>
  <si>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</si>
  <si>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</si>
  <si>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</si>
  <si>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</si>
  <si>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</si>
  <si>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</si>
  <si>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</si>
  <si>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</si>
  <si>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</si>
  <si>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</si>
  <si>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</si>
  <si>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</si>
  <si>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</si>
  <si>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</si>
  <si>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</si>
  <si>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</si>
  <si>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</si>
  <si>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</si>
  <si>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</si>
  <si>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</si>
  <si>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</si>
  <si>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</si>
  <si>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</si>
  <si>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</si>
  <si>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</si>
  <si>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</si>
  <si>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</si>
  <si>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</si>
  <si>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</si>
  <si>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</si>
  <si>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</si>
  <si>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</si>
  <si>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</si>
  <si>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</si>
  <si>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</si>
  <si>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</si>
  <si>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</si>
  <si>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</si>
  <si>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</si>
  <si>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</si>
  <si>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</si>
  <si>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</si>
  <si>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</si>
  <si>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</si>
  <si>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</si>
  <si>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</si>
  <si>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</si>
  <si>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</si>
  <si>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</si>
  <si>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</si>
  <si>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</si>
  <si>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</si>
  <si>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</si>
  <si>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</si>
  <si>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</si>
  <si>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</si>
  <si>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</si>
  <si>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</si>
  <si>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</si>
  <si>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</si>
  <si>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</si>
  <si>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</si>
  <si>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</si>
  <si>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</si>
  <si>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</si>
  <si>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</si>
  <si>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</si>
  <si>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</si>
  <si>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</si>
  <si>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</si>
  <si>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</si>
  <si>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</si>
  <si>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</si>
  <si>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</si>
  <si>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</si>
  <si>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</si>
  <si>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</si>
  <si>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</si>
  <si>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</si>
  <si>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</si>
  <si>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</si>
  <si>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</si>
  <si>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</si>
  <si>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</si>
  <si>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</si>
  <si>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</si>
  <si>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</si>
  <si>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</si>
  <si>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</si>
  <si>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</si>
  <si>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</si>
  <si>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</si>
  <si>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</si>
  <si>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</si>
  <si>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</si>
  <si>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</si>
  <si>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</si>
  <si>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</si>
  <si>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</si>
  <si>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</si>
  <si>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</si>
  <si>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</si>
  <si>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</si>
  <si>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</si>
  <si>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</si>
  <si>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</si>
  <si>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</si>
  <si>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</si>
  <si>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</si>
  <si>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</si>
  <si>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</si>
  <si>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</si>
  <si>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</si>
  <si>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</si>
  <si>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</si>
  <si>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</si>
  <si>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</si>
  <si>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</si>
  <si>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</si>
  <si>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</si>
  <si>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</si>
  <si>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</si>
  <si>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</si>
  <si>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</si>
  <si>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</si>
  <si>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</si>
  <si>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</si>
  <si>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</si>
  <si>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</si>
  <si>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</si>
  <si>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</si>
  <si>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</si>
  <si>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</si>
  <si>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</si>
  <si>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</si>
  <si>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</si>
  <si>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</si>
  <si>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</si>
  <si>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</si>
  <si>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</si>
  <si>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</si>
  <si>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</si>
  <si>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</si>
  <si>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</si>
  <si>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</si>
  <si>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</si>
  <si>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</si>
  <si>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</si>
  <si>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</si>
  <si>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</si>
  <si>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</si>
  <si>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</si>
  <si>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</si>
  <si>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</si>
  <si>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</si>
  <si>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</si>
  <si>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</si>
  <si>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</si>
  <si>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</si>
  <si>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</si>
  <si>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</si>
  <si>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</si>
  <si>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</si>
  <si>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</si>
  <si>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</si>
  <si>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</si>
  <si>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</si>
  <si>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</si>
  <si>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</si>
  <si>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</si>
  <si>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</si>
  <si>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</si>
  <si>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</si>
  <si>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</si>
  <si>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</si>
  <si>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</si>
  <si>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</si>
  <si>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</si>
  <si>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</si>
  <si>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</si>
  <si>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</si>
  <si>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</si>
  <si>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</si>
  <si>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</si>
  <si>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</si>
  <si>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</si>
  <si>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</si>
  <si>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</si>
  <si>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</si>
  <si>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</si>
  <si>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</si>
  <si>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</si>
  <si>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</si>
  <si>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</si>
  <si>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</si>
  <si>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</si>
  <si>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</si>
  <si>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</si>
  <si>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</si>
  <si>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</si>
  <si>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</si>
  <si>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</si>
  <si>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</si>
  <si>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</si>
  <si>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</si>
  <si>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</si>
  <si>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</si>
  <si>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</si>
  <si>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</si>
  <si>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</si>
  <si>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</si>
  <si>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</si>
  <si>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</si>
  <si>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</si>
  <si>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</si>
  <si>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</si>
  <si>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</si>
  <si>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</si>
  <si>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</si>
  <si>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</si>
  <si>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</si>
  <si>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</si>
  <si>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</si>
  <si>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</si>
  <si>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</si>
  <si>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</si>
  <si>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</si>
  <si>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</si>
  <si>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</si>
  <si>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</si>
  <si>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</si>
  <si>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</si>
  <si>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</si>
  <si>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</si>
  <si>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</si>
  <si>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</si>
  <si>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</si>
  <si>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</si>
  <si>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</si>
  <si>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</si>
  <si>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</si>
  <si>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</si>
  <si>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</si>
  <si>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</si>
  <si>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</si>
  <si>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</si>
  <si>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</si>
  <si>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</si>
  <si>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</si>
  <si>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</si>
  <si>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</si>
  <si>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</si>
  <si>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</si>
  <si>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</si>
  <si>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</si>
  <si>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</si>
  <si>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</si>
  <si>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</si>
  <si>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</si>
  <si>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</si>
  <si>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</si>
  <si>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</si>
  <si>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</si>
  <si>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</si>
  <si>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</si>
  <si>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</si>
  <si>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</si>
  <si>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</si>
  <si>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</si>
  <si>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</si>
  <si>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</si>
  <si>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</si>
  <si>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</si>
  <si>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</si>
  <si>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</si>
  <si>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</si>
  <si>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</si>
  <si>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</si>
  <si>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</si>
  <si>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</si>
  <si>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</si>
  <si>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</si>
  <si>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</si>
  <si>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</si>
  <si>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</si>
  <si>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</si>
  <si>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</si>
  <si>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</si>
  <si>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</si>
  <si>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</si>
  <si>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</si>
  <si>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</si>
  <si>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</si>
  <si>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</si>
  <si>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</si>
  <si>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</si>
  <si>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</si>
  <si>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</si>
  <si>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</si>
  <si>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</si>
  <si>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</si>
  <si>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</si>
  <si>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</si>
  <si>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</si>
  <si>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</si>
  <si>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</si>
  <si>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</si>
  <si>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</si>
  <si>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</si>
  <si>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</si>
  <si>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</si>
  <si>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</si>
  <si>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</si>
  <si>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</si>
  <si>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</si>
  <si>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</si>
  <si>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</si>
  <si>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</si>
  <si>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</si>
  <si>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</si>
  <si>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</si>
  <si>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</si>
  <si>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</si>
  <si>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</si>
  <si>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</si>
  <si>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</si>
  <si>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</si>
  <si>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</si>
  <si>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</si>
  <si>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</si>
  <si>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</si>
  <si>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</si>
  <si>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</si>
  <si>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</si>
  <si>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</si>
  <si>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</si>
  <si>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</si>
  <si>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</si>
  <si>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</si>
  <si>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</si>
  <si>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</si>
  <si>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</si>
  <si>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</si>
  <si>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</si>
  <si>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</si>
  <si>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</si>
  <si>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</si>
  <si>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</si>
  <si>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</si>
  <si>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</si>
  <si>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</si>
  <si>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</si>
  <si>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</si>
  <si>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</si>
  <si>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</si>
  <si>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</si>
  <si>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</si>
  <si>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</si>
  <si>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</si>
  <si>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</si>
  <si>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</si>
  <si>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</si>
  <si>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</si>
  <si>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</si>
  <si>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</si>
  <si>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</si>
  <si>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</si>
  <si>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</si>
  <si>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</si>
  <si>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</si>
  <si>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</si>
  <si>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</si>
  <si>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</si>
  <si>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</si>
  <si>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</si>
  <si>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</si>
  <si>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</si>
  <si>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</si>
  <si>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</si>
  <si>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</si>
  <si>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</si>
  <si>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</si>
  <si>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</si>
  <si>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</si>
  <si>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</si>
  <si>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</si>
  <si>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</si>
  <si>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</si>
  <si>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</si>
  <si>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</si>
  <si>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</si>
  <si>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</si>
  <si>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</si>
  <si>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</si>
  <si>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</si>
  <si>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</si>
  <si>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</si>
  <si>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</si>
  <si>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</si>
  <si>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</si>
  <si>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</si>
  <si>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</si>
  <si>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</si>
  <si>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</si>
  <si>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</si>
  <si>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</si>
  <si>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</si>
  <si>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</si>
  <si>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</si>
  <si>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</si>
  <si>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</si>
  <si>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</si>
  <si>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</si>
  <si>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</si>
  <si>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</si>
  <si>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</si>
  <si>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</si>
  <si>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</si>
  <si>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</si>
  <si>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</si>
  <si>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</si>
  <si>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</si>
  <si>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</si>
  <si>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</si>
  <si>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</si>
  <si>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</si>
  <si>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</si>
  <si>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</si>
  <si>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</si>
  <si>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</si>
  <si>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</si>
  <si>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</si>
  <si>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</si>
  <si>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</si>
  <si>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</si>
  <si>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</si>
  <si>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</si>
  <si>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</si>
  <si>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</si>
  <si>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</si>
  <si>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</si>
  <si>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</si>
  <si>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</si>
  <si>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</si>
  <si>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</si>
  <si>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</si>
  <si>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</si>
  <si>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</si>
  <si>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</si>
  <si>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</si>
  <si>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</si>
  <si>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</si>
  <si>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</si>
  <si>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</si>
  <si>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</si>
  <si>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</si>
  <si>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</si>
  <si>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</si>
  <si>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</si>
  <si>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</si>
  <si>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</si>
  <si>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</si>
  <si>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</si>
  <si>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</si>
  <si>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</si>
  <si>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</si>
  <si>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</si>
  <si>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</si>
  <si>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</si>
  <si>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</si>
  <si>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</si>
  <si>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</si>
  <si>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</si>
  <si>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</si>
  <si>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</si>
  <si>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</si>
  <si>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</si>
  <si>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</si>
  <si>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</si>
  <si>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</si>
  <si>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</si>
  <si>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</si>
  <si>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</si>
  <si>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</si>
  <si>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</si>
  <si>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</si>
  <si>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</si>
  <si>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</si>
  <si>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</si>
  <si>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</si>
  <si>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</si>
  <si>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</si>
  <si>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</si>
  <si>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</si>
  <si>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</si>
  <si>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</si>
  <si>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</si>
  <si>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</si>
  <si>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</si>
  <si>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</si>
  <si>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</si>
  <si>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</si>
  <si>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</si>
  <si>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</si>
  <si>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</si>
  <si>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</si>
  <si>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</si>
  <si>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</si>
  <si>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</si>
  <si>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</si>
  <si>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</si>
  <si>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</si>
  <si>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</si>
  <si>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</si>
  <si>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</si>
  <si>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</si>
  <si>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</si>
  <si>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</si>
  <si>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</si>
  <si>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</si>
  <si>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</si>
  <si>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</si>
  <si>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</si>
  <si>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</si>
  <si>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</si>
  <si>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</si>
  <si>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</si>
  <si>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</si>
  <si>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</si>
  <si>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</si>
  <si>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</si>
  <si>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</si>
  <si>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</si>
  <si>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</si>
  <si>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</si>
  <si>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</si>
  <si>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</si>
  <si>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</si>
  <si>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</si>
  <si>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</si>
  <si>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</si>
  <si>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</si>
  <si>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</si>
  <si>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</si>
  <si>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</si>
  <si>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</si>
  <si>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</si>
  <si>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</si>
  <si>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</si>
  <si>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</si>
  <si>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</si>
  <si>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</si>
  <si>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</si>
  <si>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</si>
  <si>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</si>
  <si>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</si>
  <si>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</si>
  <si>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</si>
  <si>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</si>
  <si>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</si>
  <si>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</si>
  <si>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</si>
  <si>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</si>
  <si>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</si>
  <si>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</si>
  <si>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</si>
  <si>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</si>
  <si>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</si>
  <si>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</si>
  <si>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</si>
  <si>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</si>
  <si>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</si>
  <si>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</si>
  <si>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</si>
  <si>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</si>
  <si>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</si>
  <si>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</si>
  <si>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</si>
  <si>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</si>
  <si>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</si>
  <si>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</si>
  <si>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</si>
  <si>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</si>
  <si>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</si>
  <si>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</si>
  <si>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</si>
  <si>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</si>
  <si>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</si>
  <si>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</si>
  <si>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</si>
  <si>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</si>
  <si>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</si>
  <si>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</si>
  <si>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</si>
  <si>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</si>
  <si>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</si>
  <si>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</si>
  <si>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</si>
  <si>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</si>
  <si>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</si>
  <si>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</si>
  <si>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</si>
  <si>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</si>
  <si>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</si>
  <si>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</si>
  <si>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</si>
  <si>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</si>
  <si>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</si>
  <si>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</si>
  <si>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</si>
  <si>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</si>
  <si>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</si>
  <si>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</si>
  <si>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</si>
  <si>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</si>
  <si>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</si>
  <si>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</si>
  <si>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</si>
  <si>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</si>
  <si>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</si>
  <si>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</si>
  <si>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</si>
  <si>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</si>
  <si>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</si>
  <si>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</si>
  <si>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</si>
  <si>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</si>
  <si>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</si>
  <si>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</si>
  <si>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</si>
  <si>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</si>
  <si>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</si>
  <si>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</si>
  <si>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</si>
  <si>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</si>
  <si>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</si>
  <si>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</si>
  <si>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</si>
  <si>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</si>
  <si>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</si>
  <si>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</si>
  <si>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</si>
  <si>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</si>
  <si>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</si>
  <si>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</si>
  <si>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</si>
  <si>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</si>
  <si>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</si>
  <si>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</si>
  <si>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</si>
  <si>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</si>
  <si>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</si>
  <si>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</si>
  <si>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</si>
  <si>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</si>
  <si>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</si>
  <si>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</si>
  <si>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</si>
  <si>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</si>
  <si>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</si>
  <si>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</si>
  <si>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</si>
  <si>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</si>
  <si>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</si>
  <si>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</si>
  <si>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</si>
  <si>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</si>
  <si>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</si>
  <si>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</si>
  <si>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</si>
  <si>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</si>
  <si>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</si>
  <si>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</si>
  <si>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</si>
  <si>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</si>
  <si>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</si>
  <si>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</si>
  <si>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</si>
  <si>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</si>
  <si>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</si>
  <si>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</si>
  <si>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</si>
  <si>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</si>
  <si>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</si>
  <si>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</si>
  <si>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</si>
  <si>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</si>
  <si>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</si>
  <si>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</si>
  <si>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</si>
  <si>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</si>
  <si>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</si>
  <si>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</si>
  <si>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</si>
  <si>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</si>
  <si>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</si>
  <si>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</si>
  <si>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</si>
  <si>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</si>
  <si>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</si>
  <si>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</si>
  <si>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</si>
  <si>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</si>
  <si>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</si>
  <si>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</si>
  <si>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</si>
  <si>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</si>
  <si>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</si>
  <si>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</si>
  <si>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</si>
  <si>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</si>
  <si>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</si>
  <si>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</si>
  <si>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</si>
  <si>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</si>
  <si>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</si>
  <si>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</si>
  <si>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</si>
  <si>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</si>
  <si>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</si>
  <si>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</si>
  <si>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</si>
  <si>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</si>
  <si>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</si>
  <si>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</si>
  <si>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</si>
  <si>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</si>
  <si>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</si>
  <si>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</si>
  <si>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</si>
  <si>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</si>
  <si>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</si>
  <si>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</si>
  <si>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</si>
  <si>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</si>
  <si>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</si>
  <si>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</si>
  <si>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</si>
  <si>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</si>
  <si>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</si>
  <si>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</si>
  <si>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</si>
  <si>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</si>
  <si>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</si>
  <si>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</si>
  <si>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</si>
  <si>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</si>
  <si>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</si>
  <si>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</si>
  <si>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</si>
  <si>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</si>
  <si>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</si>
  <si>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</si>
  <si>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LONGANIZA-QUESOS-POLLO-MAIZ</t>
  </si>
  <si>
    <t>NOMINA # 39 +   PEPE</t>
  </si>
  <si>
    <t>TOCINETA--LONGANIZA--POLLO</t>
  </si>
  <si>
    <t xml:space="preserve">POLLO-CHORIZO  </t>
  </si>
  <si>
    <t>QUESOS-CHORIZO-POLLO-MAIZ-MOLE-SALSAS-MANTECA</t>
  </si>
  <si>
    <t># 306447</t>
  </si>
  <si>
    <t>ERROR</t>
  </si>
  <si>
    <t>RENTA--Y PEPE</t>
  </si>
  <si>
    <t>21085 B</t>
  </si>
  <si>
    <t>21197 B</t>
  </si>
  <si>
    <t>21208 B</t>
  </si>
  <si>
    <t>21358 B</t>
  </si>
  <si>
    <t>21485 B</t>
  </si>
  <si>
    <t>21486 B</t>
  </si>
  <si>
    <t>21583 B</t>
  </si>
  <si>
    <t>MENUDO</t>
  </si>
  <si>
    <t>PULPA RES</t>
  </si>
  <si>
    <t>Sept.,21</t>
  </si>
  <si>
    <t>REDES</t>
  </si>
  <si>
    <t>COMBOS</t>
  </si>
  <si>
    <t>BASCULA</t>
  </si>
  <si>
    <t>CABEZA DE CERDO</t>
  </si>
  <si>
    <t>COPPEL</t>
  </si>
  <si>
    <t>CAMARA DE COM</t>
  </si>
  <si>
    <t>Mat limpieza</t>
  </si>
  <si>
    <t>ULTRANET</t>
  </si>
  <si>
    <t>Manto Camaras</t>
  </si>
  <si>
    <t>Impuesto Fed</t>
  </si>
  <si>
    <t xml:space="preserve">PAGO DE ABASTOS DE 4 CARNES  11 SUR </t>
  </si>
  <si>
    <t xml:space="preserve">IMPORTE </t>
  </si>
  <si>
    <t xml:space="preserve">Transferencia </t>
  </si>
  <si>
    <t>deposito</t>
  </si>
  <si>
    <t xml:space="preserve">transferencia </t>
  </si>
  <si>
    <t>depoisto</t>
  </si>
  <si>
    <t>.</t>
  </si>
  <si>
    <t xml:space="preserve">deposito </t>
  </si>
  <si>
    <t>BALANCE      ABASTO 4 CARNES   OCTUBRE           2 0 2 1</t>
  </si>
  <si>
    <t>POLLO-QUESO-LONGANIZA</t>
  </si>
  <si>
    <t>RES-LONGANIZA-QUESOS-POLLO</t>
  </si>
  <si>
    <t>CHISTORRA</t>
  </si>
  <si>
    <t>MANTECA-CHORIZO-´POLLO</t>
  </si>
  <si>
    <t>LONGANIZA-QUESO-POLLO</t>
  </si>
  <si>
    <t>NOMINA # 41</t>
  </si>
  <si>
    <t>TOCINETA-QUESO-POLLO</t>
  </si>
  <si>
    <t>QUESO-POLLO-LONGANIZA-SALSAS</t>
  </si>
  <si>
    <t>CECINA-LONGANIZA-POLLO</t>
  </si>
  <si>
    <t>JAMON-POLLO</t>
  </si>
  <si>
    <t>NOMINA # 40</t>
  </si>
  <si>
    <t>TOCINETA-MANTECA-POLLO</t>
  </si>
  <si>
    <t>QUESO-LONGANIZA-POLLO-MANTECA</t>
  </si>
  <si>
    <t>PAPA-POLLO-CHORIZO</t>
  </si>
  <si>
    <t>LONGANIZA-QUESO-POLLO-SAZONADOR</t>
  </si>
  <si>
    <t>ELIAS/*PEPE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</si>
</sst>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8"/>
      <color rgb="FF0000FF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5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16" fontId="7" fillId="0" borderId="26" xfId="0" applyNumberFormat="1" applyFont="1" applyFill="1" applyBorder="1" applyAlignment="1">
      <alignment horizontal="left" wrapText="1"/>
    </xf>
    <xf numFmtId="44" fontId="2" fillId="18" borderId="26" xfId="1" applyFont="1" applyFill="1" applyBorder="1"/>
    <xf numFmtId="0" fontId="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44" fontId="6" fillId="0" borderId="3" xfId="1" applyFont="1" applyBorder="1" applyAlignment="1">
      <alignment vertical="center"/>
    </xf>
    <xf numFmtId="44" fontId="6" fillId="16" borderId="0" xfId="1" applyFont="1" applyFill="1"/>
    <xf numFmtId="44" fontId="6" fillId="0" borderId="3" xfId="1" applyFont="1" applyBorder="1"/>
    <xf numFmtId="44" fontId="6" fillId="0" borderId="0" xfId="1" applyFont="1" applyBorder="1"/>
    <xf numFmtId="0" fontId="59" fillId="0" borderId="0" xfId="0" applyFont="1"/>
    <xf numFmtId="165" fontId="7" fillId="0" borderId="0" xfId="0" applyNumberFormat="1" applyFont="1"/>
    <xf numFmtId="165" fontId="7" fillId="0" borderId="3" xfId="0" applyNumberFormat="1" applyFont="1" applyBorder="1" applyAlignment="1">
      <alignment vertical="center"/>
    </xf>
    <xf numFmtId="0" fontId="0" fillId="7" borderId="0" xfId="0" applyFill="1"/>
    <xf numFmtId="44" fontId="6" fillId="7" borderId="0" xfId="1" applyFont="1" applyFill="1"/>
    <xf numFmtId="0" fontId="59" fillId="7" borderId="0" xfId="0" applyFont="1" applyFill="1"/>
    <xf numFmtId="165" fontId="6" fillId="7" borderId="0" xfId="0" applyNumberFormat="1" applyFont="1" applyFill="1"/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0" fontId="24" fillId="0" borderId="5" xfId="0" applyFont="1" applyFill="1" applyBorder="1" applyAlignment="1">
      <alignment horizontal="left"/>
    </xf>
    <xf numFmtId="166" fontId="60" fillId="0" borderId="10" xfId="0" applyNumberFormat="1" applyFont="1" applyFill="1" applyBorder="1" applyAlignment="1">
      <alignment horizontal="left"/>
    </xf>
    <xf numFmtId="16" fontId="7" fillId="13" borderId="0" xfId="1" applyNumberFormat="1" applyFont="1" applyFill="1" applyBorder="1" applyAlignment="1">
      <alignment horizontal="center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0033"/>
      <color rgb="FF800000"/>
      <color rgb="FF66FFFF"/>
      <color rgb="FF0000FF"/>
      <color rgb="FF9966FF"/>
      <color rgb="FFFF3300"/>
      <color rgb="FF00FF00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5BDDB10B-5FA4-4FB4-BCFC-5408963A52A8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EF6F9364-20AB-4D8D-B89A-69E8441683B9}"/>
            </a:ext>
          </a:extLst>
        </xdr:cNvPr>
        <xdr:cNvCxnSpPr/>
      </xdr:nvCxnSpPr>
      <xdr:spPr>
        <a:xfrm>
          <a:off x="5019675" y="15420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5F99D36-1723-4F62-8104-428A1D77142C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08B01EC-0057-4C7D-B35D-682FF4744A9E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12DA6A72-6D10-4112-BED6-8A7F57FD5454}"/>
            </a:ext>
          </a:extLst>
        </xdr:cNvPr>
        <xdr:cNvSpPr/>
      </xdr:nvSpPr>
      <xdr:spPr>
        <a:xfrm rot="16200000">
          <a:off x="7677151" y="14535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9B6D5BA-4C00-4257-B451-6B5DED1FDA38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1127224-3048-4805-9C41-552D47D0381C}"/>
            </a:ext>
          </a:extLst>
        </xdr:cNvPr>
        <xdr:cNvCxnSpPr/>
      </xdr:nvCxnSpPr>
      <xdr:spPr>
        <a:xfrm flipV="1">
          <a:off x="5029200" y="16316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4ADBC77E-7463-4CBC-A394-23279B2BC6B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FEE2CD9C-CC07-4365-B737-4F0371839CDA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63" t="s">
        <v>26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67" t="s">
        <v>7</v>
      </c>
      <c r="F4" s="568"/>
      <c r="H4" s="569" t="s">
        <v>8</v>
      </c>
      <c r="I4" s="5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360753.85</v>
      </c>
      <c r="L64" s="574"/>
      <c r="M64" s="575">
        <f>M62+N62</f>
        <v>2886514.7</v>
      </c>
      <c r="N64" s="576"/>
      <c r="O64" s="102"/>
      <c r="P64" s="99"/>
      <c r="Q64" s="99"/>
      <c r="S64" s="174"/>
    </row>
    <row r="65" spans="2:19" ht="19.5" customHeight="1" thickBot="1" x14ac:dyDescent="0.3">
      <c r="D65" s="583" t="s">
        <v>17</v>
      </c>
      <c r="E65" s="583"/>
      <c r="F65" s="103">
        <f>F62-K64-C62</f>
        <v>2365880.5699999998</v>
      </c>
      <c r="I65" s="104"/>
      <c r="J65" s="105"/>
      <c r="P65" s="584">
        <f>P62+Q62</f>
        <v>3321521.28</v>
      </c>
      <c r="Q65" s="585"/>
      <c r="S65" s="50"/>
    </row>
    <row r="66" spans="2:19" ht="15.75" customHeight="1" x14ac:dyDescent="0.3">
      <c r="D66" s="586" t="s">
        <v>18</v>
      </c>
      <c r="E66" s="586"/>
      <c r="F66" s="95">
        <v>-2276696.6800000002</v>
      </c>
      <c r="I66" s="587" t="s">
        <v>19</v>
      </c>
      <c r="J66" s="588"/>
      <c r="K66" s="589">
        <f>F68+F69+F70</f>
        <v>344253.98999999964</v>
      </c>
      <c r="L66" s="590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91">
        <f>-C4</f>
        <v>-250864.68</v>
      </c>
      <c r="L68" s="59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77" t="s">
        <v>24</v>
      </c>
      <c r="E70" s="578"/>
      <c r="F70" s="120">
        <v>209541.1</v>
      </c>
      <c r="I70" s="579" t="s">
        <v>25</v>
      </c>
      <c r="J70" s="580"/>
      <c r="K70" s="581">
        <f>K66+K68</f>
        <v>93389.309999999648</v>
      </c>
      <c r="L70" s="58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6" t="s">
        <v>529</v>
      </c>
      <c r="C1" s="563" t="s">
        <v>503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07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619" t="s">
        <v>596</v>
      </c>
      <c r="AC2" s="619"/>
      <c r="AD2" s="619"/>
      <c r="AE2" s="619"/>
      <c r="AF2" s="619"/>
      <c r="AG2" s="619"/>
    </row>
    <row r="3" spans="1:3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P3" s="609" t="s">
        <v>562</v>
      </c>
      <c r="Q3" s="393"/>
      <c r="W3" s="213" t="s">
        <v>54</v>
      </c>
      <c r="X3" s="219">
        <v>44201</v>
      </c>
      <c r="Y3" s="198">
        <v>2000</v>
      </c>
      <c r="AB3" s="619"/>
      <c r="AC3" s="619"/>
      <c r="AD3" s="619"/>
      <c r="AE3" s="619"/>
      <c r="AF3" s="619"/>
      <c r="AG3" s="619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7" t="s">
        <v>7</v>
      </c>
      <c r="F4" s="568"/>
      <c r="H4" s="569" t="s">
        <v>8</v>
      </c>
      <c r="I4" s="570"/>
      <c r="J4" s="24"/>
      <c r="K4" s="25"/>
      <c r="L4" s="26"/>
      <c r="M4" s="27" t="s">
        <v>717</v>
      </c>
      <c r="N4" s="28" t="s">
        <v>10</v>
      </c>
      <c r="O4" s="365"/>
      <c r="P4" s="609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620" t="s">
        <v>527</v>
      </c>
      <c r="AC4" s="621"/>
      <c r="AD4" s="99"/>
      <c r="AE4" s="622" t="s">
        <v>567</v>
      </c>
      <c r="AF4" s="622"/>
      <c r="AG4" s="622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7" t="s">
        <v>564</v>
      </c>
      <c r="AF23" s="628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9" t="s">
        <v>565</v>
      </c>
      <c r="AF25" s="630"/>
      <c r="AG25" s="633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1"/>
      <c r="AF26" s="632"/>
      <c r="AG26" s="634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23" t="s">
        <v>562</v>
      </c>
      <c r="AC29" s="625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610">
        <f>SUM(P5:P29)</f>
        <v>-163726</v>
      </c>
      <c r="Q30" s="610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24"/>
      <c r="AC30" s="626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339830.06000000006</v>
      </c>
      <c r="L64" s="574"/>
      <c r="M64" s="575">
        <f>M62+N62</f>
        <v>2936130</v>
      </c>
      <c r="N64" s="576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83" t="s">
        <v>17</v>
      </c>
      <c r="E65" s="583"/>
      <c r="F65" s="103">
        <f>F62-K64-C62</f>
        <v>2702101.7199999997</v>
      </c>
      <c r="I65" s="104"/>
      <c r="J65" s="105"/>
      <c r="R65" s="584">
        <f>R62+S62</f>
        <v>3138957.44</v>
      </c>
      <c r="S65" s="585"/>
      <c r="U65" s="50"/>
    </row>
    <row r="66" spans="2:33" ht="15.75" customHeight="1" x14ac:dyDescent="0.3">
      <c r="D66" s="586" t="s">
        <v>502</v>
      </c>
      <c r="E66" s="586"/>
      <c r="F66" s="95">
        <v>-2720820.95</v>
      </c>
      <c r="I66" s="587" t="s">
        <v>19</v>
      </c>
      <c r="J66" s="588"/>
      <c r="K66" s="589">
        <f>F68+F69+F70</f>
        <v>381077.48999999953</v>
      </c>
      <c r="L66" s="590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91">
        <f>-C4</f>
        <v>-255764.39</v>
      </c>
      <c r="L68" s="592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77" t="s">
        <v>24</v>
      </c>
      <c r="E70" s="578"/>
      <c r="F70" s="120">
        <v>308642.71999999997</v>
      </c>
      <c r="I70" s="579" t="s">
        <v>25</v>
      </c>
      <c r="J70" s="580"/>
      <c r="K70" s="581">
        <f>K66+K68</f>
        <v>125313.09999999951</v>
      </c>
      <c r="L70" s="582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611" t="s">
        <v>610</v>
      </c>
      <c r="J72" s="612"/>
      <c r="K72" s="615">
        <v>163726</v>
      </c>
      <c r="L72" s="616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613"/>
      <c r="J73" s="614"/>
      <c r="K73" s="617"/>
      <c r="L73" s="618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08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08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06" t="s">
        <v>529</v>
      </c>
      <c r="C1" s="563" t="s">
        <v>503</v>
      </c>
      <c r="D1" s="563"/>
      <c r="E1" s="563"/>
      <c r="F1" s="563"/>
      <c r="G1" s="563"/>
      <c r="H1" s="563"/>
      <c r="I1" s="563"/>
      <c r="J1" s="563"/>
      <c r="K1" s="563"/>
      <c r="L1" s="2"/>
      <c r="M1" s="3"/>
    </row>
    <row r="2" spans="1:23" ht="16.5" thickBot="1" x14ac:dyDescent="0.3">
      <c r="B2" s="607"/>
      <c r="C2" s="8"/>
      <c r="H2" s="10" t="s">
        <v>0</v>
      </c>
      <c r="I2" s="3"/>
      <c r="J2" s="11"/>
      <c r="L2" s="12"/>
      <c r="M2" s="3"/>
      <c r="N2" s="6"/>
      <c r="Q2" s="619" t="s">
        <v>596</v>
      </c>
      <c r="R2" s="619"/>
      <c r="S2" s="619"/>
      <c r="T2" s="619"/>
      <c r="U2" s="619"/>
      <c r="V2" s="619"/>
    </row>
    <row r="3" spans="1:23" ht="21.75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Q3" s="619"/>
      <c r="R3" s="619"/>
      <c r="S3" s="619"/>
      <c r="T3" s="619"/>
      <c r="U3" s="619"/>
      <c r="V3" s="619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7" t="s">
        <v>7</v>
      </c>
      <c r="F4" s="568"/>
      <c r="H4" s="569" t="s">
        <v>8</v>
      </c>
      <c r="I4" s="570"/>
      <c r="J4" s="24"/>
      <c r="K4" s="25"/>
      <c r="L4" s="26"/>
      <c r="M4" s="27" t="s">
        <v>9</v>
      </c>
      <c r="N4" s="28" t="s">
        <v>10</v>
      </c>
      <c r="O4" s="365"/>
      <c r="P4" s="29"/>
      <c r="Q4" s="620" t="s">
        <v>527</v>
      </c>
      <c r="R4" s="621"/>
      <c r="S4" s="99"/>
      <c r="T4" s="622" t="s">
        <v>567</v>
      </c>
      <c r="U4" s="622"/>
      <c r="V4" s="622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27" t="s">
        <v>564</v>
      </c>
      <c r="U23" s="628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29" t="s">
        <v>565</v>
      </c>
      <c r="U25" s="630"/>
      <c r="V25" s="633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31"/>
      <c r="U26" s="632"/>
      <c r="V26" s="634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23" t="s">
        <v>562</v>
      </c>
      <c r="R29" s="625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24"/>
      <c r="R30" s="626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71" t="s">
        <v>16</v>
      </c>
      <c r="I50" s="572"/>
      <c r="J50" s="101"/>
      <c r="K50" s="573">
        <f>I48+L48</f>
        <v>339830.06000000006</v>
      </c>
      <c r="L50" s="574"/>
      <c r="M50" s="575">
        <f>M48+N48</f>
        <v>612530</v>
      </c>
      <c r="N50" s="576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83" t="s">
        <v>17</v>
      </c>
      <c r="E51" s="583"/>
      <c r="F51" s="103">
        <f>F48-K50-C48</f>
        <v>2702101.7199999997</v>
      </c>
      <c r="I51" s="104"/>
      <c r="J51" s="105"/>
    </row>
    <row r="52" spans="1:23" ht="18.75" x14ac:dyDescent="0.3">
      <c r="D52" s="586" t="s">
        <v>502</v>
      </c>
      <c r="E52" s="586"/>
      <c r="F52" s="95">
        <v>-2720820.95</v>
      </c>
      <c r="I52" s="587" t="s">
        <v>19</v>
      </c>
      <c r="J52" s="588"/>
      <c r="K52" s="589">
        <f>F54+F55+F56</f>
        <v>381077.72999999952</v>
      </c>
      <c r="L52" s="590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91">
        <f>-C4</f>
        <v>-255764.39</v>
      </c>
      <c r="L54" s="592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77" t="s">
        <v>24</v>
      </c>
      <c r="E56" s="578"/>
      <c r="F56" s="120">
        <v>308642.71999999997</v>
      </c>
      <c r="I56" s="579" t="s">
        <v>25</v>
      </c>
      <c r="J56" s="580"/>
      <c r="K56" s="581">
        <f>K52+K54</f>
        <v>125313.3399999995</v>
      </c>
      <c r="L56" s="582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08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08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6" t="s">
        <v>529</v>
      </c>
      <c r="C1" s="563" t="s">
        <v>720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07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9" t="s">
        <v>596</v>
      </c>
      <c r="AC2" s="619"/>
      <c r="AD2" s="619"/>
      <c r="AE2" s="619"/>
      <c r="AF2" s="619"/>
      <c r="AG2" s="619"/>
    </row>
    <row r="3" spans="1:3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P3" s="657" t="s">
        <v>663</v>
      </c>
      <c r="Q3" s="659" t="s">
        <v>665</v>
      </c>
      <c r="S3" s="660"/>
      <c r="W3" s="213" t="s">
        <v>54</v>
      </c>
      <c r="X3" s="219">
        <v>44201</v>
      </c>
      <c r="Y3" s="198">
        <v>2000</v>
      </c>
      <c r="AB3" s="619"/>
      <c r="AC3" s="619"/>
      <c r="AD3" s="619"/>
      <c r="AE3" s="619"/>
      <c r="AF3" s="619"/>
      <c r="AG3" s="619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67" t="s">
        <v>7</v>
      </c>
      <c r="F4" s="568"/>
      <c r="H4" s="658" t="s">
        <v>8</v>
      </c>
      <c r="I4" s="570"/>
      <c r="J4" s="24"/>
      <c r="K4" s="25"/>
      <c r="L4" s="26"/>
      <c r="M4" s="27" t="s">
        <v>716</v>
      </c>
      <c r="N4" s="28" t="s">
        <v>10</v>
      </c>
      <c r="O4" s="365"/>
      <c r="P4" s="657"/>
      <c r="Q4" s="659"/>
      <c r="R4" s="30"/>
      <c r="S4" s="660"/>
      <c r="T4" s="30"/>
      <c r="U4" s="30"/>
      <c r="W4" s="213" t="s">
        <v>55</v>
      </c>
      <c r="X4" s="219">
        <v>44209</v>
      </c>
      <c r="Y4" s="217">
        <v>2000</v>
      </c>
      <c r="AB4" s="620" t="s">
        <v>527</v>
      </c>
      <c r="AC4" s="621"/>
      <c r="AD4" s="99"/>
      <c r="AE4" s="622" t="s">
        <v>567</v>
      </c>
      <c r="AF4" s="622"/>
      <c r="AG4" s="622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7" t="s">
        <v>564</v>
      </c>
      <c r="AF23" s="628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9" t="s">
        <v>565</v>
      </c>
      <c r="AF25" s="630"/>
      <c r="AG25" s="633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1"/>
      <c r="AF26" s="632"/>
      <c r="AG26" s="634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23" t="s">
        <v>562</v>
      </c>
      <c r="AC29" s="625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24"/>
      <c r="AC30" s="626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52">
        <f>SUM(M5:M38)</f>
        <v>3989472.22</v>
      </c>
      <c r="N39" s="654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53"/>
      <c r="N40" s="655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56" t="s">
        <v>567</v>
      </c>
      <c r="N44" s="656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44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45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46" t="s">
        <v>719</v>
      </c>
      <c r="N60" s="647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48">
        <f>M57-M39</f>
        <v>-382722.2200000002</v>
      </c>
      <c r="N62" s="649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50"/>
      <c r="N63" s="651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587206.12</v>
      </c>
      <c r="L69" s="574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3436910.52</v>
      </c>
      <c r="I70" s="104"/>
      <c r="J70" s="105"/>
      <c r="R70" s="584">
        <f>R67+S67</f>
        <v>10503773.959999999</v>
      </c>
      <c r="S70" s="585"/>
      <c r="U70" s="50"/>
    </row>
    <row r="71" spans="1:33" ht="15.75" customHeight="1" x14ac:dyDescent="0.3">
      <c r="D71" s="586" t="s">
        <v>502</v>
      </c>
      <c r="E71" s="586"/>
      <c r="F71" s="95">
        <v>-3290264.27</v>
      </c>
      <c r="I71" s="587" t="s">
        <v>19</v>
      </c>
      <c r="J71" s="588"/>
      <c r="K71" s="589">
        <f>F73+F74+F75</f>
        <v>426565.1</v>
      </c>
      <c r="L71" s="590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91">
        <f>-C4</f>
        <v>-308642.71999999997</v>
      </c>
      <c r="L73" s="635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77" t="s">
        <v>24</v>
      </c>
      <c r="E75" s="578"/>
      <c r="F75" s="120">
        <v>250140.85</v>
      </c>
      <c r="I75" s="579" t="s">
        <v>25</v>
      </c>
      <c r="J75" s="580"/>
      <c r="K75" s="581">
        <f>K71+K73</f>
        <v>117922.38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6" t="s">
        <v>610</v>
      </c>
      <c r="J77" s="637"/>
      <c r="K77" s="640">
        <v>-383122.22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8"/>
      <c r="J78" s="639"/>
      <c r="K78" s="642"/>
      <c r="L78" s="643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8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08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56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6" t="s">
        <v>529</v>
      </c>
      <c r="C1" s="563" t="s">
        <v>721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07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9" t="s">
        <v>596</v>
      </c>
      <c r="AC2" s="619"/>
      <c r="AD2" s="619"/>
      <c r="AE2" s="619"/>
      <c r="AF2" s="619"/>
      <c r="AG2" s="619"/>
    </row>
    <row r="3" spans="1:3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O3" s="366" t="s">
        <v>753</v>
      </c>
      <c r="P3" s="657" t="s">
        <v>663</v>
      </c>
      <c r="Q3" s="659" t="s">
        <v>665</v>
      </c>
      <c r="S3" s="660"/>
      <c r="W3" s="213" t="s">
        <v>54</v>
      </c>
      <c r="X3" s="219">
        <v>44201</v>
      </c>
      <c r="Y3" s="198">
        <v>2000</v>
      </c>
      <c r="AB3" s="619"/>
      <c r="AC3" s="619"/>
      <c r="AD3" s="619"/>
      <c r="AE3" s="619"/>
      <c r="AF3" s="619"/>
      <c r="AG3" s="619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67" t="s">
        <v>7</v>
      </c>
      <c r="F4" s="568"/>
      <c r="H4" s="658" t="s">
        <v>8</v>
      </c>
      <c r="I4" s="570"/>
      <c r="J4" s="24"/>
      <c r="K4" s="25"/>
      <c r="L4" s="26"/>
      <c r="M4" s="27" t="s">
        <v>716</v>
      </c>
      <c r="N4" s="28" t="s">
        <v>11</v>
      </c>
      <c r="O4" s="99"/>
      <c r="P4" s="657"/>
      <c r="Q4" s="659"/>
      <c r="R4" s="30"/>
      <c r="S4" s="660"/>
      <c r="T4" s="30"/>
      <c r="U4" s="30"/>
      <c r="W4" s="213" t="s">
        <v>55</v>
      </c>
      <c r="X4" s="219">
        <v>44209</v>
      </c>
      <c r="Y4" s="217">
        <v>2000</v>
      </c>
      <c r="AB4" s="620" t="s">
        <v>527</v>
      </c>
      <c r="AC4" s="621"/>
      <c r="AD4" s="99"/>
      <c r="AE4" s="622" t="s">
        <v>567</v>
      </c>
      <c r="AF4" s="622"/>
      <c r="AG4" s="622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7" t="s">
        <v>564</v>
      </c>
      <c r="AF23" s="628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9" t="s">
        <v>565</v>
      </c>
      <c r="AF25" s="630"/>
      <c r="AG25" s="633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1"/>
      <c r="AF26" s="632"/>
      <c r="AG26" s="634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23" t="s">
        <v>562</v>
      </c>
      <c r="AC29" s="625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24"/>
      <c r="AC30" s="626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6">
        <f>SUM(M5:M38)</f>
        <v>2842451</v>
      </c>
      <c r="N39" s="654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7"/>
      <c r="N40" s="655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56" t="s">
        <v>567</v>
      </c>
      <c r="N44" s="656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4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5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46" t="s">
        <v>719</v>
      </c>
      <c r="N60" s="647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65">
        <f>M39-M58</f>
        <v>37331</v>
      </c>
      <c r="N62" s="666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7"/>
      <c r="N63" s="668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71">
        <v>-382722.22</v>
      </c>
      <c r="N64" s="67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73">
        <v>-163726</v>
      </c>
      <c r="N65" s="674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75">
        <f>SUM(M65+M64+M62)</f>
        <v>-509117.22</v>
      </c>
      <c r="N66" s="676"/>
      <c r="O66" s="669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77"/>
      <c r="N67" s="678"/>
      <c r="O67" s="670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518841.31000000006</v>
      </c>
      <c r="L69" s="574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2539226.3499999996</v>
      </c>
      <c r="I70" s="104"/>
      <c r="J70" s="105"/>
      <c r="R70" s="584">
        <f>R67+S67</f>
        <v>7378939.6599999992</v>
      </c>
      <c r="S70" s="585"/>
      <c r="U70" s="50"/>
    </row>
    <row r="71" spans="1:33" ht="15.75" customHeight="1" x14ac:dyDescent="0.3">
      <c r="D71" s="586" t="s">
        <v>502</v>
      </c>
      <c r="E71" s="586"/>
      <c r="F71" s="95">
        <v>-2380713.08</v>
      </c>
      <c r="I71" s="587" t="s">
        <v>19</v>
      </c>
      <c r="J71" s="588"/>
      <c r="K71" s="589">
        <f>F73+F74+F75</f>
        <v>536310.85999999964</v>
      </c>
      <c r="L71" s="590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91">
        <f>-C4</f>
        <v>-250140.85</v>
      </c>
      <c r="L73" s="635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77" t="s">
        <v>24</v>
      </c>
      <c r="E75" s="578"/>
      <c r="F75" s="120">
        <v>365611.59</v>
      </c>
      <c r="I75" s="579" t="s">
        <v>25</v>
      </c>
      <c r="J75" s="580"/>
      <c r="K75" s="581">
        <f>K71+K73</f>
        <v>286170.00999999966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61" t="s">
        <v>610</v>
      </c>
      <c r="J77" s="662"/>
      <c r="K77" s="665">
        <v>37331</v>
      </c>
      <c r="L77" s="666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3"/>
      <c r="J78" s="664"/>
      <c r="K78" s="667"/>
      <c r="L78" s="668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8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08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opLeftCell="A32" workbookViewId="0">
      <selection activeCell="A32" sqref="A1:XFD104857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6" t="s">
        <v>529</v>
      </c>
      <c r="C1" s="563" t="s">
        <v>836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07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9" t="s">
        <v>596</v>
      </c>
      <c r="AC2" s="619"/>
      <c r="AD2" s="619"/>
      <c r="AE2" s="619"/>
      <c r="AF2" s="619"/>
      <c r="AG2" s="619"/>
    </row>
    <row r="3" spans="1:3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P3" s="657" t="s">
        <v>663</v>
      </c>
      <c r="Q3" s="659" t="s">
        <v>665</v>
      </c>
      <c r="S3" s="660" t="s">
        <v>868</v>
      </c>
      <c r="W3" s="213" t="s">
        <v>54</v>
      </c>
      <c r="X3" s="219">
        <v>44201</v>
      </c>
      <c r="Y3" s="198">
        <v>2000</v>
      </c>
      <c r="AB3" s="619"/>
      <c r="AC3" s="619"/>
      <c r="AD3" s="619"/>
      <c r="AE3" s="619"/>
      <c r="AF3" s="619"/>
      <c r="AG3" s="619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67" t="s">
        <v>7</v>
      </c>
      <c r="F4" s="568"/>
      <c r="H4" s="658" t="s">
        <v>8</v>
      </c>
      <c r="I4" s="570"/>
      <c r="J4" s="24"/>
      <c r="K4" s="25"/>
      <c r="L4" s="26"/>
      <c r="M4" s="27" t="s">
        <v>716</v>
      </c>
      <c r="N4" s="28" t="s">
        <v>11</v>
      </c>
      <c r="O4" s="99"/>
      <c r="P4" s="657"/>
      <c r="Q4" s="659"/>
      <c r="R4" s="30"/>
      <c r="S4" s="660"/>
      <c r="T4" s="30"/>
      <c r="U4" s="30"/>
      <c r="W4" s="213" t="s">
        <v>55</v>
      </c>
      <c r="X4" s="219">
        <v>44209</v>
      </c>
      <c r="Y4" s="217">
        <v>2000</v>
      </c>
      <c r="AB4" s="620" t="s">
        <v>527</v>
      </c>
      <c r="AC4" s="621"/>
      <c r="AD4" s="99"/>
      <c r="AE4" s="622" t="s">
        <v>567</v>
      </c>
      <c r="AF4" s="622"/>
      <c r="AG4" s="622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0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2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1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3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885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887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889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890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891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892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895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7" t="s">
        <v>564</v>
      </c>
      <c r="AF23" s="628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1933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893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9" t="s">
        <v>565</v>
      </c>
      <c r="AF25" s="630"/>
      <c r="AG25" s="633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894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1"/>
      <c r="AF26" s="632"/>
      <c r="AG26" s="634"/>
    </row>
    <row r="27" spans="1:33" ht="21.75" customHeight="1" thickBot="1" x14ac:dyDescent="0.35">
      <c r="A27" s="34"/>
      <c r="B27" s="134">
        <v>44462</v>
      </c>
      <c r="C27" s="36">
        <v>9477</v>
      </c>
      <c r="D27" s="141"/>
      <c r="E27" s="136">
        <v>44462</v>
      </c>
      <c r="F27" s="37">
        <v>93196</v>
      </c>
      <c r="G27" s="137"/>
      <c r="H27" s="138">
        <v>44462</v>
      </c>
      <c r="I27" s="38">
        <v>2135</v>
      </c>
      <c r="J27" s="298">
        <v>44462</v>
      </c>
      <c r="K27" s="172" t="s">
        <v>662</v>
      </c>
      <c r="L27" s="75">
        <v>14000</v>
      </c>
      <c r="M27" s="444">
        <v>60026</v>
      </c>
      <c r="N27" s="334">
        <v>7558</v>
      </c>
      <c r="O27" s="491"/>
      <c r="P27" s="389">
        <v>0</v>
      </c>
      <c r="Q27" s="447">
        <v>0</v>
      </c>
      <c r="R27" s="7">
        <f t="shared" si="1"/>
        <v>93196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>
        <v>2253</v>
      </c>
      <c r="D28" s="141" t="s">
        <v>45</v>
      </c>
      <c r="E28" s="136">
        <v>44463</v>
      </c>
      <c r="F28" s="37">
        <v>163874</v>
      </c>
      <c r="G28" s="137"/>
      <c r="H28" s="138">
        <v>44463</v>
      </c>
      <c r="I28" s="38">
        <v>600</v>
      </c>
      <c r="J28" s="299"/>
      <c r="K28" s="151"/>
      <c r="L28" s="75"/>
      <c r="M28" s="444">
        <v>141528</v>
      </c>
      <c r="N28" s="334">
        <v>19493</v>
      </c>
      <c r="O28" s="491"/>
      <c r="P28" s="389">
        <v>0</v>
      </c>
      <c r="Q28" s="447">
        <v>0</v>
      </c>
      <c r="R28" s="7">
        <f t="shared" si="1"/>
        <v>163874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33" thickBot="1" x14ac:dyDescent="0.35">
      <c r="A29" s="34"/>
      <c r="B29" s="134">
        <v>44464</v>
      </c>
      <c r="C29" s="36">
        <v>14666</v>
      </c>
      <c r="D29" s="143" t="s">
        <v>896</v>
      </c>
      <c r="E29" s="136">
        <v>44464</v>
      </c>
      <c r="F29" s="37">
        <v>149350</v>
      </c>
      <c r="G29" s="137"/>
      <c r="H29" s="138">
        <v>44464</v>
      </c>
      <c r="I29" s="38">
        <v>550</v>
      </c>
      <c r="J29" s="300">
        <v>44464</v>
      </c>
      <c r="K29" s="539" t="s">
        <v>897</v>
      </c>
      <c r="L29" s="75">
        <f>23955.58+400+10000</f>
        <v>34355.58</v>
      </c>
      <c r="M29" s="444">
        <v>95113</v>
      </c>
      <c r="N29" s="456">
        <f>11325+ 45+90+120</f>
        <v>11580</v>
      </c>
      <c r="O29" s="491"/>
      <c r="P29" s="389">
        <v>0</v>
      </c>
      <c r="Q29" s="447">
        <v>0</v>
      </c>
      <c r="R29" s="7">
        <f t="shared" si="1"/>
        <v>156264.58000000002</v>
      </c>
      <c r="S29" s="202">
        <f t="shared" si="0"/>
        <v>6914.5800000000163</v>
      </c>
      <c r="T29" s="58"/>
      <c r="W29" s="213" t="s">
        <v>80</v>
      </c>
      <c r="X29" s="220"/>
      <c r="Y29" s="218"/>
      <c r="AB29" s="623" t="s">
        <v>562</v>
      </c>
      <c r="AC29" s="625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>
        <v>15280</v>
      </c>
      <c r="D30" s="143" t="s">
        <v>898</v>
      </c>
      <c r="E30" s="136">
        <v>44465</v>
      </c>
      <c r="F30" s="37">
        <v>168983</v>
      </c>
      <c r="G30" s="137"/>
      <c r="H30" s="138">
        <v>44465</v>
      </c>
      <c r="I30" s="38">
        <v>600</v>
      </c>
      <c r="J30" s="233"/>
      <c r="K30" s="356"/>
      <c r="L30" s="357"/>
      <c r="M30" s="444">
        <v>140067</v>
      </c>
      <c r="N30" s="334">
        <v>13036</v>
      </c>
      <c r="O30" s="491"/>
      <c r="P30" s="389">
        <v>0</v>
      </c>
      <c r="Q30" s="447">
        <v>0</v>
      </c>
      <c r="R30" s="7">
        <f t="shared" si="1"/>
        <v>168983</v>
      </c>
      <c r="S30" s="6">
        <f t="shared" si="0"/>
        <v>0</v>
      </c>
      <c r="T30" s="48"/>
      <c r="W30" s="213" t="s">
        <v>81</v>
      </c>
      <c r="X30" s="221"/>
      <c r="Y30" s="207"/>
      <c r="AB30" s="624"/>
      <c r="AC30" s="626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>
        <v>2521</v>
      </c>
      <c r="D31" s="266" t="s">
        <v>355</v>
      </c>
      <c r="E31" s="136">
        <v>44466</v>
      </c>
      <c r="F31" s="37">
        <v>105877</v>
      </c>
      <c r="G31" s="137"/>
      <c r="H31" s="138">
        <v>44466</v>
      </c>
      <c r="I31" s="38">
        <v>930</v>
      </c>
      <c r="J31" s="233"/>
      <c r="K31" s="144"/>
      <c r="L31" s="66"/>
      <c r="M31" s="444">
        <v>89830</v>
      </c>
      <c r="N31" s="334">
        <v>12596</v>
      </c>
      <c r="O31" s="491"/>
      <c r="P31" s="381">
        <f>SUM(P5:P30)</f>
        <v>12185</v>
      </c>
      <c r="Q31" s="447">
        <v>0</v>
      </c>
      <c r="R31" s="7">
        <f t="shared" si="1"/>
        <v>105877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>
        <v>3182</v>
      </c>
      <c r="D32" s="453" t="s">
        <v>899</v>
      </c>
      <c r="E32" s="136">
        <v>44467</v>
      </c>
      <c r="F32" s="37">
        <v>77852</v>
      </c>
      <c r="G32" s="137"/>
      <c r="H32" s="138">
        <v>44467</v>
      </c>
      <c r="I32" s="38">
        <v>2607</v>
      </c>
      <c r="J32" s="233">
        <v>44467</v>
      </c>
      <c r="K32" s="511" t="s">
        <v>496</v>
      </c>
      <c r="L32" s="357">
        <v>1098</v>
      </c>
      <c r="M32" s="444">
        <v>68362</v>
      </c>
      <c r="N32" s="334">
        <v>2603</v>
      </c>
      <c r="O32" s="491"/>
      <c r="P32" s="7" t="s">
        <v>11</v>
      </c>
      <c r="Q32" s="447">
        <v>0</v>
      </c>
      <c r="R32" s="7">
        <f t="shared" si="1"/>
        <v>77852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14262</v>
      </c>
      <c r="D33" s="266" t="s">
        <v>900</v>
      </c>
      <c r="E33" s="136">
        <v>44468</v>
      </c>
      <c r="F33" s="37">
        <v>130301</v>
      </c>
      <c r="G33" s="137"/>
      <c r="H33" s="138">
        <v>44468</v>
      </c>
      <c r="I33" s="38">
        <v>440</v>
      </c>
      <c r="J33" s="233"/>
      <c r="K33" s="144"/>
      <c r="L33" s="358"/>
      <c r="M33" s="444">
        <v>99775</v>
      </c>
      <c r="N33" s="334">
        <f>90+15734</f>
        <v>15824</v>
      </c>
      <c r="O33" s="392"/>
      <c r="P33" s="7"/>
      <c r="Q33" s="447">
        <v>0</v>
      </c>
      <c r="R33" s="7">
        <f t="shared" si="1"/>
        <v>130301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108624</v>
      </c>
      <c r="G34" s="137"/>
      <c r="H34" s="138">
        <v>44469</v>
      </c>
      <c r="I34" s="38">
        <v>3543</v>
      </c>
      <c r="J34" s="299">
        <v>44469</v>
      </c>
      <c r="K34" s="510" t="s">
        <v>903</v>
      </c>
      <c r="L34" s="6">
        <f>20000+10000</f>
        <v>30000</v>
      </c>
      <c r="M34" s="444">
        <v>66477</v>
      </c>
      <c r="N34" s="42">
        <v>8604</v>
      </c>
      <c r="O34" s="392"/>
      <c r="P34" s="7"/>
      <c r="Q34" s="447">
        <v>0</v>
      </c>
      <c r="R34" s="7">
        <f t="shared" si="1"/>
        <v>108624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44443</v>
      </c>
      <c r="C37" s="354">
        <v>12416.82</v>
      </c>
      <c r="D37" s="237" t="s">
        <v>341</v>
      </c>
      <c r="E37" s="136"/>
      <c r="F37" s="37"/>
      <c r="G37" s="137"/>
      <c r="H37" s="138"/>
      <c r="I37" s="38">
        <v>0</v>
      </c>
      <c r="J37" s="299" t="s">
        <v>913</v>
      </c>
      <c r="K37" s="172" t="s">
        <v>914</v>
      </c>
      <c r="L37" s="71">
        <v>6960</v>
      </c>
      <c r="M37" s="444">
        <v>0</v>
      </c>
      <c r="N37" s="42">
        <v>0</v>
      </c>
      <c r="O37" s="392"/>
      <c r="P37" s="7"/>
      <c r="Q37" s="449"/>
      <c r="R37" s="7">
        <f t="shared" si="1"/>
        <v>19376.82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353">
        <v>44445</v>
      </c>
      <c r="C38" s="354">
        <v>12893.4</v>
      </c>
      <c r="D38" s="237" t="s">
        <v>341</v>
      </c>
      <c r="E38" s="136"/>
      <c r="F38" s="37"/>
      <c r="G38" s="137"/>
      <c r="H38" s="138"/>
      <c r="I38" s="38">
        <v>0</v>
      </c>
      <c r="J38" s="299" t="s">
        <v>913</v>
      </c>
      <c r="K38" s="172" t="s">
        <v>135</v>
      </c>
      <c r="L38" s="71">
        <f>9720+10080+9345+9345</f>
        <v>38490</v>
      </c>
      <c r="M38" s="444">
        <v>0</v>
      </c>
      <c r="N38" s="42">
        <v>0</v>
      </c>
      <c r="O38" s="392"/>
      <c r="P38" s="7"/>
      <c r="Q38" s="450"/>
      <c r="R38" s="7">
        <f t="shared" si="1"/>
        <v>51383.4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353">
        <v>44446</v>
      </c>
      <c r="C39" s="354">
        <v>9274.5</v>
      </c>
      <c r="D39" s="237" t="s">
        <v>341</v>
      </c>
      <c r="E39" s="136"/>
      <c r="F39" s="239"/>
      <c r="G39" s="137"/>
      <c r="H39" s="138"/>
      <c r="I39" s="69"/>
      <c r="J39" s="299" t="s">
        <v>913</v>
      </c>
      <c r="K39" s="246" t="s">
        <v>916</v>
      </c>
      <c r="L39" s="46">
        <f>754+522</f>
        <v>1276</v>
      </c>
      <c r="M39" s="652">
        <f>SUM(M5:M38)</f>
        <v>3093850</v>
      </c>
      <c r="N39" s="654">
        <f>SUM(N5:N38)</f>
        <v>292960</v>
      </c>
      <c r="O39" s="392"/>
      <c r="P39" s="7"/>
      <c r="Q39" s="7"/>
      <c r="R39" s="7">
        <f>SUM(R5:R38)</f>
        <v>4002344.6599999997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353">
        <v>44448</v>
      </c>
      <c r="C40" s="354">
        <v>14874.75</v>
      </c>
      <c r="D40" s="237" t="s">
        <v>341</v>
      </c>
      <c r="E40" s="136"/>
      <c r="F40" s="239"/>
      <c r="G40" s="137"/>
      <c r="H40" s="138"/>
      <c r="I40" s="69"/>
      <c r="J40" s="299" t="s">
        <v>913</v>
      </c>
      <c r="K40" s="172" t="s">
        <v>918</v>
      </c>
      <c r="L40" s="46">
        <v>1299</v>
      </c>
      <c r="M40" s="653"/>
      <c r="N40" s="655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353">
        <v>44450</v>
      </c>
      <c r="C41" s="354">
        <v>24289.26</v>
      </c>
      <c r="D41" s="237" t="s">
        <v>341</v>
      </c>
      <c r="E41" s="136"/>
      <c r="F41" s="240"/>
      <c r="G41" s="137"/>
      <c r="H41" s="138"/>
      <c r="I41" s="69"/>
      <c r="J41" s="299" t="s">
        <v>913</v>
      </c>
      <c r="K41" s="172" t="s">
        <v>701</v>
      </c>
      <c r="L41" s="46">
        <v>41439.919999999998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353">
        <v>44452</v>
      </c>
      <c r="C42" s="354">
        <v>11810.5</v>
      </c>
      <c r="D42" s="242" t="s">
        <v>341</v>
      </c>
      <c r="E42" s="136"/>
      <c r="F42" s="241"/>
      <c r="G42" s="137"/>
      <c r="H42" s="138"/>
      <c r="I42" s="69"/>
      <c r="J42" s="299" t="s">
        <v>913</v>
      </c>
      <c r="K42" s="172" t="s">
        <v>136</v>
      </c>
      <c r="L42" s="46">
        <v>986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353">
        <v>44456</v>
      </c>
      <c r="C43" s="354">
        <v>23874.19</v>
      </c>
      <c r="D43" s="237" t="s">
        <v>341</v>
      </c>
      <c r="E43" s="136"/>
      <c r="F43" s="241"/>
      <c r="G43" s="137"/>
      <c r="H43" s="138"/>
      <c r="I43" s="69"/>
      <c r="J43" s="299" t="s">
        <v>913</v>
      </c>
      <c r="K43" s="282" t="s">
        <v>919</v>
      </c>
      <c r="L43" s="46">
        <v>1275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353">
        <v>44460</v>
      </c>
      <c r="C44" s="540">
        <v>20001.48</v>
      </c>
      <c r="D44" s="237" t="s">
        <v>341</v>
      </c>
      <c r="E44" s="136"/>
      <c r="F44" s="151"/>
      <c r="G44" s="137"/>
      <c r="H44" s="138"/>
      <c r="I44" s="69"/>
      <c r="J44" s="299" t="s">
        <v>913</v>
      </c>
      <c r="K44" s="543"/>
      <c r="L44" s="71">
        <v>33333.69</v>
      </c>
      <c r="M44" s="656" t="s">
        <v>567</v>
      </c>
      <c r="N44" s="656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353">
        <v>44463</v>
      </c>
      <c r="C45" s="354">
        <v>15200.39</v>
      </c>
      <c r="D45" s="237" t="s">
        <v>341</v>
      </c>
      <c r="E45" s="136"/>
      <c r="F45" s="151"/>
      <c r="G45" s="137"/>
      <c r="H45" s="138"/>
      <c r="I45" s="69"/>
      <c r="J45" s="299" t="s">
        <v>913</v>
      </c>
      <c r="K45" s="313"/>
      <c r="L45" s="75">
        <v>1777</v>
      </c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53">
        <v>44464</v>
      </c>
      <c r="C46" s="354">
        <v>15740.75</v>
      </c>
      <c r="D46" s="237" t="s">
        <v>341</v>
      </c>
      <c r="E46" s="136"/>
      <c r="F46" s="151"/>
      <c r="G46" s="137"/>
      <c r="H46" s="138"/>
      <c r="I46" s="69"/>
      <c r="J46" s="299" t="s">
        <v>913</v>
      </c>
      <c r="K46" s="243" t="s">
        <v>920</v>
      </c>
      <c r="L46" s="50">
        <v>4103</v>
      </c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353">
        <v>44467</v>
      </c>
      <c r="C47" s="354">
        <v>14179.05</v>
      </c>
      <c r="D47" s="242" t="s">
        <v>341</v>
      </c>
      <c r="E47" s="136"/>
      <c r="F47" s="151"/>
      <c r="G47" s="137"/>
      <c r="H47" s="138"/>
      <c r="I47" s="69"/>
      <c r="J47" s="299" t="s">
        <v>913</v>
      </c>
      <c r="K47" s="172" t="s">
        <v>921</v>
      </c>
      <c r="L47" s="75">
        <f>399+399</f>
        <v>798</v>
      </c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353">
        <v>44468</v>
      </c>
      <c r="C48" s="354">
        <v>13389.48</v>
      </c>
      <c r="D48" s="242" t="s">
        <v>341</v>
      </c>
      <c r="E48" s="150"/>
      <c r="F48" s="74"/>
      <c r="G48" s="137"/>
      <c r="H48" s="138"/>
      <c r="I48" s="69"/>
      <c r="J48" s="299" t="s">
        <v>913</v>
      </c>
      <c r="K48" s="172" t="s">
        <v>922</v>
      </c>
      <c r="L48" s="75">
        <v>11500.24</v>
      </c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44441</v>
      </c>
      <c r="C49" s="71">
        <v>77250.350000000006</v>
      </c>
      <c r="D49" s="242" t="s">
        <v>911</v>
      </c>
      <c r="E49" s="150"/>
      <c r="F49" s="74"/>
      <c r="G49" s="137"/>
      <c r="H49" s="138"/>
      <c r="I49" s="69"/>
      <c r="J49" s="299" t="s">
        <v>913</v>
      </c>
      <c r="K49" s="172" t="s">
        <v>923</v>
      </c>
      <c r="L49" s="75">
        <v>120306</v>
      </c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44442</v>
      </c>
      <c r="C50" s="71">
        <v>133319.04000000001</v>
      </c>
      <c r="D50" s="242" t="s">
        <v>912</v>
      </c>
      <c r="E50" s="149"/>
      <c r="F50" s="74"/>
      <c r="G50" s="137"/>
      <c r="H50" s="138"/>
      <c r="I50" s="69"/>
      <c r="J50" s="299" t="s">
        <v>913</v>
      </c>
      <c r="K50" s="172" t="s">
        <v>582</v>
      </c>
      <c r="L50" s="75">
        <v>2320.91</v>
      </c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>
        <v>44442</v>
      </c>
      <c r="C51" s="71">
        <v>4209</v>
      </c>
      <c r="D51" s="242" t="s">
        <v>912</v>
      </c>
      <c r="E51" s="149"/>
      <c r="F51" s="74"/>
      <c r="G51" s="137"/>
      <c r="H51" s="138"/>
      <c r="I51" s="69"/>
      <c r="J51" s="299" t="s">
        <v>913</v>
      </c>
      <c r="K51" s="172" t="s">
        <v>132</v>
      </c>
      <c r="L51" s="75">
        <f>1492.43+1055.91</f>
        <v>2548.34</v>
      </c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>
        <v>44447</v>
      </c>
      <c r="C52" s="71">
        <v>100000</v>
      </c>
      <c r="D52" s="242" t="s">
        <v>915</v>
      </c>
      <c r="E52" s="136"/>
      <c r="F52" s="71"/>
      <c r="G52" s="137"/>
      <c r="H52" s="138"/>
      <c r="I52" s="69"/>
      <c r="J52" s="299" t="s">
        <v>913</v>
      </c>
      <c r="K52" s="172" t="s">
        <v>581</v>
      </c>
      <c r="L52" s="75">
        <v>1148.4000000000001</v>
      </c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>
        <v>44449</v>
      </c>
      <c r="C53" s="71">
        <v>10632</v>
      </c>
      <c r="D53" s="541" t="s">
        <v>917</v>
      </c>
      <c r="E53" s="136"/>
      <c r="F53" s="71"/>
      <c r="G53" s="137"/>
      <c r="H53" s="138"/>
      <c r="I53" s="69" t="s">
        <v>11</v>
      </c>
      <c r="J53" s="299" t="s">
        <v>913</v>
      </c>
      <c r="K53" s="544"/>
      <c r="L53" s="75">
        <v>32341</v>
      </c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>
        <v>44454</v>
      </c>
      <c r="C54" s="71">
        <v>545650</v>
      </c>
      <c r="D54" s="542" t="s">
        <v>915</v>
      </c>
      <c r="E54" s="136"/>
      <c r="F54" s="71"/>
      <c r="G54" s="137"/>
      <c r="H54" s="138"/>
      <c r="I54" s="69"/>
      <c r="J54" s="299" t="s">
        <v>913</v>
      </c>
      <c r="K54" s="157" t="s">
        <v>572</v>
      </c>
      <c r="L54" s="75">
        <v>10000</v>
      </c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 t="s">
        <v>913</v>
      </c>
      <c r="K55" s="172" t="s">
        <v>370</v>
      </c>
      <c r="L55" s="75">
        <v>549</v>
      </c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79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80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46" t="s">
        <v>719</v>
      </c>
      <c r="N60" s="647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65">
        <v>-37331</v>
      </c>
      <c r="N62" s="666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7"/>
      <c r="N63" s="668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71">
        <v>-382722.22</v>
      </c>
      <c r="N64" s="67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73">
        <v>-163726</v>
      </c>
      <c r="N65" s="674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75">
        <f>SUM(M65+M64+M62)</f>
        <v>-583779.22</v>
      </c>
      <c r="N66" s="676"/>
      <c r="O66" s="669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1333305.25</v>
      </c>
      <c r="D67" s="87"/>
      <c r="E67" s="88" t="s">
        <v>13</v>
      </c>
      <c r="F67" s="89">
        <f>SUM(F5:F66)</f>
        <v>3898659</v>
      </c>
      <c r="G67" s="87"/>
      <c r="H67" s="90" t="s">
        <v>14</v>
      </c>
      <c r="I67" s="91">
        <f>SUM(I5:I66)</f>
        <v>44761</v>
      </c>
      <c r="J67" s="92"/>
      <c r="K67" s="93" t="s">
        <v>15</v>
      </c>
      <c r="L67" s="522">
        <f>SUM(L5:L66)</f>
        <v>538164.65</v>
      </c>
      <c r="M67" s="677"/>
      <c r="N67" s="678"/>
      <c r="O67" s="670"/>
      <c r="P67" s="366"/>
      <c r="Q67" s="366"/>
      <c r="R67" s="7">
        <f>SUM(R5:R66)</f>
        <v>8004689.3199999994</v>
      </c>
      <c r="S67" s="7">
        <f>SUM(S5:S66)</f>
        <v>32925.440000000031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582925.65</v>
      </c>
      <c r="L69" s="574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1982428.1</v>
      </c>
      <c r="I70" s="104"/>
      <c r="J70" s="105"/>
      <c r="R70" s="584">
        <f>R67+S67</f>
        <v>8037614.7599999998</v>
      </c>
      <c r="S70" s="585"/>
      <c r="U70" s="50"/>
    </row>
    <row r="71" spans="1:33" ht="15.75" customHeight="1" x14ac:dyDescent="0.3">
      <c r="D71" s="586" t="s">
        <v>502</v>
      </c>
      <c r="E71" s="586"/>
      <c r="F71" s="95">
        <v>-1915029.61</v>
      </c>
      <c r="I71" s="587" t="s">
        <v>19</v>
      </c>
      <c r="J71" s="588"/>
      <c r="K71" s="589">
        <f>F73+F74+F75</f>
        <v>67398.489999999991</v>
      </c>
      <c r="L71" s="590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67398.489999999991</v>
      </c>
      <c r="H73" s="34"/>
      <c r="I73" s="114" t="s">
        <v>21</v>
      </c>
      <c r="J73" s="115"/>
      <c r="K73" s="591">
        <f>-C4</f>
        <v>-365611.59</v>
      </c>
      <c r="L73" s="635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77" t="s">
        <v>24</v>
      </c>
      <c r="E75" s="578"/>
      <c r="F75" s="120">
        <v>0</v>
      </c>
      <c r="I75" s="579" t="s">
        <v>25</v>
      </c>
      <c r="J75" s="580"/>
      <c r="K75" s="581">
        <f>K71+K73</f>
        <v>-298213.10000000003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61" t="s">
        <v>610</v>
      </c>
      <c r="J77" s="662"/>
      <c r="K77" s="665">
        <v>0</v>
      </c>
      <c r="L77" s="666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3"/>
      <c r="J78" s="664"/>
      <c r="K78" s="667"/>
      <c r="L78" s="668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8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08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topLeftCell="A16" workbookViewId="0">
      <selection activeCell="D21" sqref="D21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opLeftCell="A11" zoomScale="85" zoomScaleNormal="85" workbookViewId="0">
      <selection activeCell="J29" sqref="J29"/>
    </sheetView>
  </sheetViews>
  <sheetFormatPr baseColWidth="10" defaultRowHeight="18.75" x14ac:dyDescent="0.3"/>
  <cols>
    <col min="2" max="2" width="11.42578125" style="551"/>
    <col min="4" max="4" width="20.7109375" style="126" customWidth="1"/>
    <col min="5" max="5" width="11.42578125" style="550"/>
  </cols>
  <sheetData>
    <row r="2" spans="1:5" x14ac:dyDescent="0.3">
      <c r="A2" s="553"/>
      <c r="B2" s="556" t="s">
        <v>924</v>
      </c>
      <c r="C2" s="553"/>
      <c r="D2" s="554"/>
      <c r="E2" s="555"/>
    </row>
    <row r="3" spans="1:5" ht="30.75" customHeight="1" thickBot="1" x14ac:dyDescent="0.3">
      <c r="B3" s="552" t="s">
        <v>5</v>
      </c>
      <c r="C3" s="545"/>
      <c r="D3" s="546" t="s">
        <v>925</v>
      </c>
    </row>
    <row r="4" spans="1:5" ht="19.5" thickTop="1" x14ac:dyDescent="0.3">
      <c r="B4" s="551">
        <v>44477</v>
      </c>
      <c r="D4" s="126">
        <v>400408</v>
      </c>
      <c r="E4" s="550" t="s">
        <v>928</v>
      </c>
    </row>
    <row r="5" spans="1:5" x14ac:dyDescent="0.3">
      <c r="E5" s="550" t="s">
        <v>930</v>
      </c>
    </row>
    <row r="6" spans="1:5" x14ac:dyDescent="0.3">
      <c r="B6" s="551">
        <v>44484</v>
      </c>
      <c r="D6" s="126">
        <v>140990</v>
      </c>
      <c r="E6" s="550" t="s">
        <v>929</v>
      </c>
    </row>
    <row r="7" spans="1:5" ht="19.5" thickBot="1" x14ac:dyDescent="0.35">
      <c r="B7" s="551">
        <v>44484</v>
      </c>
      <c r="D7" s="548">
        <v>160000</v>
      </c>
      <c r="E7" s="550" t="s">
        <v>928</v>
      </c>
    </row>
    <row r="8" spans="1:5" ht="19.5" thickTop="1" x14ac:dyDescent="0.3">
      <c r="C8" s="301" t="s">
        <v>13</v>
      </c>
      <c r="D8" s="547">
        <f>SUM(D6:D7)</f>
        <v>300990</v>
      </c>
    </row>
    <row r="10" spans="1:5" x14ac:dyDescent="0.3">
      <c r="B10" s="551">
        <v>44491</v>
      </c>
      <c r="D10" s="126">
        <v>140990</v>
      </c>
      <c r="E10" s="550" t="s">
        <v>931</v>
      </c>
    </row>
    <row r="11" spans="1:5" x14ac:dyDescent="0.3">
      <c r="B11" s="551">
        <v>44491</v>
      </c>
      <c r="D11" s="126">
        <v>119215</v>
      </c>
      <c r="E11" s="550" t="s">
        <v>931</v>
      </c>
    </row>
    <row r="12" spans="1:5" ht="19.5" thickBot="1" x14ac:dyDescent="0.35">
      <c r="B12" s="551">
        <v>44491</v>
      </c>
      <c r="D12" s="548">
        <v>114795</v>
      </c>
      <c r="E12" s="550" t="s">
        <v>931</v>
      </c>
    </row>
    <row r="13" spans="1:5" ht="19.5" thickTop="1" x14ac:dyDescent="0.3">
      <c r="C13" s="301" t="s">
        <v>13</v>
      </c>
      <c r="D13" s="547">
        <f>SUM(D10:D12)</f>
        <v>375000</v>
      </c>
    </row>
    <row r="15" spans="1:5" x14ac:dyDescent="0.3">
      <c r="B15" s="551">
        <v>44498</v>
      </c>
      <c r="D15" s="126">
        <v>101653</v>
      </c>
      <c r="E15" s="550" t="s">
        <v>931</v>
      </c>
    </row>
    <row r="16" spans="1:5" x14ac:dyDescent="0.3">
      <c r="B16" s="551">
        <v>44498</v>
      </c>
      <c r="D16" s="126">
        <v>100960</v>
      </c>
      <c r="E16" s="550" t="s">
        <v>931</v>
      </c>
    </row>
    <row r="17" spans="2:5" ht="19.5" thickBot="1" x14ac:dyDescent="0.35">
      <c r="B17" s="551">
        <v>44498</v>
      </c>
      <c r="D17" s="548">
        <v>144101</v>
      </c>
      <c r="E17" s="550" t="s">
        <v>931</v>
      </c>
    </row>
    <row r="18" spans="2:5" ht="19.5" thickTop="1" x14ac:dyDescent="0.3">
      <c r="C18" s="301" t="s">
        <v>13</v>
      </c>
      <c r="D18" s="547">
        <f>SUM(D15:D17)</f>
        <v>346714</v>
      </c>
    </row>
    <row r="20" spans="2:5" x14ac:dyDescent="0.3">
      <c r="B20" s="551">
        <v>44505</v>
      </c>
      <c r="D20" s="126">
        <v>135458</v>
      </c>
      <c r="E20" s="550" t="s">
        <v>927</v>
      </c>
    </row>
    <row r="21" spans="2:5" x14ac:dyDescent="0.3">
      <c r="B21" s="551">
        <v>44505</v>
      </c>
      <c r="D21" s="126">
        <v>106822</v>
      </c>
      <c r="E21" s="550" t="s">
        <v>927</v>
      </c>
    </row>
    <row r="22" spans="2:5" x14ac:dyDescent="0.3">
      <c r="B22" s="551">
        <v>44505</v>
      </c>
      <c r="D22" s="549">
        <v>182359.5</v>
      </c>
      <c r="E22" s="550" t="s">
        <v>927</v>
      </c>
    </row>
    <row r="23" spans="2:5" ht="19.5" thickBot="1" x14ac:dyDescent="0.35">
      <c r="B23" s="551">
        <v>44505</v>
      </c>
      <c r="D23" s="548">
        <v>180000</v>
      </c>
      <c r="E23" s="550" t="s">
        <v>926</v>
      </c>
    </row>
    <row r="24" spans="2:5" ht="19.5" thickTop="1" x14ac:dyDescent="0.3">
      <c r="C24" s="301" t="s">
        <v>13</v>
      </c>
      <c r="D24" s="547">
        <f>SUM(D20:D23)</f>
        <v>604639.5</v>
      </c>
    </row>
    <row r="26" spans="2:5" x14ac:dyDescent="0.3">
      <c r="B26" s="551">
        <v>44512</v>
      </c>
      <c r="D26" s="126">
        <v>110014</v>
      </c>
      <c r="E26" s="550" t="s">
        <v>927</v>
      </c>
    </row>
    <row r="27" spans="2:5" x14ac:dyDescent="0.3">
      <c r="B27" s="551">
        <v>44512</v>
      </c>
      <c r="D27" s="126">
        <v>135122</v>
      </c>
      <c r="E27" s="550" t="s">
        <v>927</v>
      </c>
    </row>
    <row r="28" spans="2:5" x14ac:dyDescent="0.3">
      <c r="B28" s="551">
        <v>44512</v>
      </c>
      <c r="D28" s="126">
        <v>123450</v>
      </c>
      <c r="E28" s="550" t="s">
        <v>927</v>
      </c>
    </row>
    <row r="29" spans="2:5" x14ac:dyDescent="0.3">
      <c r="B29" s="551">
        <v>44512</v>
      </c>
      <c r="D29" s="126">
        <v>133234</v>
      </c>
      <c r="E29" s="550" t="s">
        <v>927</v>
      </c>
    </row>
    <row r="30" spans="2:5" ht="19.5" thickBot="1" x14ac:dyDescent="0.35">
      <c r="B30" s="551">
        <v>44512</v>
      </c>
      <c r="D30" s="548">
        <v>42853.04</v>
      </c>
      <c r="E30" s="550" t="s">
        <v>928</v>
      </c>
    </row>
    <row r="31" spans="2:5" ht="19.5" thickTop="1" x14ac:dyDescent="0.3">
      <c r="D31" s="547">
        <f>SUM(D26:D30)</f>
        <v>544673.04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33"/>
  </sheetPr>
  <dimension ref="A1:AG97"/>
  <sheetViews>
    <sheetView topLeftCell="J1" zoomScale="85" zoomScaleNormal="85" workbookViewId="0">
      <selection activeCell="S19" sqref="S19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06" t="s">
        <v>529</v>
      </c>
      <c r="C1" s="563" t="s">
        <v>932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W1" s="209"/>
      <c r="X1" s="558" t="s">
        <v>52</v>
      </c>
      <c r="Y1" s="206"/>
    </row>
    <row r="2" spans="1:33" ht="15" customHeight="1" thickBot="1" x14ac:dyDescent="0.3">
      <c r="B2" s="607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9" t="s">
        <v>596</v>
      </c>
      <c r="AC2" s="619"/>
      <c r="AD2" s="619"/>
      <c r="AE2" s="619"/>
      <c r="AF2" s="619"/>
      <c r="AG2" s="619"/>
    </row>
    <row r="3" spans="1:3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P3" s="657" t="s">
        <v>663</v>
      </c>
      <c r="Q3" s="659" t="s">
        <v>665</v>
      </c>
      <c r="S3" s="660" t="s">
        <v>868</v>
      </c>
      <c r="W3" s="213" t="s">
        <v>54</v>
      </c>
      <c r="X3" s="219">
        <v>44201</v>
      </c>
      <c r="Y3" s="198">
        <v>2000</v>
      </c>
      <c r="AB3" s="619"/>
      <c r="AC3" s="619"/>
      <c r="AD3" s="619"/>
      <c r="AE3" s="619"/>
      <c r="AF3" s="619"/>
      <c r="AG3" s="619"/>
    </row>
    <row r="4" spans="1:33" ht="20.25" thickTop="1" thickBot="1" x14ac:dyDescent="0.35">
      <c r="A4" s="20" t="s">
        <v>6</v>
      </c>
      <c r="B4" s="21"/>
      <c r="C4" s="22">
        <v>0</v>
      </c>
      <c r="D4" s="23">
        <v>44469</v>
      </c>
      <c r="E4" s="567" t="s">
        <v>7</v>
      </c>
      <c r="F4" s="568"/>
      <c r="H4" s="658" t="s">
        <v>8</v>
      </c>
      <c r="I4" s="570"/>
      <c r="J4" s="24"/>
      <c r="K4" s="25"/>
      <c r="L4" s="26"/>
      <c r="M4" s="27" t="s">
        <v>716</v>
      </c>
      <c r="N4" s="28" t="s">
        <v>11</v>
      </c>
      <c r="O4" s="99"/>
      <c r="P4" s="657"/>
      <c r="Q4" s="659"/>
      <c r="R4" s="30"/>
      <c r="S4" s="660"/>
      <c r="T4" s="30"/>
      <c r="U4" s="30"/>
      <c r="W4" s="213" t="s">
        <v>55</v>
      </c>
      <c r="X4" s="219">
        <v>44209</v>
      </c>
      <c r="Y4" s="217">
        <v>2000</v>
      </c>
      <c r="AB4" s="620" t="s">
        <v>527</v>
      </c>
      <c r="AC4" s="621"/>
      <c r="AD4" s="99"/>
      <c r="AE4" s="622" t="s">
        <v>567</v>
      </c>
      <c r="AF4" s="622"/>
      <c r="AG4" s="622"/>
    </row>
    <row r="5" spans="1:33" ht="18" thickBot="1" x14ac:dyDescent="0.35">
      <c r="A5" s="34" t="s">
        <v>11</v>
      </c>
      <c r="B5" s="134">
        <v>44470</v>
      </c>
      <c r="C5" s="36">
        <v>16898</v>
      </c>
      <c r="D5" s="561" t="s">
        <v>933</v>
      </c>
      <c r="E5" s="136">
        <v>44470</v>
      </c>
      <c r="F5" s="37">
        <v>133067</v>
      </c>
      <c r="G5" s="137"/>
      <c r="H5" s="441">
        <v>44470</v>
      </c>
      <c r="I5" s="38">
        <v>10600</v>
      </c>
      <c r="J5" s="442"/>
      <c r="K5" s="157"/>
      <c r="L5" s="6"/>
      <c r="M5" s="444">
        <v>45</v>
      </c>
      <c r="N5" s="334">
        <v>18262</v>
      </c>
      <c r="O5" s="491"/>
      <c r="P5" s="389">
        <v>38479</v>
      </c>
      <c r="Q5" s="446">
        <v>0</v>
      </c>
      <c r="R5" s="7">
        <f>C5+I5+M5+N5+L5</f>
        <v>45805</v>
      </c>
      <c r="S5" s="6">
        <f>R5-F5-P5</f>
        <v>-125741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44471</v>
      </c>
      <c r="C6" s="36">
        <v>4603</v>
      </c>
      <c r="D6" s="139" t="s">
        <v>942</v>
      </c>
      <c r="E6" s="136">
        <v>44471</v>
      </c>
      <c r="F6" s="37">
        <f>135990+7197</f>
        <v>143187</v>
      </c>
      <c r="G6" s="137"/>
      <c r="H6" s="138">
        <v>44471</v>
      </c>
      <c r="I6" s="38">
        <v>895</v>
      </c>
      <c r="J6" s="52">
        <v>44471</v>
      </c>
      <c r="K6" s="151" t="s">
        <v>943</v>
      </c>
      <c r="L6" s="46">
        <f>16356.93+6912.96+400</f>
        <v>23669.89</v>
      </c>
      <c r="M6" s="444">
        <v>0</v>
      </c>
      <c r="N6" s="334">
        <v>11193</v>
      </c>
      <c r="O6" s="491"/>
      <c r="P6" s="389">
        <v>0</v>
      </c>
      <c r="Q6" s="447">
        <v>0</v>
      </c>
      <c r="R6" s="7">
        <f>C6+I6+M6+N6+L6</f>
        <v>40360.89</v>
      </c>
      <c r="S6" s="6">
        <f t="shared" ref="S6:S35" si="0">R6-F6</f>
        <v>-102826.11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44472</v>
      </c>
      <c r="C7" s="36">
        <v>12471</v>
      </c>
      <c r="D7" s="140" t="s">
        <v>944</v>
      </c>
      <c r="E7" s="136">
        <v>44472</v>
      </c>
      <c r="F7" s="37">
        <f>119277+27445</f>
        <v>146722</v>
      </c>
      <c r="G7" s="137"/>
      <c r="H7" s="138">
        <v>44472</v>
      </c>
      <c r="I7" s="38">
        <v>600</v>
      </c>
      <c r="J7" s="52"/>
      <c r="K7" s="509"/>
      <c r="L7" s="46"/>
      <c r="M7" s="444">
        <v>0</v>
      </c>
      <c r="N7" s="334">
        <v>8817</v>
      </c>
      <c r="O7" s="491"/>
      <c r="P7" s="389">
        <v>0</v>
      </c>
      <c r="Q7" s="447">
        <v>0</v>
      </c>
      <c r="R7" s="7">
        <f>C7+I7+M7+N7+L7</f>
        <v>21888</v>
      </c>
      <c r="S7" s="6">
        <f t="shared" si="0"/>
        <v>-124834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44473</v>
      </c>
      <c r="C8" s="36">
        <v>85751</v>
      </c>
      <c r="D8" s="141" t="s">
        <v>934</v>
      </c>
      <c r="E8" s="136">
        <v>44473</v>
      </c>
      <c r="F8" s="37">
        <f>87175+34781</f>
        <v>121956</v>
      </c>
      <c r="G8" s="137"/>
      <c r="H8" s="138">
        <v>44473</v>
      </c>
      <c r="I8" s="38">
        <v>550</v>
      </c>
      <c r="J8" s="292"/>
      <c r="K8" s="158"/>
      <c r="L8" s="46"/>
      <c r="M8" s="444">
        <v>0</v>
      </c>
      <c r="N8" s="334">
        <v>6062</v>
      </c>
      <c r="O8" s="491"/>
      <c r="P8" s="389">
        <v>0</v>
      </c>
      <c r="Q8" s="447">
        <v>0</v>
      </c>
      <c r="R8" s="7">
        <f t="shared" ref="R8:R38" si="1">C8+I8+M8+N8+L8</f>
        <v>92363</v>
      </c>
      <c r="S8" s="6">
        <f t="shared" si="0"/>
        <v>-29593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44474</v>
      </c>
      <c r="C9" s="36">
        <v>1816</v>
      </c>
      <c r="D9" s="141" t="s">
        <v>167</v>
      </c>
      <c r="E9" s="136">
        <v>44474</v>
      </c>
      <c r="F9" s="37">
        <f>76724+9452</f>
        <v>86176</v>
      </c>
      <c r="G9" s="137"/>
      <c r="H9" s="138">
        <v>44474</v>
      </c>
      <c r="I9" s="38">
        <v>6495</v>
      </c>
      <c r="J9" s="52"/>
      <c r="K9" s="159"/>
      <c r="L9" s="46"/>
      <c r="M9" s="444">
        <v>0</v>
      </c>
      <c r="N9" s="334">
        <v>12005</v>
      </c>
      <c r="O9" s="491"/>
      <c r="P9" s="389">
        <v>0</v>
      </c>
      <c r="Q9" s="447">
        <v>0</v>
      </c>
      <c r="R9" s="7">
        <f>C9+I9+M9+N9+L9</f>
        <v>20316</v>
      </c>
      <c r="S9" s="6">
        <f t="shared" si="0"/>
        <v>-65860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44475</v>
      </c>
      <c r="C10" s="36">
        <v>1599</v>
      </c>
      <c r="D10" s="140" t="s">
        <v>935</v>
      </c>
      <c r="E10" s="136">
        <v>44475</v>
      </c>
      <c r="F10" s="37">
        <f>94207+1066+16219</f>
        <v>111492</v>
      </c>
      <c r="G10" s="137"/>
      <c r="H10" s="138">
        <v>44475</v>
      </c>
      <c r="I10" s="38">
        <v>440</v>
      </c>
      <c r="J10" s="52"/>
      <c r="K10" s="559"/>
      <c r="L10" s="53"/>
      <c r="M10" s="444">
        <v>0</v>
      </c>
      <c r="N10" s="334">
        <v>12292</v>
      </c>
      <c r="O10" s="491"/>
      <c r="P10" s="389">
        <v>0</v>
      </c>
      <c r="Q10" s="447">
        <v>0</v>
      </c>
      <c r="R10" s="7">
        <f t="shared" si="1"/>
        <v>14331</v>
      </c>
      <c r="S10" s="6">
        <f t="shared" si="0"/>
        <v>-97161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44476</v>
      </c>
      <c r="C11" s="36">
        <v>7825</v>
      </c>
      <c r="D11" s="139" t="s">
        <v>936</v>
      </c>
      <c r="E11" s="136">
        <v>44476</v>
      </c>
      <c r="F11" s="37">
        <f>75114+3168+6300</f>
        <v>84582</v>
      </c>
      <c r="G11" s="137"/>
      <c r="H11" s="138">
        <v>44476</v>
      </c>
      <c r="I11" s="38">
        <v>440</v>
      </c>
      <c r="J11" s="292"/>
      <c r="K11" s="532"/>
      <c r="L11" s="46"/>
      <c r="M11" s="444">
        <v>0</v>
      </c>
      <c r="N11" s="334">
        <v>7365</v>
      </c>
      <c r="O11" s="491"/>
      <c r="P11" s="389">
        <v>0</v>
      </c>
      <c r="Q11" s="447">
        <v>0</v>
      </c>
      <c r="R11" s="7">
        <f t="shared" si="1"/>
        <v>15630</v>
      </c>
      <c r="S11" s="6">
        <f t="shared" si="0"/>
        <v>-68952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44477</v>
      </c>
      <c r="C12" s="36">
        <v>17159</v>
      </c>
      <c r="D12" s="139" t="s">
        <v>937</v>
      </c>
      <c r="E12" s="136">
        <v>44477</v>
      </c>
      <c r="F12" s="37">
        <f>123464+10100</f>
        <v>133564</v>
      </c>
      <c r="G12" s="137"/>
      <c r="H12" s="138">
        <v>44477</v>
      </c>
      <c r="I12" s="38">
        <v>12804</v>
      </c>
      <c r="J12" s="52"/>
      <c r="K12" s="531"/>
      <c r="L12" s="46"/>
      <c r="M12" s="444">
        <v>0</v>
      </c>
      <c r="N12" s="334">
        <v>7897</v>
      </c>
      <c r="O12" s="491"/>
      <c r="P12" s="389">
        <v>0</v>
      </c>
      <c r="Q12" s="447">
        <v>0</v>
      </c>
      <c r="R12" s="7">
        <f>C12+M12+N12+I12</f>
        <v>37860</v>
      </c>
      <c r="S12" s="6">
        <f t="shared" si="0"/>
        <v>-95704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44478</v>
      </c>
      <c r="C13" s="36">
        <f>2655+340</f>
        <v>2995</v>
      </c>
      <c r="D13" s="141" t="s">
        <v>449</v>
      </c>
      <c r="E13" s="136">
        <v>44478</v>
      </c>
      <c r="F13" s="37">
        <f>136487+50415</f>
        <v>186902</v>
      </c>
      <c r="G13" s="137"/>
      <c r="H13" s="138">
        <v>44478</v>
      </c>
      <c r="I13" s="38">
        <f>10900+950</f>
        <v>11850</v>
      </c>
      <c r="J13" s="52">
        <v>44478</v>
      </c>
      <c r="K13" s="171" t="s">
        <v>938</v>
      </c>
      <c r="L13" s="46">
        <f>16456.91+6912.96</f>
        <v>23369.87</v>
      </c>
      <c r="M13" s="444">
        <v>0</v>
      </c>
      <c r="N13" s="334">
        <v>13757</v>
      </c>
      <c r="O13" s="491"/>
      <c r="P13" s="389">
        <v>0</v>
      </c>
      <c r="Q13" s="447">
        <v>0</v>
      </c>
      <c r="R13" s="7">
        <f>C13+I13+M13+N13+L13</f>
        <v>51971.869999999995</v>
      </c>
      <c r="S13" s="6">
        <f t="shared" si="0"/>
        <v>-134930.13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44479</v>
      </c>
      <c r="C14" s="36">
        <v>15806</v>
      </c>
      <c r="D14" s="140" t="s">
        <v>939</v>
      </c>
      <c r="E14" s="136">
        <v>44479</v>
      </c>
      <c r="F14" s="37">
        <f>116976+13917</f>
        <v>130893</v>
      </c>
      <c r="G14" s="137"/>
      <c r="H14" s="138">
        <v>44479</v>
      </c>
      <c r="I14" s="38">
        <v>1200</v>
      </c>
      <c r="J14" s="52"/>
      <c r="K14" s="171"/>
      <c r="L14" s="46"/>
      <c r="M14" s="444">
        <v>0</v>
      </c>
      <c r="N14" s="334">
        <v>8649</v>
      </c>
      <c r="O14" s="491"/>
      <c r="P14" s="389">
        <v>0</v>
      </c>
      <c r="Q14" s="447">
        <v>0</v>
      </c>
      <c r="R14" s="7">
        <f>C14+I14+M14+N14+L14</f>
        <v>25655</v>
      </c>
      <c r="S14" s="6">
        <f t="shared" si="0"/>
        <v>-105238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44480</v>
      </c>
      <c r="C15" s="36">
        <v>8327</v>
      </c>
      <c r="D15" s="139" t="s">
        <v>940</v>
      </c>
      <c r="E15" s="136">
        <v>44480</v>
      </c>
      <c r="F15" s="37">
        <f>102836+20456-1769-10697</f>
        <v>110826</v>
      </c>
      <c r="G15" s="137"/>
      <c r="H15" s="138">
        <v>44480</v>
      </c>
      <c r="I15" s="38">
        <v>495</v>
      </c>
      <c r="J15" s="52"/>
      <c r="K15" s="158"/>
      <c r="L15" s="46"/>
      <c r="M15" s="444">
        <f>2083+208</f>
        <v>2291</v>
      </c>
      <c r="N15" s="334">
        <v>8197</v>
      </c>
      <c r="O15" s="491"/>
      <c r="P15" s="389">
        <f>1769+10697</f>
        <v>12466</v>
      </c>
      <c r="Q15" s="447">
        <v>0</v>
      </c>
      <c r="R15" s="7">
        <f t="shared" si="1"/>
        <v>19310</v>
      </c>
      <c r="S15" s="6">
        <f>R15-F15-P15</f>
        <v>-103982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44481</v>
      </c>
      <c r="C16" s="36">
        <v>9719</v>
      </c>
      <c r="D16" s="139" t="s">
        <v>941</v>
      </c>
      <c r="E16" s="136">
        <v>44481</v>
      </c>
      <c r="F16" s="37">
        <f>81665+2928</f>
        <v>84593</v>
      </c>
      <c r="G16" s="137"/>
      <c r="H16" s="138">
        <v>44481</v>
      </c>
      <c r="I16" s="38">
        <v>5440</v>
      </c>
      <c r="J16" s="52"/>
      <c r="K16" s="158"/>
      <c r="L16" s="6"/>
      <c r="M16" s="444">
        <v>0</v>
      </c>
      <c r="N16" s="334">
        <v>5600</v>
      </c>
      <c r="O16" s="491"/>
      <c r="P16" s="389">
        <v>0</v>
      </c>
      <c r="Q16" s="447">
        <v>0</v>
      </c>
      <c r="R16" s="7">
        <f t="shared" si="1"/>
        <v>20759</v>
      </c>
      <c r="S16" s="6">
        <f t="shared" si="0"/>
        <v>-63834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44482</v>
      </c>
      <c r="C17" s="36">
        <v>10292</v>
      </c>
      <c r="D17" s="141" t="s">
        <v>945</v>
      </c>
      <c r="E17" s="136">
        <v>44482</v>
      </c>
      <c r="F17" s="37">
        <f>87184+19826</f>
        <v>107010</v>
      </c>
      <c r="G17" s="137"/>
      <c r="H17" s="138">
        <v>44482</v>
      </c>
      <c r="I17" s="38">
        <v>2495</v>
      </c>
      <c r="J17" s="52"/>
      <c r="K17" s="158"/>
      <c r="L17" s="53"/>
      <c r="M17" s="444">
        <v>0</v>
      </c>
      <c r="N17" s="334">
        <v>6019</v>
      </c>
      <c r="O17" s="491"/>
      <c r="P17" s="389">
        <v>0</v>
      </c>
      <c r="Q17" s="447">
        <v>0</v>
      </c>
      <c r="R17" s="7">
        <f t="shared" si="1"/>
        <v>18806</v>
      </c>
      <c r="S17" s="6">
        <f t="shared" si="0"/>
        <v>-88204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44483</v>
      </c>
      <c r="C18" s="36">
        <v>10529</v>
      </c>
      <c r="D18" s="139" t="s">
        <v>946</v>
      </c>
      <c r="E18" s="136">
        <v>44483</v>
      </c>
      <c r="F18" s="37">
        <f>98175+46068</f>
        <v>144243</v>
      </c>
      <c r="G18" s="137"/>
      <c r="H18" s="138">
        <v>44483</v>
      </c>
      <c r="I18" s="38">
        <v>824</v>
      </c>
      <c r="J18" s="52"/>
      <c r="K18" s="452"/>
      <c r="L18" s="46"/>
      <c r="M18" s="444">
        <v>7054</v>
      </c>
      <c r="N18" s="334">
        <v>11726</v>
      </c>
      <c r="O18" s="562" t="s">
        <v>927</v>
      </c>
      <c r="P18" s="389">
        <v>0</v>
      </c>
      <c r="Q18" s="447">
        <v>0</v>
      </c>
      <c r="R18" s="7">
        <f t="shared" si="1"/>
        <v>30133</v>
      </c>
      <c r="S18" s="6">
        <f t="shared" si="0"/>
        <v>-114110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44484</v>
      </c>
      <c r="C19" s="36">
        <v>15546</v>
      </c>
      <c r="D19" s="139" t="s">
        <v>947</v>
      </c>
      <c r="E19" s="136">
        <v>44484</v>
      </c>
      <c r="F19" s="37">
        <f>136760+3857</f>
        <v>140617</v>
      </c>
      <c r="G19" s="137"/>
      <c r="H19" s="138">
        <v>44484</v>
      </c>
      <c r="I19" s="38">
        <f>650+82</f>
        <v>732</v>
      </c>
      <c r="J19" s="52">
        <v>44484</v>
      </c>
      <c r="K19" s="163" t="s">
        <v>948</v>
      </c>
      <c r="L19" s="59">
        <f>20012</f>
        <v>20012</v>
      </c>
      <c r="M19" s="444">
        <v>0</v>
      </c>
      <c r="N19" s="334">
        <v>8839</v>
      </c>
      <c r="O19" s="491"/>
      <c r="P19" s="389">
        <v>0</v>
      </c>
      <c r="Q19" s="447">
        <v>0</v>
      </c>
      <c r="R19" s="7">
        <f t="shared" si="1"/>
        <v>45129</v>
      </c>
      <c r="S19" s="6">
        <f t="shared" si="0"/>
        <v>-95488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44485</v>
      </c>
      <c r="C20" s="36"/>
      <c r="D20" s="139"/>
      <c r="E20" s="136">
        <v>44485</v>
      </c>
      <c r="F20" s="37"/>
      <c r="G20" s="137"/>
      <c r="H20" s="138">
        <v>44485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44486</v>
      </c>
      <c r="C21" s="36"/>
      <c r="D21" s="139"/>
      <c r="E21" s="136">
        <v>44486</v>
      </c>
      <c r="F21" s="37"/>
      <c r="G21" s="137"/>
      <c r="H21" s="138">
        <v>44486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44487</v>
      </c>
      <c r="C22" s="36"/>
      <c r="D22" s="140"/>
      <c r="E22" s="136">
        <v>44487</v>
      </c>
      <c r="F22" s="37"/>
      <c r="G22" s="137"/>
      <c r="H22" s="138">
        <v>44487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44488</v>
      </c>
      <c r="C23" s="36"/>
      <c r="D23" s="140"/>
      <c r="E23" s="136">
        <v>44488</v>
      </c>
      <c r="F23" s="37"/>
      <c r="G23" s="137"/>
      <c r="H23" s="138">
        <v>44488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7" t="s">
        <v>564</v>
      </c>
      <c r="AF23" s="628"/>
      <c r="AG23" s="339">
        <f>SUM(AG6:AG22)</f>
        <v>2323600</v>
      </c>
    </row>
    <row r="24" spans="1:33" ht="18" thickBot="1" x14ac:dyDescent="0.35">
      <c r="A24" s="34"/>
      <c r="B24" s="134">
        <v>44489</v>
      </c>
      <c r="C24" s="36"/>
      <c r="D24" s="139"/>
      <c r="E24" s="136">
        <v>44489</v>
      </c>
      <c r="F24" s="37"/>
      <c r="G24" s="137"/>
      <c r="H24" s="138">
        <v>44489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44490</v>
      </c>
      <c r="C25" s="36"/>
      <c r="D25" s="139"/>
      <c r="E25" s="136">
        <v>44490</v>
      </c>
      <c r="F25" s="37"/>
      <c r="G25" s="137"/>
      <c r="H25" s="138">
        <v>44490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9" t="s">
        <v>565</v>
      </c>
      <c r="AF25" s="630"/>
      <c r="AG25" s="633">
        <f>AC29-AG23</f>
        <v>163726</v>
      </c>
    </row>
    <row r="26" spans="1:33" ht="18" thickBot="1" x14ac:dyDescent="0.35">
      <c r="A26" s="34"/>
      <c r="B26" s="134">
        <v>44491</v>
      </c>
      <c r="C26" s="36"/>
      <c r="D26" s="139"/>
      <c r="E26" s="136">
        <v>44491</v>
      </c>
      <c r="F26" s="37"/>
      <c r="G26" s="137"/>
      <c r="H26" s="138">
        <v>44491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31"/>
      <c r="AF26" s="632"/>
      <c r="AG26" s="634"/>
    </row>
    <row r="27" spans="1:33" ht="21.75" customHeight="1" thickBot="1" x14ac:dyDescent="0.35">
      <c r="A27" s="34"/>
      <c r="B27" s="134">
        <v>44492</v>
      </c>
      <c r="C27" s="36"/>
      <c r="D27" s="141"/>
      <c r="E27" s="136">
        <v>44492</v>
      </c>
      <c r="F27" s="37"/>
      <c r="G27" s="137"/>
      <c r="H27" s="138">
        <v>44492</v>
      </c>
      <c r="I27" s="38"/>
      <c r="J27" s="298"/>
      <c r="K27" s="17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44493</v>
      </c>
      <c r="C28" s="36"/>
      <c r="D28" s="141"/>
      <c r="E28" s="136">
        <v>44493</v>
      </c>
      <c r="F28" s="37"/>
      <c r="G28" s="137"/>
      <c r="H28" s="138">
        <v>44493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9.5" thickBot="1" x14ac:dyDescent="0.35">
      <c r="A29" s="34"/>
      <c r="B29" s="134">
        <v>44494</v>
      </c>
      <c r="C29" s="36"/>
      <c r="D29" s="143"/>
      <c r="E29" s="136">
        <v>44494</v>
      </c>
      <c r="F29" s="37"/>
      <c r="G29" s="137"/>
      <c r="H29" s="138">
        <v>44494</v>
      </c>
      <c r="I29" s="38"/>
      <c r="J29" s="300"/>
      <c r="K29" s="53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623" t="s">
        <v>562</v>
      </c>
      <c r="AC29" s="625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44495</v>
      </c>
      <c r="C30" s="36"/>
      <c r="D30" s="143"/>
      <c r="E30" s="136">
        <v>44495</v>
      </c>
      <c r="F30" s="37"/>
      <c r="G30" s="137"/>
      <c r="H30" s="138">
        <v>44495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624"/>
      <c r="AC30" s="626"/>
      <c r="AD30" s="99"/>
      <c r="AE30" s="99"/>
      <c r="AF30" s="99"/>
      <c r="AG30" s="99"/>
    </row>
    <row r="31" spans="1:33" ht="18" thickBot="1" x14ac:dyDescent="0.35">
      <c r="A31" s="34"/>
      <c r="B31" s="134">
        <v>44496</v>
      </c>
      <c r="C31" s="36"/>
      <c r="D31" s="266"/>
      <c r="E31" s="136">
        <v>44496</v>
      </c>
      <c r="F31" s="37"/>
      <c r="G31" s="137"/>
      <c r="H31" s="138">
        <v>44496</v>
      </c>
      <c r="I31" s="38"/>
      <c r="J31" s="233"/>
      <c r="K31" s="144"/>
      <c r="L31" s="66"/>
      <c r="M31" s="444">
        <v>0</v>
      </c>
      <c r="N31" s="334">
        <v>0</v>
      </c>
      <c r="O31" s="491"/>
      <c r="P31" s="381">
        <f>SUM(P5:P30)</f>
        <v>50945</v>
      </c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44497</v>
      </c>
      <c r="C32" s="36"/>
      <c r="D32" s="453"/>
      <c r="E32" s="136">
        <v>44497</v>
      </c>
      <c r="F32" s="37"/>
      <c r="G32" s="137"/>
      <c r="H32" s="138">
        <v>44497</v>
      </c>
      <c r="I32" s="38"/>
      <c r="J32" s="233"/>
      <c r="K32" s="509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44498</v>
      </c>
      <c r="C33" s="36"/>
      <c r="D33" s="266"/>
      <c r="E33" s="136">
        <v>44498</v>
      </c>
      <c r="F33" s="37"/>
      <c r="G33" s="137"/>
      <c r="H33" s="138">
        <v>44498</v>
      </c>
      <c r="I33" s="38"/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44499</v>
      </c>
      <c r="C34" s="36"/>
      <c r="D34" s="453"/>
      <c r="E34" s="136">
        <v>44499</v>
      </c>
      <c r="F34" s="37"/>
      <c r="G34" s="137"/>
      <c r="H34" s="138">
        <v>44499</v>
      </c>
      <c r="I34" s="38"/>
      <c r="J34" s="299"/>
      <c r="K34" s="510"/>
      <c r="L34" s="6"/>
      <c r="M34" s="444">
        <v>0</v>
      </c>
      <c r="N34" s="334">
        <v>0</v>
      </c>
      <c r="O34" s="392"/>
      <c r="P34" s="7"/>
      <c r="Q34" s="447">
        <v>0</v>
      </c>
      <c r="R34" s="7">
        <f t="shared" si="1"/>
        <v>0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44500</v>
      </c>
      <c r="C35" s="36"/>
      <c r="D35" s="267"/>
      <c r="E35" s="136">
        <v>44500</v>
      </c>
      <c r="F35" s="37"/>
      <c r="G35" s="137"/>
      <c r="H35" s="138">
        <v>44500</v>
      </c>
      <c r="I35" s="38"/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34">
        <v>44501</v>
      </c>
      <c r="C36" s="71"/>
      <c r="D36" s="242"/>
      <c r="E36" s="136">
        <v>44501</v>
      </c>
      <c r="F36" s="37"/>
      <c r="G36" s="137"/>
      <c r="H36" s="138">
        <v>44501</v>
      </c>
      <c r="I36" s="38"/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44502</v>
      </c>
      <c r="C37" s="71"/>
      <c r="D37" s="242"/>
      <c r="E37" s="136">
        <v>44502</v>
      </c>
      <c r="F37" s="37"/>
      <c r="G37" s="137"/>
      <c r="H37" s="138">
        <v>44502</v>
      </c>
      <c r="I37" s="38"/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44503</v>
      </c>
      <c r="C38" s="71"/>
      <c r="D38" s="242"/>
      <c r="E38" s="136">
        <v>44503</v>
      </c>
      <c r="F38" s="37"/>
      <c r="G38" s="137"/>
      <c r="H38" s="138">
        <v>44503</v>
      </c>
      <c r="I38" s="38"/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>
        <v>44504</v>
      </c>
      <c r="C39" s="71"/>
      <c r="D39" s="242"/>
      <c r="E39" s="136">
        <v>44504</v>
      </c>
      <c r="F39" s="239"/>
      <c r="G39" s="137"/>
      <c r="H39" s="138">
        <v>44504</v>
      </c>
      <c r="I39" s="69"/>
      <c r="J39" s="299"/>
      <c r="K39" s="246"/>
      <c r="L39" s="46"/>
      <c r="M39" s="652">
        <f>SUM(M5:M38)</f>
        <v>9390</v>
      </c>
      <c r="N39" s="654">
        <f>SUM(N5:N38)</f>
        <v>146680</v>
      </c>
      <c r="O39" s="392"/>
      <c r="P39" s="7"/>
      <c r="Q39" s="7"/>
      <c r="R39" s="7">
        <f>SUM(R5:R38)</f>
        <v>500317.76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134">
        <v>44505</v>
      </c>
      <c r="C40" s="71"/>
      <c r="D40" s="242"/>
      <c r="E40" s="136">
        <v>44505</v>
      </c>
      <c r="F40" s="239"/>
      <c r="G40" s="137"/>
      <c r="H40" s="138">
        <v>44505</v>
      </c>
      <c r="I40" s="69"/>
      <c r="J40" s="299"/>
      <c r="K40" s="172"/>
      <c r="L40" s="46"/>
      <c r="M40" s="653"/>
      <c r="N40" s="655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134">
        <v>44506</v>
      </c>
      <c r="C41" s="71"/>
      <c r="D41" s="242"/>
      <c r="E41" s="136">
        <v>44506</v>
      </c>
      <c r="F41" s="240"/>
      <c r="G41" s="137"/>
      <c r="H41" s="138">
        <v>44506</v>
      </c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34">
        <v>44507</v>
      </c>
      <c r="C42" s="71"/>
      <c r="D42" s="242"/>
      <c r="E42" s="136">
        <v>44507</v>
      </c>
      <c r="F42" s="241"/>
      <c r="G42" s="137"/>
      <c r="H42" s="138">
        <v>44507</v>
      </c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28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316"/>
      <c r="D44" s="242"/>
      <c r="E44" s="136"/>
      <c r="F44" s="151"/>
      <c r="G44" s="137"/>
      <c r="H44" s="138"/>
      <c r="I44" s="69"/>
      <c r="J44" s="299"/>
      <c r="K44" s="560"/>
      <c r="L44" s="71"/>
      <c r="M44" s="656" t="s">
        <v>567</v>
      </c>
      <c r="N44" s="656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/>
      <c r="C53" s="71"/>
      <c r="D53" s="541"/>
      <c r="E53" s="136"/>
      <c r="F53" s="71"/>
      <c r="G53" s="137"/>
      <c r="H53" s="138"/>
      <c r="I53" s="69"/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/>
      <c r="C54" s="71"/>
      <c r="D54" s="542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79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80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46" t="s">
        <v>719</v>
      </c>
      <c r="N60" s="647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65">
        <v>-37331</v>
      </c>
      <c r="N62" s="666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7"/>
      <c r="N63" s="668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71">
        <v>-382722.22</v>
      </c>
      <c r="N64" s="67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73">
        <v>-163726</v>
      </c>
      <c r="N65" s="674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75">
        <f>SUM(M65+M64+M62)</f>
        <v>-583779.22</v>
      </c>
      <c r="N66" s="676"/>
      <c r="O66" s="669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221336</v>
      </c>
      <c r="D67" s="87"/>
      <c r="E67" s="88" t="s">
        <v>13</v>
      </c>
      <c r="F67" s="89">
        <f>SUM(F5:F66)</f>
        <v>1865830</v>
      </c>
      <c r="G67" s="87"/>
      <c r="H67" s="90" t="s">
        <v>14</v>
      </c>
      <c r="I67" s="91">
        <f>SUM(I5:I66)</f>
        <v>55860</v>
      </c>
      <c r="J67" s="92"/>
      <c r="K67" s="93" t="s">
        <v>15</v>
      </c>
      <c r="L67" s="522">
        <f>SUM(L5:L66)</f>
        <v>67051.759999999995</v>
      </c>
      <c r="M67" s="677"/>
      <c r="N67" s="678"/>
      <c r="O67" s="670"/>
      <c r="P67" s="366"/>
      <c r="Q67" s="366"/>
      <c r="R67" s="7">
        <f>SUM(R5:R66)</f>
        <v>1000635.52</v>
      </c>
      <c r="S67" s="7">
        <f>SUM(S5:S66)</f>
        <v>-1416457.24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122911.76</v>
      </c>
      <c r="L69" s="574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1521582.24</v>
      </c>
      <c r="I70" s="104"/>
      <c r="J70" s="105"/>
      <c r="R70" s="584">
        <f>R67+S67</f>
        <v>-415821.72</v>
      </c>
      <c r="S70" s="585"/>
      <c r="U70" s="50"/>
    </row>
    <row r="71" spans="1:33" ht="15.75" customHeight="1" x14ac:dyDescent="0.3">
      <c r="D71" s="586" t="s">
        <v>502</v>
      </c>
      <c r="E71" s="586"/>
      <c r="F71" s="95">
        <v>0</v>
      </c>
      <c r="I71" s="587" t="s">
        <v>19</v>
      </c>
      <c r="J71" s="588"/>
      <c r="K71" s="589">
        <f>F73+F74+F75</f>
        <v>1521582.24</v>
      </c>
      <c r="L71" s="590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1521582.24</v>
      </c>
      <c r="H73" s="34"/>
      <c r="I73" s="114" t="s">
        <v>21</v>
      </c>
      <c r="J73" s="115"/>
      <c r="K73" s="591">
        <f>-C4</f>
        <v>0</v>
      </c>
      <c r="L73" s="635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77" t="s">
        <v>24</v>
      </c>
      <c r="E75" s="578"/>
      <c r="F75" s="120">
        <v>0</v>
      </c>
      <c r="I75" s="579" t="s">
        <v>25</v>
      </c>
      <c r="J75" s="580"/>
      <c r="K75" s="581">
        <f>K71+K73</f>
        <v>1521582.24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61" t="s">
        <v>610</v>
      </c>
      <c r="J77" s="662"/>
      <c r="K77" s="665">
        <v>0</v>
      </c>
      <c r="L77" s="666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3"/>
      <c r="J78" s="664"/>
      <c r="K78" s="667"/>
      <c r="L78" s="668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8"/>
      <c r="AD81" s="557"/>
      <c r="AE81" s="557"/>
      <c r="AF81" s="557"/>
      <c r="AG81" s="557"/>
    </row>
    <row r="82" spans="2:33" ht="21" x14ac:dyDescent="0.25">
      <c r="B82" s="127"/>
      <c r="C82" s="130"/>
      <c r="D82" s="272"/>
      <c r="E82" s="7"/>
      <c r="F82" s="273"/>
      <c r="M82" s="4"/>
      <c r="AC82" s="608"/>
      <c r="AD82" s="557"/>
      <c r="AE82" s="557"/>
      <c r="AF82" s="557"/>
      <c r="AG82" s="55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G133"/>
  <sheetViews>
    <sheetView tabSelected="1" workbookViewId="0">
      <selection activeCell="A3" sqref="A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/>
      <c r="B3" s="193"/>
      <c r="C3" s="71"/>
      <c r="D3" s="194"/>
      <c r="E3" s="6"/>
      <c r="F3" s="182">
        <f>C3-E3</f>
        <v>0</v>
      </c>
    </row>
    <row r="4" spans="1:7" ht="18.75" x14ac:dyDescent="0.3">
      <c r="A4" s="192"/>
      <c r="B4" s="193"/>
      <c r="C4" s="71"/>
      <c r="D4" s="195"/>
      <c r="E4" s="71"/>
      <c r="F4" s="183">
        <f>F3+C4-E4</f>
        <v>0</v>
      </c>
      <c r="G4" s="184"/>
    </row>
    <row r="5" spans="1:7" ht="15.75" x14ac:dyDescent="0.25">
      <c r="A5" s="195"/>
      <c r="B5" s="193"/>
      <c r="C5" s="71"/>
      <c r="D5" s="195"/>
      <c r="E5" s="71"/>
      <c r="F5" s="183">
        <f t="shared" ref="F5:F68" si="0">F4+C5-E5</f>
        <v>0</v>
      </c>
    </row>
    <row r="6" spans="1:7" ht="15.75" x14ac:dyDescent="0.25">
      <c r="A6" s="192"/>
      <c r="B6" s="193"/>
      <c r="C6" s="71"/>
      <c r="D6" s="195"/>
      <c r="E6" s="71"/>
      <c r="F6" s="183">
        <f t="shared" si="0"/>
        <v>0</v>
      </c>
    </row>
    <row r="7" spans="1:7" ht="15.75" x14ac:dyDescent="0.25">
      <c r="A7" s="195"/>
      <c r="B7" s="193"/>
      <c r="C7" s="71"/>
      <c r="D7" s="195"/>
      <c r="E7" s="71"/>
      <c r="F7" s="183">
        <f t="shared" si="0"/>
        <v>0</v>
      </c>
    </row>
    <row r="8" spans="1:7" ht="15.75" x14ac:dyDescent="0.25">
      <c r="A8" s="195"/>
      <c r="B8" s="193"/>
      <c r="C8" s="71"/>
      <c r="D8" s="195"/>
      <c r="E8" s="71"/>
      <c r="F8" s="183">
        <f t="shared" si="0"/>
        <v>0</v>
      </c>
    </row>
    <row r="9" spans="1:7" ht="15.75" x14ac:dyDescent="0.25">
      <c r="A9" s="195"/>
      <c r="B9" s="193"/>
      <c r="C9" s="71"/>
      <c r="D9" s="195"/>
      <c r="E9" s="71"/>
      <c r="F9" s="183">
        <f t="shared" si="0"/>
        <v>0</v>
      </c>
    </row>
    <row r="10" spans="1:7" ht="18.75" x14ac:dyDescent="0.3">
      <c r="A10" s="195"/>
      <c r="B10" s="193"/>
      <c r="C10" s="71"/>
      <c r="D10" s="195"/>
      <c r="E10" s="71"/>
      <c r="F10" s="183">
        <f t="shared" si="0"/>
        <v>0</v>
      </c>
      <c r="G10" s="184"/>
    </row>
    <row r="11" spans="1:7" ht="15.75" x14ac:dyDescent="0.25">
      <c r="A11" s="192"/>
      <c r="B11" s="193"/>
      <c r="C11" s="71"/>
      <c r="D11" s="195"/>
      <c r="E11" s="71"/>
      <c r="F11" s="183">
        <f t="shared" si="0"/>
        <v>0</v>
      </c>
    </row>
    <row r="12" spans="1:7" ht="15.75" x14ac:dyDescent="0.25">
      <c r="A12" s="195"/>
      <c r="B12" s="193"/>
      <c r="C12" s="71"/>
      <c r="D12" s="195"/>
      <c r="E12" s="71"/>
      <c r="F12" s="183">
        <f t="shared" si="0"/>
        <v>0</v>
      </c>
    </row>
    <row r="13" spans="1:7" ht="15.75" x14ac:dyDescent="0.25">
      <c r="A13" s="195"/>
      <c r="B13" s="193"/>
      <c r="C13" s="71"/>
      <c r="D13" s="195"/>
      <c r="E13" s="71"/>
      <c r="F13" s="183">
        <f t="shared" si="0"/>
        <v>0</v>
      </c>
    </row>
    <row r="14" spans="1:7" ht="15.75" x14ac:dyDescent="0.25">
      <c r="A14" s="195"/>
      <c r="B14" s="193"/>
      <c r="C14" s="71"/>
      <c r="D14" s="195"/>
      <c r="E14" s="71"/>
      <c r="F14" s="183">
        <f t="shared" si="0"/>
        <v>0</v>
      </c>
    </row>
    <row r="15" spans="1:7" ht="15.75" x14ac:dyDescent="0.25">
      <c r="A15" s="195"/>
      <c r="B15" s="193"/>
      <c r="C15" s="71"/>
      <c r="D15" s="195"/>
      <c r="E15" s="71"/>
      <c r="F15" s="183">
        <f t="shared" si="0"/>
        <v>0</v>
      </c>
    </row>
    <row r="16" spans="1:7" ht="15.75" x14ac:dyDescent="0.25">
      <c r="A16" s="195"/>
      <c r="B16" s="193"/>
      <c r="C16" s="71"/>
      <c r="D16" s="195"/>
      <c r="E16" s="71"/>
      <c r="F16" s="183">
        <f t="shared" si="0"/>
        <v>0</v>
      </c>
    </row>
    <row r="17" spans="1:7" ht="15.75" x14ac:dyDescent="0.25">
      <c r="A17" s="195"/>
      <c r="B17" s="193"/>
      <c r="C17" s="71"/>
      <c r="D17" s="195"/>
      <c r="E17" s="71"/>
      <c r="F17" s="183">
        <f t="shared" si="0"/>
        <v>0</v>
      </c>
    </row>
    <row r="18" spans="1:7" ht="15.75" x14ac:dyDescent="0.25">
      <c r="A18" s="195"/>
      <c r="B18" s="193"/>
      <c r="C18" s="71"/>
      <c r="D18" s="195"/>
      <c r="E18" s="71"/>
      <c r="F18" s="183">
        <f t="shared" si="0"/>
        <v>0</v>
      </c>
    </row>
    <row r="19" spans="1:7" ht="15.75" x14ac:dyDescent="0.25">
      <c r="A19" s="195"/>
      <c r="B19" s="193"/>
      <c r="C19" s="71"/>
      <c r="D19" s="195"/>
      <c r="E19" s="71"/>
      <c r="F19" s="183">
        <f t="shared" si="0"/>
        <v>0</v>
      </c>
    </row>
    <row r="20" spans="1:7" ht="15.75" x14ac:dyDescent="0.25">
      <c r="A20" s="195"/>
      <c r="B20" s="193"/>
      <c r="C20" s="71"/>
      <c r="D20" s="195"/>
      <c r="E20" s="71"/>
      <c r="F20" s="183">
        <f t="shared" si="0"/>
        <v>0</v>
      </c>
    </row>
    <row r="21" spans="1:7" ht="18.75" x14ac:dyDescent="0.3">
      <c r="A21" s="195"/>
      <c r="B21" s="193"/>
      <c r="C21" s="71"/>
      <c r="D21" s="195"/>
      <c r="E21" s="71"/>
      <c r="F21" s="183">
        <f t="shared" si="0"/>
        <v>0</v>
      </c>
      <c r="G21" s="184"/>
    </row>
    <row r="22" spans="1:7" ht="15.75" x14ac:dyDescent="0.25">
      <c r="A22" s="195"/>
      <c r="B22" s="193"/>
      <c r="C22" s="71"/>
      <c r="D22" s="195"/>
      <c r="E22" s="71"/>
      <c r="F22" s="183">
        <f t="shared" si="0"/>
        <v>0</v>
      </c>
    </row>
    <row r="23" spans="1:7" ht="15.75" x14ac:dyDescent="0.25">
      <c r="A23" s="195"/>
      <c r="B23" s="193"/>
      <c r="C23" s="71"/>
      <c r="D23" s="195"/>
      <c r="E23" s="71"/>
      <c r="F23" s="183">
        <f t="shared" si="0"/>
        <v>0</v>
      </c>
    </row>
    <row r="24" spans="1:7" ht="15.75" x14ac:dyDescent="0.25">
      <c r="A24" s="195"/>
      <c r="B24" s="193"/>
      <c r="C24" s="71"/>
      <c r="D24" s="195"/>
      <c r="E24" s="71"/>
      <c r="F24" s="183">
        <f t="shared" si="0"/>
        <v>0</v>
      </c>
    </row>
    <row r="25" spans="1:7" ht="15.75" x14ac:dyDescent="0.25">
      <c r="A25" s="195"/>
      <c r="B25" s="193"/>
      <c r="C25" s="71"/>
      <c r="D25" s="195"/>
      <c r="E25" s="71"/>
      <c r="F25" s="183">
        <f t="shared" si="0"/>
        <v>0</v>
      </c>
    </row>
    <row r="26" spans="1:7" ht="15.75" x14ac:dyDescent="0.25">
      <c r="A26" s="195"/>
      <c r="B26" s="193"/>
      <c r="C26" s="71"/>
      <c r="D26" s="195"/>
      <c r="E26" s="71"/>
      <c r="F26" s="183">
        <f t="shared" si="0"/>
        <v>0</v>
      </c>
    </row>
    <row r="27" spans="1:7" ht="15.75" x14ac:dyDescent="0.25">
      <c r="A27" s="195"/>
      <c r="B27" s="193"/>
      <c r="C27" s="71"/>
      <c r="D27" s="195"/>
      <c r="E27" s="71"/>
      <c r="F27" s="183">
        <f t="shared" si="0"/>
        <v>0</v>
      </c>
    </row>
    <row r="28" spans="1:7" ht="15.75" x14ac:dyDescent="0.25">
      <c r="A28" s="195"/>
      <c r="B28" s="193"/>
      <c r="C28" s="71"/>
      <c r="D28" s="195"/>
      <c r="E28" s="71"/>
      <c r="F28" s="183">
        <f t="shared" si="0"/>
        <v>0</v>
      </c>
    </row>
    <row r="29" spans="1:7" ht="18.75" x14ac:dyDescent="0.3">
      <c r="A29" s="195"/>
      <c r="B29" s="193"/>
      <c r="C29" s="71"/>
      <c r="D29" s="195"/>
      <c r="E29" s="71"/>
      <c r="F29" s="183">
        <f t="shared" si="0"/>
        <v>0</v>
      </c>
      <c r="G29" s="184"/>
    </row>
    <row r="30" spans="1:7" ht="15.75" x14ac:dyDescent="0.25">
      <c r="A30" s="195"/>
      <c r="B30" s="193"/>
      <c r="C30" s="71"/>
      <c r="D30" s="195"/>
      <c r="E30" s="71"/>
      <c r="F30" s="183">
        <f t="shared" si="0"/>
        <v>0</v>
      </c>
    </row>
    <row r="31" spans="1:7" ht="15.75" x14ac:dyDescent="0.25">
      <c r="A31" s="195"/>
      <c r="B31" s="193"/>
      <c r="C31" s="71"/>
      <c r="D31" s="195"/>
      <c r="E31" s="71"/>
      <c r="F31" s="183">
        <f t="shared" si="0"/>
        <v>0</v>
      </c>
    </row>
    <row r="32" spans="1:7" ht="15.75" x14ac:dyDescent="0.25">
      <c r="A32" s="195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0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0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0</v>
      </c>
      <c r="D97" s="1"/>
      <c r="E97" s="4">
        <f>SUM(E3:E96)</f>
        <v>0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4:G65"/>
  <sheetViews>
    <sheetView topLeftCell="A41" zoomScale="130" zoomScaleNormal="130" workbookViewId="0">
      <selection activeCell="A50" sqref="A50"/>
    </sheetView>
  </sheetViews>
  <sheetFormatPr baseColWidth="10" defaultRowHeight="15" x14ac:dyDescent="0.25"/>
  <cols>
    <col min="3" max="3" width="12.5703125" bestFit="1" customWidth="1"/>
  </cols>
  <sheetData>
    <row r="34" spans="1:1" ht="14.25" customHeight="1" x14ac:dyDescent="0.25"/>
    <row r="35" spans="1:1" ht="14.25" customHeight="1" x14ac:dyDescent="0.25"/>
    <row r="36" spans="1:1" ht="14.25" customHeight="1" x14ac:dyDescent="0.25"/>
    <row r="37" spans="1:1" ht="14.25" customHeight="1" x14ac:dyDescent="0.25"/>
    <row r="38" spans="1:1" ht="14.25" customHeight="1" x14ac:dyDescent="0.25"/>
    <row r="39" spans="1:1" ht="14.25" customHeight="1" x14ac:dyDescent="0.25"/>
    <row r="40" spans="1:1" ht="14.25" customHeight="1" x14ac:dyDescent="0.25"/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7" spans="1:1" x14ac:dyDescent="0.25">
      <c r="A47" t="s">
        <v>11</v>
      </c>
    </row>
    <row r="48" spans="1:1" ht="15.75" thickBot="1" x14ac:dyDescent="0.3"/>
    <row r="49" spans="1:7" ht="15" customHeight="1" thickBot="1" x14ac:dyDescent="0.3">
      <c r="A49" s="32"/>
      <c r="B49" s="681" t="s">
        <v>32</v>
      </c>
      <c r="C49" s="682"/>
      <c r="D49" s="682"/>
      <c r="E49" s="683"/>
      <c r="F49" s="4"/>
    </row>
    <row r="50" spans="1:7" ht="16.5" customHeight="1" x14ac:dyDescent="0.25">
      <c r="A50" s="19">
        <v>1</v>
      </c>
      <c r="B50" s="196" t="s">
        <v>901</v>
      </c>
      <c r="C50" s="197">
        <v>4205.54</v>
      </c>
      <c r="D50" s="198" t="s">
        <v>33</v>
      </c>
      <c r="E50" s="199" t="s">
        <v>611</v>
      </c>
      <c r="F50" s="538" t="s">
        <v>902</v>
      </c>
      <c r="G50" s="529"/>
    </row>
    <row r="51" spans="1:7" ht="13.9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538">
        <v>0</v>
      </c>
    </row>
    <row r="52" spans="1:7" hidden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538">
        <v>0</v>
      </c>
    </row>
    <row r="53" spans="1:7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538">
        <v>0</v>
      </c>
    </row>
    <row r="54" spans="1:7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538">
        <v>0</v>
      </c>
    </row>
    <row r="55" spans="1:7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538">
        <v>0</v>
      </c>
    </row>
    <row r="56" spans="1:7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538">
        <v>0</v>
      </c>
    </row>
    <row r="57" spans="1:7" ht="14.25" hidden="1" customHeight="1" thickBot="1" x14ac:dyDescent="0.3">
      <c r="A57" s="330"/>
      <c r="B57" s="196" t="s">
        <v>611</v>
      </c>
      <c r="C57" s="197">
        <v>0</v>
      </c>
      <c r="D57" s="331" t="s">
        <v>33</v>
      </c>
      <c r="E57" s="199" t="s">
        <v>611</v>
      </c>
      <c r="F57" s="538">
        <v>0</v>
      </c>
    </row>
    <row r="58" spans="1:7" ht="14.25" hidden="1" customHeight="1" x14ac:dyDescent="0.25">
      <c r="A58" s="329"/>
      <c r="B58" s="196" t="s">
        <v>611</v>
      </c>
      <c r="C58" s="197">
        <v>0</v>
      </c>
      <c r="D58" s="198" t="s">
        <v>33</v>
      </c>
      <c r="E58" s="199" t="s">
        <v>611</v>
      </c>
      <c r="F58" s="538">
        <v>0</v>
      </c>
    </row>
    <row r="59" spans="1:7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538">
        <v>0</v>
      </c>
    </row>
    <row r="60" spans="1:7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538">
        <v>0</v>
      </c>
    </row>
    <row r="61" spans="1:7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538">
        <v>0</v>
      </c>
    </row>
    <row r="62" spans="1:7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538">
        <v>0</v>
      </c>
    </row>
    <row r="63" spans="1:7" ht="14.25" hidden="1" customHeight="1" x14ac:dyDescent="0.25">
      <c r="A63" s="19"/>
      <c r="B63" s="196" t="s">
        <v>611</v>
      </c>
      <c r="C63" s="197">
        <v>0</v>
      </c>
      <c r="D63" s="200" t="s">
        <v>33</v>
      </c>
      <c r="E63" s="199" t="s">
        <v>611</v>
      </c>
      <c r="F63" s="538">
        <v>0</v>
      </c>
    </row>
    <row r="64" spans="1:7" ht="14.25" hidden="1" customHeight="1" x14ac:dyDescent="0.25">
      <c r="A64" s="19"/>
      <c r="B64" s="196" t="s">
        <v>611</v>
      </c>
      <c r="C64" s="197">
        <v>0</v>
      </c>
      <c r="D64" s="200" t="s">
        <v>33</v>
      </c>
      <c r="E64" s="199" t="s">
        <v>611</v>
      </c>
      <c r="F64" s="538">
        <v>0</v>
      </c>
    </row>
    <row r="65" spans="3:3" hidden="1" x14ac:dyDescent="0.25">
      <c r="C65" s="197">
        <v>0</v>
      </c>
    </row>
  </sheetData>
  <sortState ref="A45:F46">
    <sortCondition ref="B45:B46"/>
  </sortState>
  <mergeCells count="1">
    <mergeCell ref="B49:E49"/>
  </mergeCells>
  <pageMargins left="0.70866141732283472" right="0.70866141732283472" top="0.74803149606299213" bottom="0" header="0.31496062992125984" footer="0.21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86" t="s">
        <v>726</v>
      </c>
      <c r="C1" s="686"/>
      <c r="D1" s="686"/>
      <c r="E1" s="686"/>
      <c r="H1" s="687" t="s">
        <v>726</v>
      </c>
      <c r="I1" s="687"/>
      <c r="J1" s="687"/>
      <c r="K1" s="205"/>
      <c r="L1" s="205"/>
      <c r="N1" t="s">
        <v>11</v>
      </c>
      <c r="O1" s="686" t="s">
        <v>725</v>
      </c>
      <c r="P1" s="686"/>
    </row>
    <row r="2" spans="1:17" ht="18" thickBot="1" x14ac:dyDescent="0.35">
      <c r="B2" s="18"/>
      <c r="C2" s="4"/>
      <c r="D2" s="6"/>
      <c r="E2" s="609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609"/>
      <c r="F3" s="496"/>
      <c r="H3" s="444">
        <v>126476.5</v>
      </c>
      <c r="I3" s="334">
        <v>10456</v>
      </c>
      <c r="J3" s="495">
        <v>44378</v>
      </c>
      <c r="K3" s="495"/>
      <c r="L3" s="656" t="s">
        <v>567</v>
      </c>
      <c r="M3" s="656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44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45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46" t="s">
        <v>719</v>
      </c>
      <c r="M19" s="647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91">
        <f>L16-H37</f>
        <v>-383122.2200000002</v>
      </c>
      <c r="M21" s="692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93"/>
      <c r="M22" s="694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52">
        <f>SUM(H3:H36)</f>
        <v>3989872.22</v>
      </c>
      <c r="I37" s="654">
        <f>SUM(I3:I36)</f>
        <v>688820.5</v>
      </c>
      <c r="J37" s="495"/>
      <c r="K37" s="495"/>
      <c r="L37" s="495"/>
      <c r="O37" s="652">
        <f>SUM(O3:O36)</f>
        <v>1464800.09</v>
      </c>
      <c r="P37" s="654">
        <f>SUM(P3:P36)</f>
        <v>121896</v>
      </c>
      <c r="Q37" s="392"/>
    </row>
    <row r="38" spans="7:17" ht="16.5" thickBot="1" x14ac:dyDescent="0.3">
      <c r="H38" s="653"/>
      <c r="I38" s="655"/>
      <c r="J38" s="495"/>
      <c r="K38" s="495"/>
      <c r="L38" s="495"/>
      <c r="O38" s="653"/>
      <c r="P38" s="655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89"/>
      <c r="I40" s="689"/>
      <c r="O40" s="656" t="s">
        <v>567</v>
      </c>
      <c r="P40" s="656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90"/>
      <c r="I53" s="7"/>
      <c r="O53" s="644">
        <f>SUM(O41:O52)</f>
        <v>1682687</v>
      </c>
      <c r="P53" s="475"/>
      <c r="Q53" s="392"/>
    </row>
    <row r="54" spans="7:17" ht="16.5" thickBot="1" x14ac:dyDescent="0.3">
      <c r="G54" s="272"/>
      <c r="H54" s="690"/>
      <c r="I54" s="7"/>
      <c r="O54" s="645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89"/>
      <c r="I56" s="689"/>
      <c r="O56" s="646" t="s">
        <v>719</v>
      </c>
      <c r="P56" s="647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88"/>
      <c r="I58" s="688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88"/>
      <c r="I59" s="688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84">
        <f>SUM(O58:O61)</f>
        <v>-328961.31000000006</v>
      </c>
      <c r="P62" s="685"/>
    </row>
  </sheetData>
  <mergeCells count="20"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</mergeCells>
  <pageMargins left="0.37" right="0.13" top="0.43" bottom="0.27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81" t="s">
        <v>32</v>
      </c>
      <c r="C1" s="682"/>
      <c r="D1" s="682"/>
      <c r="E1" s="683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81" t="s">
        <v>32</v>
      </c>
      <c r="C9" s="682"/>
      <c r="D9" s="682"/>
      <c r="E9" s="683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81" t="s">
        <v>32</v>
      </c>
      <c r="C20" s="682"/>
      <c r="D20" s="682"/>
      <c r="E20" s="683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81" t="s">
        <v>32</v>
      </c>
      <c r="C31" s="682"/>
      <c r="D31" s="682"/>
      <c r="E31" s="683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81" t="s">
        <v>32</v>
      </c>
      <c r="C42" s="682"/>
      <c r="D42" s="682"/>
      <c r="E42" s="683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81" t="s">
        <v>32</v>
      </c>
      <c r="C54" s="682"/>
      <c r="D54" s="682"/>
      <c r="E54" s="683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63" t="s">
        <v>147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67" t="s">
        <v>7</v>
      </c>
      <c r="F4" s="568"/>
      <c r="H4" s="569" t="s">
        <v>8</v>
      </c>
      <c r="I4" s="5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259947.00000000003</v>
      </c>
      <c r="L64" s="574"/>
      <c r="M64" s="575">
        <f>M62+N62</f>
        <v>2744320</v>
      </c>
      <c r="N64" s="576"/>
      <c r="O64" s="102"/>
      <c r="P64" s="99"/>
      <c r="Q64" s="99"/>
      <c r="S64" s="174"/>
    </row>
    <row r="65" spans="2:19" ht="19.5" customHeight="1" thickBot="1" x14ac:dyDescent="0.3">
      <c r="D65" s="583" t="s">
        <v>17</v>
      </c>
      <c r="E65" s="583"/>
      <c r="F65" s="103">
        <f>F62-K64-C62</f>
        <v>2374814.2599999998</v>
      </c>
      <c r="I65" s="104"/>
      <c r="J65" s="105"/>
      <c r="P65" s="584">
        <f>P62+Q62</f>
        <v>3144691.75</v>
      </c>
      <c r="Q65" s="585"/>
      <c r="S65" s="50"/>
    </row>
    <row r="66" spans="2:19" ht="15.75" customHeight="1" x14ac:dyDescent="0.3">
      <c r="D66" s="586" t="s">
        <v>18</v>
      </c>
      <c r="E66" s="586"/>
      <c r="F66" s="95">
        <v>-2261593.1</v>
      </c>
      <c r="I66" s="587" t="s">
        <v>19</v>
      </c>
      <c r="J66" s="588"/>
      <c r="K66" s="589">
        <f>F68+F69+F70</f>
        <v>355407.6199999997</v>
      </c>
      <c r="L66" s="590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91">
        <f>-C4</f>
        <v>-209541.1</v>
      </c>
      <c r="L68" s="59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77" t="s">
        <v>24</v>
      </c>
      <c r="E70" s="578"/>
      <c r="F70" s="120">
        <v>223014.26</v>
      </c>
      <c r="I70" s="579" t="s">
        <v>25</v>
      </c>
      <c r="J70" s="580"/>
      <c r="K70" s="581">
        <f>K66+K68</f>
        <v>145866.5199999997</v>
      </c>
      <c r="L70" s="58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3" t="s">
        <v>429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67" t="s">
        <v>7</v>
      </c>
      <c r="F4" s="568"/>
      <c r="H4" s="569" t="s">
        <v>8</v>
      </c>
      <c r="I4" s="5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71" t="s">
        <v>16</v>
      </c>
      <c r="I62" s="572"/>
      <c r="J62" s="101"/>
      <c r="K62" s="573">
        <f>I60+L60</f>
        <v>781851.32000000007</v>
      </c>
      <c r="L62" s="574"/>
      <c r="M62" s="575">
        <f>M60+N60</f>
        <v>4064802.5</v>
      </c>
      <c r="N62" s="576"/>
      <c r="O62" s="102"/>
      <c r="P62" s="99"/>
      <c r="Q62" s="99"/>
      <c r="S62" s="174"/>
    </row>
    <row r="63" spans="1:23" ht="19.5" customHeight="1" thickBot="1" x14ac:dyDescent="0.3">
      <c r="D63" s="583" t="s">
        <v>17</v>
      </c>
      <c r="E63" s="583"/>
      <c r="F63" s="103">
        <f>F60-K62-C60</f>
        <v>3177878.1399999997</v>
      </c>
      <c r="I63" s="104"/>
      <c r="J63" s="105"/>
      <c r="P63" s="584">
        <f>P60+Q60</f>
        <v>4585432.34</v>
      </c>
      <c r="Q63" s="585"/>
      <c r="S63" s="50"/>
    </row>
    <row r="64" spans="1:23" ht="15.75" customHeight="1" x14ac:dyDescent="0.3">
      <c r="D64" s="586" t="s">
        <v>18</v>
      </c>
      <c r="E64" s="586"/>
      <c r="F64" s="95">
        <v>-3579271.89</v>
      </c>
      <c r="I64" s="587" t="s">
        <v>19</v>
      </c>
      <c r="J64" s="588"/>
      <c r="K64" s="589">
        <f>F66+F67+F68</f>
        <v>-110332.85000000047</v>
      </c>
      <c r="L64" s="590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91">
        <f>-C4</f>
        <v>-223014.26</v>
      </c>
      <c r="L66" s="592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77" t="s">
        <v>24</v>
      </c>
      <c r="E68" s="578"/>
      <c r="F68" s="120">
        <v>215362.9</v>
      </c>
      <c r="I68" s="593" t="s">
        <v>431</v>
      </c>
      <c r="J68" s="594"/>
      <c r="K68" s="595">
        <f>K64+K66</f>
        <v>-333347.11000000045</v>
      </c>
      <c r="L68" s="596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3" t="s">
        <v>430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67" t="s">
        <v>7</v>
      </c>
      <c r="F4" s="568"/>
      <c r="H4" s="569" t="s">
        <v>8</v>
      </c>
      <c r="I4" s="59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71" t="s">
        <v>16</v>
      </c>
      <c r="I58" s="572"/>
      <c r="J58" s="101"/>
      <c r="K58" s="573">
        <f>I56+L56</f>
        <v>370346.35000000003</v>
      </c>
      <c r="L58" s="598"/>
      <c r="M58" s="575">
        <f>M56+N56</f>
        <v>3537422</v>
      </c>
      <c r="N58" s="576"/>
      <c r="O58" s="102"/>
      <c r="P58" s="99"/>
      <c r="Q58" s="99"/>
      <c r="S58" s="174"/>
    </row>
    <row r="59" spans="1:23" ht="15.75" customHeight="1" thickBot="1" x14ac:dyDescent="0.3">
      <c r="D59" s="583" t="s">
        <v>17</v>
      </c>
      <c r="E59" s="599"/>
      <c r="F59" s="103">
        <f>F56-K58-C56</f>
        <v>3048717.54</v>
      </c>
      <c r="I59" s="104"/>
      <c r="J59" s="105"/>
      <c r="P59" s="584">
        <f>P56+Q56</f>
        <v>8073324.3200000003</v>
      </c>
      <c r="Q59" s="585"/>
      <c r="S59" s="50"/>
    </row>
    <row r="60" spans="1:23" ht="15.75" customHeight="1" x14ac:dyDescent="0.3">
      <c r="D60" s="586" t="s">
        <v>18</v>
      </c>
      <c r="E60" s="586"/>
      <c r="F60" s="95">
        <v>-3102716.28</v>
      </c>
      <c r="I60" s="587" t="s">
        <v>19</v>
      </c>
      <c r="J60" s="588"/>
      <c r="K60" s="589">
        <f>F62+F63+F64</f>
        <v>216465.62000000023</v>
      </c>
      <c r="L60" s="590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91">
        <f>-C4</f>
        <v>-215362.9</v>
      </c>
      <c r="L62" s="592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77" t="s">
        <v>24</v>
      </c>
      <c r="E64" s="578"/>
      <c r="F64" s="120">
        <v>249311.35999999999</v>
      </c>
      <c r="I64" s="579" t="s">
        <v>25</v>
      </c>
      <c r="J64" s="580"/>
      <c r="K64" s="581">
        <f>K60+K62</f>
        <v>1102.720000000234</v>
      </c>
      <c r="L64" s="582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63" t="s">
        <v>504</v>
      </c>
      <c r="D1" s="563"/>
      <c r="E1" s="563"/>
      <c r="F1" s="563"/>
      <c r="G1" s="563"/>
      <c r="H1" s="563"/>
      <c r="I1" s="563"/>
      <c r="J1" s="563"/>
      <c r="K1" s="5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4" t="s">
        <v>1</v>
      </c>
      <c r="C3" s="565"/>
      <c r="D3" s="14"/>
      <c r="E3" s="15"/>
      <c r="F3" s="15"/>
      <c r="H3" s="566" t="s">
        <v>2</v>
      </c>
      <c r="I3" s="5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67" t="s">
        <v>7</v>
      </c>
      <c r="F4" s="568"/>
      <c r="H4" s="569" t="s">
        <v>8</v>
      </c>
      <c r="I4" s="5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779034.56000000017</v>
      </c>
      <c r="L64" s="574"/>
      <c r="M64" s="575">
        <f>M62+N62</f>
        <v>4478181</v>
      </c>
      <c r="N64" s="576"/>
      <c r="O64" s="102"/>
      <c r="P64" s="99"/>
      <c r="Q64" s="99"/>
      <c r="S64" s="174"/>
    </row>
    <row r="65" spans="2:19" ht="19.5" customHeight="1" thickBot="1" x14ac:dyDescent="0.3">
      <c r="D65" s="583" t="s">
        <v>17</v>
      </c>
      <c r="E65" s="583"/>
      <c r="F65" s="103">
        <f>F62-K64-C62</f>
        <v>3602842.44</v>
      </c>
      <c r="I65" s="104"/>
      <c r="J65" s="105"/>
      <c r="P65" s="584">
        <f>P62+Q62</f>
        <v>5004562.5599999996</v>
      </c>
      <c r="Q65" s="585"/>
      <c r="S65" s="50"/>
    </row>
    <row r="66" spans="2:19" ht="15.75" customHeight="1" x14ac:dyDescent="0.3">
      <c r="B66" s="600" t="s">
        <v>528</v>
      </c>
      <c r="C66" s="601"/>
      <c r="D66" s="583" t="s">
        <v>502</v>
      </c>
      <c r="E66" s="583"/>
      <c r="F66" s="95">
        <v>-3854423.8</v>
      </c>
      <c r="I66" s="587" t="s">
        <v>19</v>
      </c>
      <c r="J66" s="588"/>
      <c r="K66" s="589">
        <f>F68+F69+F70</f>
        <v>14998.430000000139</v>
      </c>
      <c r="L66" s="590"/>
      <c r="P66" s="50"/>
      <c r="S66" s="107"/>
    </row>
    <row r="67" spans="2:19" ht="19.5" thickBot="1" x14ac:dyDescent="0.35">
      <c r="B67" s="602"/>
      <c r="C67" s="603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604"/>
      <c r="C68" s="605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91">
        <f>-C4</f>
        <v>-249311.35999999999</v>
      </c>
      <c r="L68" s="59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77" t="s">
        <v>24</v>
      </c>
      <c r="E70" s="578"/>
      <c r="F70" s="120">
        <v>255764.39</v>
      </c>
      <c r="I70" s="579" t="s">
        <v>431</v>
      </c>
      <c r="J70" s="580"/>
      <c r="K70" s="581">
        <f>K66+K68</f>
        <v>-234312.92999999985</v>
      </c>
      <c r="L70" s="58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pagos de octubre </vt:lpstr>
      <vt:lpstr>OCTUBRE   2 0 2  1           </vt:lpstr>
      <vt:lpstr>REMISIONES OCTUBRE  2021</vt:lpstr>
      <vt:lpstr>Hoja5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2021-10-12T17:19:49Z</cp:lastPrinted>
  <dcterms:created xsi:type="dcterms:W3CDTF">2021-01-11T14:43:39Z</dcterms:created>
  <dcterms:modified xsi:type="dcterms:W3CDTF">2021-12-16T15:37:16Z</dcterms:modified>
</cp:coreProperties>
</file>